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mc:AlternateContent xmlns:mc="http://schemas.openxmlformats.org/markup-compatibility/2006">
    <mc:Choice Requires="x15">
      <x15ac:absPath xmlns:x15ac="http://schemas.microsoft.com/office/spreadsheetml/2010/11/ac" url="/Users/norlab/Documents/GitHub/LIS-598-Sp2020-DC2/Data/"/>
    </mc:Choice>
  </mc:AlternateContent>
  <xr:revisionPtr revIDLastSave="0" documentId="8_{E18DACDB-20B0-8D49-935C-966B2E323666}" xr6:coauthVersionLast="45" xr6:coauthVersionMax="45" xr10:uidLastSave="{00000000-0000-0000-0000-000000000000}"/>
  <bookViews>
    <workbookView xWindow="0" yWindow="460" windowWidth="27980" windowHeight="14160" activeTab="3" xr2:uid="{23408B27-F298-4BDC-969F-03CF6FBFB38F}"/>
  </bookViews>
  <sheets>
    <sheet name="Reports Menu" sheetId="8" r:id="rId1"/>
    <sheet name="Usage Report Inputs" sheetId="2" r:id="rId2"/>
    <sheet name="Usage Report Sample" sheetId="3" r:id="rId3"/>
    <sheet name="Materials Report Input" sheetId="4" r:id="rId4"/>
    <sheet name="Materials Report Sample" sheetId="5" r:id="rId5"/>
    <sheet name="Material Problems Input" sheetId="6" r:id="rId6"/>
    <sheet name="Material Problems Sample" sheetId="7" r:id="rId7"/>
    <sheet name="Circ Stats Inputs" sheetId="9" r:id="rId8"/>
    <sheet name="Circ Stats Sample" sheetId="10" r:id="rId9"/>
    <sheet name="Circulation Snapshot " sheetId="11" r:id="rId10"/>
  </sheets>
  <definedNames>
    <definedName name="_xlnm._FilterDatabase" localSheetId="2" hidden="1">'Usage Report Sample'!$A$7:$V$2573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2" i="11" l="1"/>
  <c r="A72" i="11"/>
  <c r="H71" i="11"/>
  <c r="A71" i="11"/>
  <c r="H70" i="11"/>
  <c r="A70" i="11"/>
  <c r="H69" i="11"/>
  <c r="A69" i="11"/>
  <c r="H68" i="11"/>
  <c r="A68" i="11"/>
  <c r="H67" i="11"/>
  <c r="A67" i="11"/>
  <c r="H66" i="11"/>
  <c r="A66" i="11"/>
  <c r="H65" i="11"/>
  <c r="A65" i="11"/>
  <c r="H64" i="11"/>
  <c r="A64" i="11"/>
  <c r="H63" i="11"/>
  <c r="A63" i="11"/>
  <c r="H62" i="11"/>
  <c r="A62" i="11"/>
  <c r="H61" i="11"/>
  <c r="A61" i="11"/>
  <c r="H60" i="11"/>
  <c r="A60" i="11"/>
  <c r="H59" i="11"/>
  <c r="A59" i="11"/>
  <c r="H58" i="11"/>
  <c r="A58" i="11"/>
  <c r="H57" i="11"/>
  <c r="A57" i="11"/>
  <c r="H56" i="11"/>
  <c r="A56" i="11"/>
  <c r="H55" i="11"/>
  <c r="A55" i="11"/>
  <c r="H54" i="11"/>
  <c r="A54" i="11"/>
  <c r="H53" i="11"/>
  <c r="A53" i="11"/>
  <c r="H52" i="11"/>
  <c r="A52" i="11"/>
  <c r="H51" i="11"/>
  <c r="A51" i="11"/>
  <c r="H50" i="11"/>
  <c r="A50" i="11"/>
  <c r="H49" i="11"/>
  <c r="A49" i="11"/>
  <c r="H48" i="11"/>
  <c r="A48" i="11"/>
  <c r="H47" i="11"/>
  <c r="A47" i="11"/>
  <c r="H46" i="11"/>
  <c r="A46" i="11"/>
  <c r="H45" i="11"/>
  <c r="A45" i="11"/>
  <c r="H44" i="11"/>
  <c r="A44" i="11"/>
  <c r="H43" i="11"/>
  <c r="A43" i="11"/>
  <c r="H42" i="11"/>
  <c r="A42" i="11"/>
  <c r="H41" i="11"/>
  <c r="A41" i="11"/>
  <c r="H40" i="11"/>
  <c r="A40" i="11"/>
  <c r="H39" i="11"/>
  <c r="A39" i="11"/>
  <c r="H38" i="11"/>
  <c r="A38" i="11"/>
  <c r="H37" i="11"/>
  <c r="A37" i="11"/>
  <c r="H36" i="11"/>
  <c r="A36" i="11"/>
  <c r="H35" i="11"/>
  <c r="A35" i="11"/>
  <c r="H34" i="11"/>
  <c r="A34" i="11"/>
  <c r="H33" i="11"/>
  <c r="A33" i="11"/>
  <c r="H32" i="11"/>
  <c r="A32" i="11"/>
  <c r="H31" i="11"/>
  <c r="A31" i="11"/>
  <c r="H30" i="11"/>
  <c r="A30" i="11"/>
  <c r="H29" i="11"/>
  <c r="A29" i="11"/>
  <c r="H28" i="11"/>
  <c r="A28" i="11"/>
  <c r="H27" i="11"/>
  <c r="A27" i="11"/>
  <c r="H26" i="11"/>
  <c r="A26" i="11"/>
  <c r="H25" i="11"/>
  <c r="A25" i="11"/>
  <c r="H24" i="11"/>
  <c r="A24" i="11"/>
  <c r="H23" i="11"/>
  <c r="A23" i="11"/>
  <c r="H22" i="11"/>
  <c r="A22" i="11"/>
  <c r="H21" i="11"/>
  <c r="A21" i="11"/>
  <c r="H20" i="11"/>
  <c r="A20" i="11"/>
  <c r="H19" i="11"/>
  <c r="A19" i="11"/>
  <c r="H18" i="11"/>
  <c r="A18" i="11"/>
  <c r="H17" i="11"/>
  <c r="A17" i="11"/>
  <c r="H16" i="11"/>
  <c r="A16" i="11"/>
  <c r="H15" i="11"/>
  <c r="A15" i="11"/>
  <c r="H14" i="11"/>
  <c r="A14" i="11"/>
  <c r="H13" i="11"/>
  <c r="A13" i="11"/>
  <c r="H12" i="11"/>
  <c r="A12" i="11"/>
  <c r="H11" i="11"/>
  <c r="A11" i="11"/>
  <c r="H10" i="11"/>
  <c r="A10" i="11"/>
  <c r="H9" i="11"/>
  <c r="A9" i="11"/>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G725" i="7"/>
  <c r="F724" i="7"/>
  <c r="B724" i="7"/>
  <c r="H723" i="7"/>
  <c r="G723" i="7"/>
  <c r="F723" i="7"/>
  <c r="B723" i="7"/>
  <c r="H722" i="7"/>
  <c r="G722" i="7"/>
  <c r="F722" i="7"/>
  <c r="B722" i="7"/>
  <c r="H721" i="7"/>
  <c r="G721" i="7"/>
  <c r="F721" i="7"/>
  <c r="B721" i="7"/>
  <c r="H720" i="7"/>
  <c r="G720" i="7"/>
  <c r="F720" i="7"/>
  <c r="D720" i="7"/>
  <c r="B720" i="7"/>
  <c r="H719" i="7"/>
  <c r="G719" i="7"/>
  <c r="F719" i="7"/>
  <c r="D719" i="7"/>
  <c r="B719" i="7"/>
  <c r="H718" i="7"/>
  <c r="G718" i="7"/>
  <c r="F718" i="7"/>
  <c r="B718" i="7"/>
  <c r="H717" i="7"/>
  <c r="G717" i="7"/>
  <c r="F717" i="7"/>
  <c r="B717" i="7"/>
  <c r="H716" i="7"/>
  <c r="G716" i="7"/>
  <c r="F716" i="7"/>
  <c r="B716" i="7"/>
  <c r="H715" i="7"/>
  <c r="G715" i="7"/>
  <c r="F715" i="7"/>
  <c r="D715" i="7"/>
  <c r="B715" i="7"/>
  <c r="H714" i="7"/>
  <c r="G714" i="7"/>
  <c r="F714" i="7"/>
  <c r="B714" i="7"/>
  <c r="H713" i="7"/>
  <c r="G713" i="7"/>
  <c r="F713" i="7"/>
  <c r="B713" i="7"/>
  <c r="G712" i="7"/>
  <c r="F712" i="7"/>
  <c r="B712" i="7"/>
  <c r="G711" i="7"/>
  <c r="F711" i="7"/>
  <c r="B711" i="7"/>
  <c r="G710" i="7"/>
  <c r="F710" i="7"/>
  <c r="B710" i="7"/>
  <c r="G709" i="7"/>
  <c r="F709" i="7"/>
  <c r="B709" i="7"/>
  <c r="G708" i="7"/>
  <c r="F708" i="7"/>
  <c r="B708" i="7"/>
  <c r="H707" i="7"/>
  <c r="G707" i="7"/>
  <c r="F707" i="7"/>
  <c r="B707" i="7"/>
  <c r="H706" i="7"/>
  <c r="G706" i="7"/>
  <c r="F706" i="7"/>
  <c r="B706" i="7"/>
  <c r="H705" i="7"/>
  <c r="G705" i="7"/>
  <c r="B705" i="7"/>
  <c r="G704" i="7"/>
  <c r="F704" i="7"/>
  <c r="B704" i="7"/>
  <c r="G703" i="7"/>
  <c r="F703" i="7"/>
  <c r="B703" i="7"/>
  <c r="H702" i="7"/>
  <c r="G702" i="7"/>
  <c r="F702" i="7"/>
  <c r="B702" i="7"/>
  <c r="H701" i="7"/>
  <c r="G701" i="7"/>
  <c r="F701" i="7"/>
  <c r="B701" i="7"/>
  <c r="H700" i="7"/>
  <c r="G700" i="7"/>
  <c r="F700" i="7"/>
  <c r="B700" i="7"/>
  <c r="G699" i="7"/>
  <c r="F699" i="7"/>
  <c r="B699" i="7"/>
  <c r="G698" i="7"/>
  <c r="F698" i="7"/>
  <c r="B698" i="7"/>
  <c r="H697" i="7"/>
  <c r="F697" i="7"/>
  <c r="B697" i="7"/>
  <c r="G696" i="7"/>
  <c r="F696" i="7"/>
  <c r="B696" i="7"/>
  <c r="G695" i="7"/>
  <c r="F695" i="7"/>
  <c r="B695" i="7"/>
  <c r="H694" i="7"/>
  <c r="G694" i="7"/>
  <c r="F694" i="7"/>
  <c r="B694" i="7"/>
  <c r="H693" i="7"/>
  <c r="G693" i="7"/>
  <c r="F693" i="7"/>
  <c r="D693" i="7"/>
  <c r="B693" i="7"/>
  <c r="G692" i="7"/>
  <c r="F692" i="7"/>
  <c r="B692" i="7"/>
  <c r="H691" i="7"/>
  <c r="G691" i="7"/>
  <c r="F691" i="7"/>
  <c r="B691" i="7"/>
  <c r="G690" i="7"/>
  <c r="F690" i="7"/>
  <c r="B690" i="7"/>
  <c r="H689" i="7"/>
  <c r="G689" i="7"/>
  <c r="F689" i="7"/>
  <c r="B689" i="7"/>
  <c r="H688" i="7"/>
  <c r="G688" i="7"/>
  <c r="F688" i="7"/>
  <c r="D688" i="7"/>
  <c r="B688" i="7"/>
  <c r="H687" i="7"/>
  <c r="G687" i="7"/>
  <c r="F687" i="7"/>
  <c r="B687" i="7"/>
  <c r="H686" i="7"/>
  <c r="G686" i="7"/>
  <c r="F686" i="7"/>
  <c r="B686" i="7"/>
  <c r="H685" i="7"/>
  <c r="G685" i="7"/>
  <c r="F685" i="7"/>
  <c r="D685" i="7"/>
  <c r="B685" i="7"/>
  <c r="H684" i="7"/>
  <c r="G684" i="7"/>
  <c r="F684" i="7"/>
  <c r="B684" i="7"/>
  <c r="G683" i="7"/>
  <c r="F683" i="7"/>
  <c r="D683" i="7"/>
  <c r="B683" i="7"/>
  <c r="G682" i="7"/>
  <c r="F682" i="7"/>
  <c r="B682" i="7"/>
  <c r="H681" i="7"/>
  <c r="G681" i="7"/>
  <c r="F681" i="7"/>
  <c r="D681" i="7"/>
  <c r="B681" i="7"/>
  <c r="H680" i="7"/>
  <c r="G680" i="7"/>
  <c r="F680" i="7"/>
  <c r="B680" i="7"/>
  <c r="H679" i="7"/>
  <c r="G679" i="7"/>
  <c r="F679" i="7"/>
  <c r="B679" i="7"/>
  <c r="H678" i="7"/>
  <c r="G678" i="7"/>
  <c r="B678" i="7"/>
  <c r="H677" i="7"/>
  <c r="G677" i="7"/>
  <c r="F677" i="7"/>
  <c r="B677" i="7"/>
  <c r="H676" i="7"/>
  <c r="G676" i="7"/>
  <c r="B676" i="7"/>
  <c r="H675" i="7"/>
  <c r="G675" i="7"/>
  <c r="F675" i="7"/>
  <c r="B675" i="7"/>
  <c r="G674" i="7"/>
  <c r="F674" i="7"/>
  <c r="B674" i="7"/>
  <c r="H673" i="7"/>
  <c r="G673" i="7"/>
  <c r="F673" i="7"/>
  <c r="D673" i="7"/>
  <c r="B673" i="7"/>
  <c r="H672" i="7"/>
  <c r="G672" i="7"/>
  <c r="F672" i="7"/>
  <c r="B672" i="7"/>
  <c r="H671" i="7"/>
  <c r="G671" i="7"/>
  <c r="F671" i="7"/>
  <c r="B671" i="7"/>
  <c r="G670" i="7"/>
  <c r="F670" i="7"/>
  <c r="D670" i="7"/>
  <c r="B670" i="7"/>
  <c r="H669" i="7"/>
  <c r="G669" i="7"/>
  <c r="F669" i="7"/>
  <c r="B669" i="7"/>
  <c r="H668" i="7"/>
  <c r="G668" i="7"/>
  <c r="F668" i="7"/>
  <c r="B668" i="7"/>
  <c r="H667" i="7"/>
  <c r="G667" i="7"/>
  <c r="F667" i="7"/>
  <c r="B667" i="7"/>
  <c r="H666" i="7"/>
  <c r="G666" i="7"/>
  <c r="F666" i="7"/>
  <c r="B666" i="7"/>
  <c r="H665" i="7"/>
  <c r="G665" i="7"/>
  <c r="F665" i="7"/>
  <c r="B665" i="7"/>
  <c r="H664" i="7"/>
  <c r="G664" i="7"/>
  <c r="B664" i="7"/>
  <c r="H663" i="7"/>
  <c r="G663" i="7"/>
  <c r="F663" i="7"/>
  <c r="B663" i="7"/>
  <c r="H662" i="7"/>
  <c r="G662" i="7"/>
  <c r="F662" i="7"/>
  <c r="B662" i="7"/>
  <c r="G661" i="7"/>
  <c r="F661" i="7"/>
  <c r="B661" i="7"/>
  <c r="G660" i="7"/>
  <c r="F660" i="7"/>
  <c r="D660" i="7"/>
  <c r="B660" i="7"/>
  <c r="H659" i="7"/>
  <c r="G659" i="7"/>
  <c r="F659" i="7"/>
  <c r="D659" i="7"/>
  <c r="B659" i="7"/>
  <c r="H658" i="7"/>
  <c r="G658" i="7"/>
  <c r="F658" i="7"/>
  <c r="B658" i="7"/>
  <c r="H657" i="7"/>
  <c r="G657" i="7"/>
  <c r="F657" i="7"/>
  <c r="B657" i="7"/>
  <c r="H656" i="7"/>
  <c r="F656" i="7"/>
  <c r="B656" i="7"/>
  <c r="H655" i="7"/>
  <c r="G655" i="7"/>
  <c r="F655" i="7"/>
  <c r="D655" i="7"/>
  <c r="B655" i="7"/>
  <c r="H654" i="7"/>
  <c r="G654" i="7"/>
  <c r="F654" i="7"/>
  <c r="B654" i="7"/>
  <c r="H653" i="7"/>
  <c r="F653" i="7"/>
  <c r="B653" i="7"/>
  <c r="H652" i="7"/>
  <c r="G652" i="7"/>
  <c r="F652" i="7"/>
  <c r="B652" i="7"/>
  <c r="H651" i="7"/>
  <c r="G651" i="7"/>
  <c r="F651" i="7"/>
  <c r="B651" i="7"/>
  <c r="H650" i="7"/>
  <c r="G650" i="7"/>
  <c r="F650" i="7"/>
  <c r="B650" i="7"/>
  <c r="H649" i="7"/>
  <c r="G649" i="7"/>
  <c r="F649" i="7"/>
  <c r="B649" i="7"/>
  <c r="H648" i="7"/>
  <c r="G648" i="7"/>
  <c r="F648" i="7"/>
  <c r="B648" i="7"/>
  <c r="H647" i="7"/>
  <c r="G647" i="7"/>
  <c r="F647" i="7"/>
  <c r="B647" i="7"/>
  <c r="H646" i="7"/>
  <c r="G646" i="7"/>
  <c r="F646" i="7"/>
  <c r="B646" i="7"/>
  <c r="H645" i="7"/>
  <c r="G645" i="7"/>
  <c r="F645" i="7"/>
  <c r="B645" i="7"/>
  <c r="H644" i="7"/>
  <c r="G644" i="7"/>
  <c r="F644" i="7"/>
  <c r="B644" i="7"/>
  <c r="H643" i="7"/>
  <c r="G643" i="7"/>
  <c r="F643" i="7"/>
  <c r="D643" i="7"/>
  <c r="B643" i="7"/>
  <c r="G642" i="7"/>
  <c r="F642" i="7"/>
  <c r="B642" i="7"/>
  <c r="H641" i="7"/>
  <c r="G641" i="7"/>
  <c r="F641" i="7"/>
  <c r="B641" i="7"/>
  <c r="H640" i="7"/>
  <c r="G640" i="7"/>
  <c r="F640" i="7"/>
  <c r="B640" i="7"/>
  <c r="H639" i="7"/>
  <c r="G639" i="7"/>
  <c r="F639" i="7"/>
  <c r="D639" i="7"/>
  <c r="B639" i="7"/>
  <c r="H638" i="7"/>
  <c r="G638" i="7"/>
  <c r="F638" i="7"/>
  <c r="B638" i="7"/>
  <c r="H637" i="7"/>
  <c r="G637" i="7"/>
  <c r="F637" i="7"/>
  <c r="B637" i="7"/>
  <c r="H636" i="7"/>
  <c r="G636" i="7"/>
  <c r="F636" i="7"/>
  <c r="B636" i="7"/>
  <c r="H635" i="7"/>
  <c r="G635" i="7"/>
  <c r="F635" i="7"/>
  <c r="B635" i="7"/>
  <c r="H634" i="7"/>
  <c r="G634" i="7"/>
  <c r="F634" i="7"/>
  <c r="B634" i="7"/>
  <c r="H633" i="7"/>
  <c r="G633" i="7"/>
  <c r="F633" i="7"/>
  <c r="B633" i="7"/>
  <c r="H632" i="7"/>
  <c r="G632" i="7"/>
  <c r="F632" i="7"/>
  <c r="B632" i="7"/>
  <c r="H631" i="7"/>
  <c r="G631" i="7"/>
  <c r="F631" i="7"/>
  <c r="B631" i="7"/>
  <c r="H630" i="7"/>
  <c r="G630" i="7"/>
  <c r="F630" i="7"/>
  <c r="B630" i="7"/>
  <c r="H629" i="7"/>
  <c r="G629" i="7"/>
  <c r="F629" i="7"/>
  <c r="B629" i="7"/>
  <c r="H628" i="7"/>
  <c r="G628" i="7"/>
  <c r="F628" i="7"/>
  <c r="B628" i="7"/>
  <c r="H627" i="7"/>
  <c r="G627" i="7"/>
  <c r="F627" i="7"/>
  <c r="B627" i="7"/>
  <c r="H626" i="7"/>
  <c r="G626" i="7"/>
  <c r="F626" i="7"/>
  <c r="D626" i="7"/>
  <c r="B626" i="7"/>
  <c r="H625" i="7"/>
  <c r="G625" i="7"/>
  <c r="F625" i="7"/>
  <c r="B625" i="7"/>
  <c r="G624" i="7"/>
  <c r="F624" i="7"/>
  <c r="B624" i="7"/>
  <c r="H623" i="7"/>
  <c r="G623" i="7"/>
  <c r="F623" i="7"/>
  <c r="B623" i="7"/>
  <c r="H622" i="7"/>
  <c r="G622" i="7"/>
  <c r="F622" i="7"/>
  <c r="B622" i="7"/>
  <c r="H621" i="7"/>
  <c r="G621" i="7"/>
  <c r="F621" i="7"/>
  <c r="B621" i="7"/>
  <c r="H620" i="7"/>
  <c r="G620" i="7"/>
  <c r="F620" i="7"/>
  <c r="B620" i="7"/>
  <c r="H619" i="7"/>
  <c r="G619" i="7"/>
  <c r="F619" i="7"/>
  <c r="B619" i="7"/>
  <c r="H618" i="7"/>
  <c r="G618" i="7"/>
  <c r="F618" i="7"/>
  <c r="B618" i="7"/>
  <c r="H617" i="7"/>
  <c r="G617" i="7"/>
  <c r="F617" i="7"/>
  <c r="B617" i="7"/>
  <c r="G616" i="7"/>
  <c r="F616" i="7"/>
  <c r="B616" i="7"/>
  <c r="H615" i="7"/>
  <c r="G615" i="7"/>
  <c r="F615" i="7"/>
  <c r="B615" i="7"/>
  <c r="H614" i="7"/>
  <c r="G614" i="7"/>
  <c r="F614" i="7"/>
  <c r="B614" i="7"/>
  <c r="H613" i="7"/>
  <c r="G613" i="7"/>
  <c r="F613" i="7"/>
  <c r="B613" i="7"/>
  <c r="H612" i="7"/>
  <c r="G612" i="7"/>
  <c r="F612" i="7"/>
  <c r="B612" i="7"/>
  <c r="H611" i="7"/>
  <c r="G611" i="7"/>
  <c r="F611" i="7"/>
  <c r="B611" i="7"/>
  <c r="H610" i="7"/>
  <c r="G610" i="7"/>
  <c r="F610" i="7"/>
  <c r="B610" i="7"/>
  <c r="H609" i="7"/>
  <c r="G609" i="7"/>
  <c r="F609" i="7"/>
  <c r="B609" i="7"/>
  <c r="H608" i="7"/>
  <c r="G608" i="7"/>
  <c r="F608" i="7"/>
  <c r="B608" i="7"/>
  <c r="H607" i="7"/>
  <c r="G607" i="7"/>
  <c r="F607" i="7"/>
  <c r="B607" i="7"/>
  <c r="H606" i="7"/>
  <c r="G606" i="7"/>
  <c r="F606" i="7"/>
  <c r="B606" i="7"/>
  <c r="H605" i="7"/>
  <c r="G605" i="7"/>
  <c r="F605" i="7"/>
  <c r="B605" i="7"/>
  <c r="H604" i="7"/>
  <c r="G604" i="7"/>
  <c r="F604" i="7"/>
  <c r="B604" i="7"/>
  <c r="H603" i="7"/>
  <c r="G603" i="7"/>
  <c r="F603" i="7"/>
  <c r="B603" i="7"/>
  <c r="H602" i="7"/>
  <c r="G602" i="7"/>
  <c r="F602" i="7"/>
  <c r="B602" i="7"/>
  <c r="H601" i="7"/>
  <c r="G601" i="7"/>
  <c r="F601" i="7"/>
  <c r="B601" i="7"/>
  <c r="H600" i="7"/>
  <c r="G600" i="7"/>
  <c r="F600" i="7"/>
  <c r="B600" i="7"/>
  <c r="H599" i="7"/>
  <c r="G599" i="7"/>
  <c r="B599" i="7"/>
  <c r="H598" i="7"/>
  <c r="G598" i="7"/>
  <c r="F598" i="7"/>
  <c r="B598" i="7"/>
  <c r="H597" i="7"/>
  <c r="G597" i="7"/>
  <c r="F597" i="7"/>
  <c r="B597" i="7"/>
  <c r="H596" i="7"/>
  <c r="F596" i="7"/>
  <c r="B596" i="7"/>
  <c r="H595" i="7"/>
  <c r="G595" i="7"/>
  <c r="F595" i="7"/>
  <c r="D595" i="7"/>
  <c r="B595" i="7"/>
  <c r="H594" i="7"/>
  <c r="G594" i="7"/>
  <c r="F594" i="7"/>
  <c r="B594" i="7"/>
  <c r="H593" i="7"/>
  <c r="G593" i="7"/>
  <c r="F593" i="7"/>
  <c r="B593" i="7"/>
  <c r="H592" i="7"/>
  <c r="G592" i="7"/>
  <c r="F592" i="7"/>
  <c r="B592" i="7"/>
  <c r="H591" i="7"/>
  <c r="G591" i="7"/>
  <c r="F591" i="7"/>
  <c r="D591" i="7"/>
  <c r="B591" i="7"/>
  <c r="H590" i="7"/>
  <c r="G590" i="7"/>
  <c r="F590" i="7"/>
  <c r="B590" i="7"/>
  <c r="H589" i="7"/>
  <c r="G589" i="7"/>
  <c r="F589" i="7"/>
  <c r="B589" i="7"/>
  <c r="H588" i="7"/>
  <c r="G588" i="7"/>
  <c r="F588" i="7"/>
  <c r="B588" i="7"/>
  <c r="H587" i="7"/>
  <c r="F587" i="7"/>
  <c r="B587" i="7"/>
  <c r="H586" i="7"/>
  <c r="G586" i="7"/>
  <c r="F586" i="7"/>
  <c r="B586" i="7"/>
  <c r="H585" i="7"/>
  <c r="G585" i="7"/>
  <c r="F585" i="7"/>
  <c r="B585" i="7"/>
  <c r="H584" i="7"/>
  <c r="G584" i="7"/>
  <c r="F584" i="7"/>
  <c r="B584" i="7"/>
  <c r="H583" i="7"/>
  <c r="G583" i="7"/>
  <c r="F583" i="7"/>
  <c r="B583" i="7"/>
  <c r="H582" i="7"/>
  <c r="G582" i="7"/>
  <c r="F582" i="7"/>
  <c r="B582" i="7"/>
  <c r="H581" i="7"/>
  <c r="G581" i="7"/>
  <c r="F581" i="7"/>
  <c r="B581" i="7"/>
  <c r="H580" i="7"/>
  <c r="G580" i="7"/>
  <c r="F580" i="7"/>
  <c r="D580" i="7"/>
  <c r="B580" i="7"/>
  <c r="H579" i="7"/>
  <c r="F579" i="7"/>
  <c r="B579" i="7"/>
  <c r="H578" i="7"/>
  <c r="G578" i="7"/>
  <c r="F578" i="7"/>
  <c r="B578" i="7"/>
  <c r="H577" i="7"/>
  <c r="G577" i="7"/>
  <c r="F577" i="7"/>
  <c r="B577" i="7"/>
  <c r="H576" i="7"/>
  <c r="G576" i="7"/>
  <c r="F576" i="7"/>
  <c r="B576" i="7"/>
  <c r="H575" i="7"/>
  <c r="G575" i="7"/>
  <c r="F575" i="7"/>
  <c r="B575" i="7"/>
  <c r="H574" i="7"/>
  <c r="G574" i="7"/>
  <c r="F574" i="7"/>
  <c r="B574" i="7"/>
  <c r="H573" i="7"/>
  <c r="G573" i="7"/>
  <c r="F573" i="7"/>
  <c r="D573" i="7"/>
  <c r="B573" i="7"/>
  <c r="H572" i="7"/>
  <c r="G572" i="7"/>
  <c r="F572" i="7"/>
  <c r="B572" i="7"/>
  <c r="H571" i="7"/>
  <c r="G571" i="7"/>
  <c r="F571" i="7"/>
  <c r="B571" i="7"/>
  <c r="H570" i="7"/>
  <c r="F570" i="7"/>
  <c r="B570" i="7"/>
  <c r="H569" i="7"/>
  <c r="G569" i="7"/>
  <c r="F569" i="7"/>
  <c r="B569" i="7"/>
  <c r="H568" i="7"/>
  <c r="G568" i="7"/>
  <c r="F568" i="7"/>
  <c r="D568" i="7"/>
  <c r="B568" i="7"/>
  <c r="H567" i="7"/>
  <c r="G567" i="7"/>
  <c r="F567" i="7"/>
  <c r="D567" i="7"/>
  <c r="B567" i="7"/>
  <c r="H566" i="7"/>
  <c r="G566" i="7"/>
  <c r="F566" i="7"/>
  <c r="B566" i="7"/>
  <c r="H565" i="7"/>
  <c r="G565" i="7"/>
  <c r="F565" i="7"/>
  <c r="B565" i="7"/>
  <c r="H564" i="7"/>
  <c r="G564" i="7"/>
  <c r="F564" i="7"/>
  <c r="B564" i="7"/>
  <c r="H563" i="7"/>
  <c r="G563" i="7"/>
  <c r="F563" i="7"/>
  <c r="B563" i="7"/>
  <c r="H562" i="7"/>
  <c r="G562" i="7"/>
  <c r="F562" i="7"/>
  <c r="B562" i="7"/>
  <c r="H561" i="7"/>
  <c r="G561" i="7"/>
  <c r="F561" i="7"/>
  <c r="B561" i="7"/>
  <c r="H560" i="7"/>
  <c r="G560" i="7"/>
  <c r="F560" i="7"/>
  <c r="B560" i="7"/>
  <c r="H559" i="7"/>
  <c r="G559" i="7"/>
  <c r="F559" i="7"/>
  <c r="B559" i="7"/>
  <c r="H558" i="7"/>
  <c r="G558" i="7"/>
  <c r="F558" i="7"/>
  <c r="B558" i="7"/>
  <c r="H557" i="7"/>
  <c r="G557" i="7"/>
  <c r="F557" i="7"/>
  <c r="B557" i="7"/>
  <c r="H556" i="7"/>
  <c r="G556" i="7"/>
  <c r="F556" i="7"/>
  <c r="B556" i="7"/>
  <c r="H555" i="7"/>
  <c r="G555" i="7"/>
  <c r="F555" i="7"/>
  <c r="D555" i="7"/>
  <c r="B555" i="7"/>
  <c r="H554" i="7"/>
  <c r="G554" i="7"/>
  <c r="F554" i="7"/>
  <c r="B554" i="7"/>
  <c r="H553" i="7"/>
  <c r="G553" i="7"/>
  <c r="F553" i="7"/>
  <c r="B553" i="7"/>
  <c r="H552" i="7"/>
  <c r="G552" i="7"/>
  <c r="F552" i="7"/>
  <c r="D552" i="7"/>
  <c r="B552" i="7"/>
  <c r="H551" i="7"/>
  <c r="G551" i="7"/>
  <c r="F551" i="7"/>
  <c r="B551" i="7"/>
  <c r="H550" i="7"/>
  <c r="G550" i="7"/>
  <c r="F550" i="7"/>
  <c r="D550" i="7"/>
  <c r="B550" i="7"/>
  <c r="H549" i="7"/>
  <c r="G549" i="7"/>
  <c r="F549" i="7"/>
  <c r="B549" i="7"/>
  <c r="H548" i="7"/>
  <c r="G548" i="7"/>
  <c r="F548" i="7"/>
  <c r="B548" i="7"/>
  <c r="H547" i="7"/>
  <c r="G547" i="7"/>
  <c r="F547" i="7"/>
  <c r="B547" i="7"/>
  <c r="H546" i="7"/>
  <c r="G546" i="7"/>
  <c r="F546" i="7"/>
  <c r="B546" i="7"/>
  <c r="G545" i="7"/>
  <c r="F545" i="7"/>
  <c r="B545" i="7"/>
  <c r="H544" i="7"/>
  <c r="F544" i="7"/>
  <c r="B544" i="7"/>
  <c r="H543" i="7"/>
  <c r="G543" i="7"/>
  <c r="F543" i="7"/>
  <c r="B543" i="7"/>
  <c r="H542" i="7"/>
  <c r="G542" i="7"/>
  <c r="F542" i="7"/>
  <c r="B542" i="7"/>
  <c r="H541" i="7"/>
  <c r="G541" i="7"/>
  <c r="F541" i="7"/>
  <c r="D541" i="7"/>
  <c r="B541" i="7"/>
  <c r="H540" i="7"/>
  <c r="G540" i="7"/>
  <c r="F540" i="7"/>
  <c r="D540" i="7"/>
  <c r="B540" i="7"/>
  <c r="H539" i="7"/>
  <c r="G539" i="7"/>
  <c r="F539" i="7"/>
  <c r="B539" i="7"/>
  <c r="H538" i="7"/>
  <c r="G538" i="7"/>
  <c r="F538" i="7"/>
  <c r="B538" i="7"/>
  <c r="H537" i="7"/>
  <c r="G537" i="7"/>
  <c r="F537" i="7"/>
  <c r="D537" i="7"/>
  <c r="B537" i="7"/>
  <c r="H536" i="7"/>
  <c r="G536" i="7"/>
  <c r="F536" i="7"/>
  <c r="D536" i="7"/>
  <c r="B536" i="7"/>
  <c r="H535" i="7"/>
  <c r="G535" i="7"/>
  <c r="F535" i="7"/>
  <c r="B535" i="7"/>
  <c r="H534" i="7"/>
  <c r="G534" i="7"/>
  <c r="F534" i="7"/>
  <c r="D534" i="7"/>
  <c r="B534" i="7"/>
  <c r="H533" i="7"/>
  <c r="G533" i="7"/>
  <c r="F533" i="7"/>
  <c r="B533" i="7"/>
  <c r="H532" i="7"/>
  <c r="G532" i="7"/>
  <c r="F532" i="7"/>
  <c r="B532" i="7"/>
  <c r="H531" i="7"/>
  <c r="G531" i="7"/>
  <c r="F531" i="7"/>
  <c r="B531" i="7"/>
  <c r="H530" i="7"/>
  <c r="G530" i="7"/>
  <c r="F530" i="7"/>
  <c r="B530" i="7"/>
  <c r="H529" i="7"/>
  <c r="G529" i="7"/>
  <c r="F529" i="7"/>
  <c r="B529" i="7"/>
  <c r="H528" i="7"/>
  <c r="G528" i="7"/>
  <c r="F528" i="7"/>
  <c r="B528" i="7"/>
  <c r="H527" i="7"/>
  <c r="G527" i="7"/>
  <c r="B527" i="7"/>
  <c r="H526" i="7"/>
  <c r="G526" i="7"/>
  <c r="F526" i="7"/>
  <c r="B526" i="7"/>
  <c r="H525" i="7"/>
  <c r="G525" i="7"/>
  <c r="F525" i="7"/>
  <c r="B525" i="7"/>
  <c r="H524" i="7"/>
  <c r="G524" i="7"/>
  <c r="F524" i="7"/>
  <c r="B524" i="7"/>
  <c r="H523" i="7"/>
  <c r="F523" i="7"/>
  <c r="B523" i="7"/>
  <c r="H522" i="7"/>
  <c r="G522" i="7"/>
  <c r="F522" i="7"/>
  <c r="B522" i="7"/>
  <c r="H521" i="7"/>
  <c r="G521" i="7"/>
  <c r="F521" i="7"/>
  <c r="B521" i="7"/>
  <c r="H520" i="7"/>
  <c r="G520" i="7"/>
  <c r="F520" i="7"/>
  <c r="B520" i="7"/>
  <c r="H519" i="7"/>
  <c r="G519" i="7"/>
  <c r="F519" i="7"/>
  <c r="B519" i="7"/>
  <c r="H518" i="7"/>
  <c r="G518" i="7"/>
  <c r="F518" i="7"/>
  <c r="B518" i="7"/>
  <c r="H517" i="7"/>
  <c r="G517" i="7"/>
  <c r="F517" i="7"/>
  <c r="B517" i="7"/>
  <c r="H516" i="7"/>
  <c r="G516" i="7"/>
  <c r="F516" i="7"/>
  <c r="D516" i="7"/>
  <c r="B516" i="7"/>
  <c r="H515" i="7"/>
  <c r="F515" i="7"/>
  <c r="B515" i="7"/>
  <c r="H514" i="7"/>
  <c r="G514" i="7"/>
  <c r="F514" i="7"/>
  <c r="B514" i="7"/>
  <c r="H513" i="7"/>
  <c r="G513" i="7"/>
  <c r="F513" i="7"/>
  <c r="B513" i="7"/>
  <c r="H512" i="7"/>
  <c r="G512" i="7"/>
  <c r="F512" i="7"/>
  <c r="D512" i="7"/>
  <c r="B512" i="7"/>
  <c r="H511" i="7"/>
  <c r="G511" i="7"/>
  <c r="F511" i="7"/>
  <c r="B511" i="7"/>
  <c r="H510" i="7"/>
  <c r="G510" i="7"/>
  <c r="F510" i="7"/>
  <c r="B510" i="7"/>
  <c r="H509" i="7"/>
  <c r="G509" i="7"/>
  <c r="F509" i="7"/>
  <c r="B509" i="7"/>
  <c r="H508" i="7"/>
  <c r="G508" i="7"/>
  <c r="F508" i="7"/>
  <c r="D508" i="7"/>
  <c r="B508" i="7"/>
  <c r="H507" i="7"/>
  <c r="G507" i="7"/>
  <c r="F507" i="7"/>
  <c r="B507" i="7"/>
  <c r="H506" i="7"/>
  <c r="F506" i="7"/>
  <c r="B506" i="7"/>
  <c r="H505" i="7"/>
  <c r="G505" i="7"/>
  <c r="F505" i="7"/>
  <c r="D505" i="7"/>
  <c r="B505" i="7"/>
  <c r="H504" i="7"/>
  <c r="G504" i="7"/>
  <c r="F504" i="7"/>
  <c r="B504" i="7"/>
  <c r="H503" i="7"/>
  <c r="G503" i="7"/>
  <c r="F503" i="7"/>
  <c r="B503" i="7"/>
  <c r="H502" i="7"/>
  <c r="G502" i="7"/>
  <c r="F502" i="7"/>
  <c r="B502" i="7"/>
  <c r="H501" i="7"/>
  <c r="G501" i="7"/>
  <c r="F501" i="7"/>
  <c r="D501" i="7"/>
  <c r="B501" i="7"/>
  <c r="H500" i="7"/>
  <c r="G500" i="7"/>
  <c r="F500" i="7"/>
  <c r="B500" i="7"/>
  <c r="H499" i="7"/>
  <c r="G499" i="7"/>
  <c r="F499" i="7"/>
  <c r="D499" i="7"/>
  <c r="B499" i="7"/>
  <c r="H498" i="7"/>
  <c r="G498" i="7"/>
  <c r="F498" i="7"/>
  <c r="B498" i="7"/>
  <c r="H497" i="7"/>
  <c r="G497" i="7"/>
  <c r="F497" i="7"/>
  <c r="B497" i="7"/>
  <c r="H496" i="7"/>
  <c r="G496" i="7"/>
  <c r="B496" i="7"/>
  <c r="H495" i="7"/>
  <c r="G495" i="7"/>
  <c r="F495" i="7"/>
  <c r="D495" i="7"/>
  <c r="B495" i="7"/>
  <c r="H494" i="7"/>
  <c r="G494" i="7"/>
  <c r="F494" i="7"/>
  <c r="B494" i="7"/>
  <c r="H493" i="7"/>
  <c r="G493" i="7"/>
  <c r="F493" i="7"/>
  <c r="B493" i="7"/>
  <c r="H492" i="7"/>
  <c r="G492" i="7"/>
  <c r="F492" i="7"/>
  <c r="B492" i="7"/>
  <c r="H491" i="7"/>
  <c r="G491" i="7"/>
  <c r="F491" i="7"/>
  <c r="B491" i="7"/>
  <c r="H490" i="7"/>
  <c r="G490" i="7"/>
  <c r="F490" i="7"/>
  <c r="B490" i="7"/>
  <c r="H489" i="7"/>
  <c r="G489" i="7"/>
  <c r="F489" i="7"/>
  <c r="B489" i="7"/>
  <c r="H488" i="7"/>
  <c r="G488" i="7"/>
  <c r="F488" i="7"/>
  <c r="B488" i="7"/>
  <c r="H487" i="7"/>
  <c r="G487" i="7"/>
  <c r="F487" i="7"/>
  <c r="B487" i="7"/>
  <c r="H486" i="7"/>
  <c r="G486" i="7"/>
  <c r="F486" i="7"/>
  <c r="B486" i="7"/>
  <c r="H485" i="7"/>
  <c r="G485" i="7"/>
  <c r="F485" i="7"/>
  <c r="D485" i="7"/>
  <c r="B485" i="7"/>
  <c r="H484" i="7"/>
  <c r="G484" i="7"/>
  <c r="F484" i="7"/>
  <c r="B484" i="7"/>
  <c r="H483" i="7"/>
  <c r="G483" i="7"/>
  <c r="F483" i="7"/>
  <c r="B483" i="7"/>
  <c r="H482" i="7"/>
  <c r="G482" i="7"/>
  <c r="F482" i="7"/>
  <c r="B482" i="7"/>
  <c r="H481" i="7"/>
  <c r="F481" i="7"/>
  <c r="B481" i="7"/>
  <c r="H480" i="7"/>
  <c r="G480" i="7"/>
  <c r="F480" i="7"/>
  <c r="D480" i="7"/>
  <c r="B480" i="7"/>
  <c r="H479" i="7"/>
  <c r="G479" i="7"/>
  <c r="F479" i="7"/>
  <c r="B479" i="7"/>
  <c r="H478" i="7"/>
  <c r="G478" i="7"/>
  <c r="F478" i="7"/>
  <c r="B478" i="7"/>
  <c r="H477" i="7"/>
  <c r="G477" i="7"/>
  <c r="F477" i="7"/>
  <c r="B477" i="7"/>
  <c r="H476" i="7"/>
  <c r="G476" i="7"/>
  <c r="F476" i="7"/>
  <c r="D476" i="7"/>
  <c r="B476" i="7"/>
  <c r="H475" i="7"/>
  <c r="G475" i="7"/>
  <c r="F475" i="7"/>
  <c r="B475" i="7"/>
  <c r="H474" i="7"/>
  <c r="G474" i="7"/>
  <c r="F474" i="7"/>
  <c r="B474" i="7"/>
  <c r="H473" i="7"/>
  <c r="G473" i="7"/>
  <c r="F473" i="7"/>
  <c r="B473" i="7"/>
  <c r="H472" i="7"/>
  <c r="G472" i="7"/>
  <c r="F472" i="7"/>
  <c r="B472" i="7"/>
  <c r="G471" i="7"/>
  <c r="F471" i="7"/>
  <c r="B471" i="7"/>
  <c r="H470" i="7"/>
  <c r="G470" i="7"/>
  <c r="F470" i="7"/>
  <c r="B470" i="7"/>
  <c r="H469" i="7"/>
  <c r="G469" i="7"/>
  <c r="F469" i="7"/>
  <c r="B469" i="7"/>
  <c r="H468" i="7"/>
  <c r="G468" i="7"/>
  <c r="F468" i="7"/>
  <c r="B468" i="7"/>
  <c r="H467" i="7"/>
  <c r="F467" i="7"/>
  <c r="B467" i="7"/>
  <c r="G466" i="7"/>
  <c r="F466" i="7"/>
  <c r="B466" i="7"/>
  <c r="H465" i="7"/>
  <c r="G465" i="7"/>
  <c r="F465" i="7"/>
  <c r="B465" i="7"/>
  <c r="H464" i="7"/>
  <c r="G464" i="7"/>
  <c r="F464" i="7"/>
  <c r="B464" i="7"/>
  <c r="H463" i="7"/>
  <c r="G463" i="7"/>
  <c r="F463" i="7"/>
  <c r="B463" i="7"/>
  <c r="H462" i="7"/>
  <c r="G462" i="7"/>
  <c r="F462" i="7"/>
  <c r="B462" i="7"/>
  <c r="H461" i="7"/>
  <c r="G461" i="7"/>
  <c r="F461" i="7"/>
  <c r="B461" i="7"/>
  <c r="H460" i="7"/>
  <c r="G460" i="7"/>
  <c r="B460" i="7"/>
  <c r="H459" i="7"/>
  <c r="G459" i="7"/>
  <c r="F459" i="7"/>
  <c r="B459" i="7"/>
  <c r="H458" i="7"/>
  <c r="G458" i="7"/>
  <c r="B458" i="7"/>
  <c r="H457" i="7"/>
  <c r="G457" i="7"/>
  <c r="F457" i="7"/>
  <c r="B457" i="7"/>
  <c r="H456" i="7"/>
  <c r="G456" i="7"/>
  <c r="F456" i="7"/>
  <c r="B456" i="7"/>
  <c r="H455" i="7"/>
  <c r="G455" i="7"/>
  <c r="F455" i="7"/>
  <c r="B455" i="7"/>
  <c r="H454" i="7"/>
  <c r="G454" i="7"/>
  <c r="F454" i="7"/>
  <c r="B454" i="7"/>
  <c r="H453" i="7"/>
  <c r="G453" i="7"/>
  <c r="F453" i="7"/>
  <c r="B453" i="7"/>
  <c r="H452" i="7"/>
  <c r="G452" i="7"/>
  <c r="F452" i="7"/>
  <c r="D452" i="7"/>
  <c r="B452" i="7"/>
  <c r="H451" i="7"/>
  <c r="G451" i="7"/>
  <c r="F451" i="7"/>
  <c r="B451" i="7"/>
  <c r="H450" i="7"/>
  <c r="G450" i="7"/>
  <c r="B450" i="7"/>
  <c r="H449" i="7"/>
  <c r="G449" i="7"/>
  <c r="F449" i="7"/>
  <c r="B449" i="7"/>
  <c r="H448" i="7"/>
  <c r="G448" i="7"/>
  <c r="F448" i="7"/>
  <c r="B448" i="7"/>
  <c r="H447" i="7"/>
  <c r="G447" i="7"/>
  <c r="F447" i="7"/>
  <c r="B447" i="7"/>
  <c r="H446" i="7"/>
  <c r="G446" i="7"/>
  <c r="F446" i="7"/>
  <c r="B446" i="7"/>
  <c r="H445" i="7"/>
  <c r="G445" i="7"/>
  <c r="F445" i="7"/>
  <c r="B445" i="7"/>
  <c r="H444" i="7"/>
  <c r="G444" i="7"/>
  <c r="F444" i="7"/>
  <c r="B444" i="7"/>
  <c r="H443" i="7"/>
  <c r="G443" i="7"/>
  <c r="F443" i="7"/>
  <c r="B443" i="7"/>
  <c r="H442" i="7"/>
  <c r="G442" i="7"/>
  <c r="F442" i="7"/>
  <c r="D442" i="7"/>
  <c r="B442" i="7"/>
  <c r="H441" i="7"/>
  <c r="G441" i="7"/>
  <c r="F441" i="7"/>
  <c r="B441" i="7"/>
  <c r="H440" i="7"/>
  <c r="G440" i="7"/>
  <c r="F440" i="7"/>
  <c r="B440" i="7"/>
  <c r="H439" i="7"/>
  <c r="F439" i="7"/>
  <c r="B439" i="7"/>
  <c r="H438" i="7"/>
  <c r="G438" i="7"/>
  <c r="F438" i="7"/>
  <c r="B438" i="7"/>
  <c r="H437" i="7"/>
  <c r="G437" i="7"/>
  <c r="F437" i="7"/>
  <c r="B437" i="7"/>
  <c r="H436" i="7"/>
  <c r="G436" i="7"/>
  <c r="F436" i="7"/>
  <c r="B436" i="7"/>
  <c r="H435" i="7"/>
  <c r="G435" i="7"/>
  <c r="F435" i="7"/>
  <c r="B435" i="7"/>
  <c r="H434" i="7"/>
  <c r="G434" i="7"/>
  <c r="F434" i="7"/>
  <c r="B434" i="7"/>
  <c r="H433" i="7"/>
  <c r="G433" i="7"/>
  <c r="F433" i="7"/>
  <c r="B433" i="7"/>
  <c r="H432" i="7"/>
  <c r="G432" i="7"/>
  <c r="F432" i="7"/>
  <c r="B432" i="7"/>
  <c r="H431" i="7"/>
  <c r="G431" i="7"/>
  <c r="F431" i="7"/>
  <c r="B431" i="7"/>
  <c r="H430" i="7"/>
  <c r="G430" i="7"/>
  <c r="F430" i="7"/>
  <c r="B430" i="7"/>
  <c r="H429" i="7"/>
  <c r="G429" i="7"/>
  <c r="F429" i="7"/>
  <c r="B429" i="7"/>
  <c r="H428" i="7"/>
  <c r="G428" i="7"/>
  <c r="F428" i="7"/>
  <c r="B428" i="7"/>
  <c r="H427" i="7"/>
  <c r="G427" i="7"/>
  <c r="F427" i="7"/>
  <c r="D427" i="7"/>
  <c r="B427" i="7"/>
  <c r="H426" i="7"/>
  <c r="G426" i="7"/>
  <c r="F426" i="7"/>
  <c r="B426" i="7"/>
  <c r="H425" i="7"/>
  <c r="G425" i="7"/>
  <c r="F425" i="7"/>
  <c r="B425" i="7"/>
  <c r="H424" i="7"/>
  <c r="G424" i="7"/>
  <c r="F424" i="7"/>
  <c r="B424" i="7"/>
  <c r="H423" i="7"/>
  <c r="G423" i="7"/>
  <c r="F423" i="7"/>
  <c r="B423" i="7"/>
  <c r="G422" i="7"/>
  <c r="F422" i="7"/>
  <c r="B422" i="7"/>
  <c r="H421" i="7"/>
  <c r="F421" i="7"/>
  <c r="B421" i="7"/>
  <c r="H420" i="7"/>
  <c r="G420" i="7"/>
  <c r="F420" i="7"/>
  <c r="B420" i="7"/>
  <c r="H419" i="7"/>
  <c r="G419" i="7"/>
  <c r="F419" i="7"/>
  <c r="B419" i="7"/>
  <c r="H418" i="7"/>
  <c r="G418" i="7"/>
  <c r="F418" i="7"/>
  <c r="B418" i="7"/>
  <c r="H417" i="7"/>
  <c r="G417" i="7"/>
  <c r="F417" i="7"/>
  <c r="B417" i="7"/>
  <c r="H416" i="7"/>
  <c r="G416" i="7"/>
  <c r="F416" i="7"/>
  <c r="D416" i="7"/>
  <c r="B416" i="7"/>
  <c r="H415" i="7"/>
  <c r="G415" i="7"/>
  <c r="F415" i="7"/>
  <c r="D415" i="7"/>
  <c r="B415" i="7"/>
  <c r="H414" i="7"/>
  <c r="G414" i="7"/>
  <c r="F414" i="7"/>
  <c r="B414" i="7"/>
  <c r="H413" i="7"/>
  <c r="G413" i="7"/>
  <c r="F413" i="7"/>
  <c r="B413" i="7"/>
  <c r="H412" i="7"/>
  <c r="G412" i="7"/>
  <c r="F412" i="7"/>
  <c r="B412" i="7"/>
  <c r="H411" i="7"/>
  <c r="G411" i="7"/>
  <c r="F411" i="7"/>
  <c r="B411" i="7"/>
  <c r="H410" i="7"/>
  <c r="G410" i="7"/>
  <c r="F410" i="7"/>
  <c r="B410" i="7"/>
  <c r="H409" i="7"/>
  <c r="G409" i="7"/>
  <c r="F409" i="7"/>
  <c r="B409" i="7"/>
  <c r="H408" i="7"/>
  <c r="G408" i="7"/>
  <c r="F408" i="7"/>
  <c r="B408" i="7"/>
  <c r="H407" i="7"/>
  <c r="G407" i="7"/>
  <c r="F407" i="7"/>
  <c r="B407" i="7"/>
  <c r="H406" i="7"/>
  <c r="G406" i="7"/>
  <c r="F406" i="7"/>
  <c r="D406" i="7"/>
  <c r="B406" i="7"/>
  <c r="H405" i="7"/>
  <c r="G405" i="7"/>
  <c r="F405" i="7"/>
  <c r="D405" i="7"/>
  <c r="B405" i="7"/>
  <c r="H404" i="7"/>
  <c r="G404" i="7"/>
  <c r="F404" i="7"/>
  <c r="B404" i="7"/>
  <c r="H403" i="7"/>
  <c r="G403" i="7"/>
  <c r="F403" i="7"/>
  <c r="B403" i="7"/>
  <c r="H402" i="7"/>
  <c r="G402" i="7"/>
  <c r="F402" i="7"/>
  <c r="D402" i="7"/>
  <c r="B402" i="7"/>
  <c r="H401" i="7"/>
  <c r="G401" i="7"/>
  <c r="F401" i="7"/>
  <c r="B401" i="7"/>
  <c r="H400" i="7"/>
  <c r="G400" i="7"/>
  <c r="B400" i="7"/>
  <c r="H399" i="7"/>
  <c r="G399" i="7"/>
  <c r="F399" i="7"/>
  <c r="B399" i="7"/>
  <c r="H398" i="7"/>
  <c r="G398" i="7"/>
  <c r="F398" i="7"/>
  <c r="B398" i="7"/>
  <c r="H397" i="7"/>
  <c r="G397" i="7"/>
  <c r="F397" i="7"/>
  <c r="B397" i="7"/>
  <c r="H396" i="7"/>
  <c r="G396" i="7"/>
  <c r="F396" i="7"/>
  <c r="B396" i="7"/>
  <c r="H395" i="7"/>
  <c r="G395" i="7"/>
  <c r="F395" i="7"/>
  <c r="B395" i="7"/>
  <c r="H394" i="7"/>
  <c r="F394" i="7"/>
  <c r="B394" i="7"/>
  <c r="H393" i="7"/>
  <c r="F393" i="7"/>
  <c r="B393" i="7"/>
  <c r="H392" i="7"/>
  <c r="G392" i="7"/>
  <c r="F392" i="7"/>
  <c r="B392" i="7"/>
  <c r="H391" i="7"/>
  <c r="F391" i="7"/>
  <c r="B391" i="7"/>
  <c r="H390" i="7"/>
  <c r="G390" i="7"/>
  <c r="F390" i="7"/>
  <c r="B390" i="7"/>
  <c r="H389" i="7"/>
  <c r="G389" i="7"/>
  <c r="F389" i="7"/>
  <c r="D389" i="7"/>
  <c r="B389" i="7"/>
  <c r="H388" i="7"/>
  <c r="G388" i="7"/>
  <c r="F388" i="7"/>
  <c r="B388" i="7"/>
  <c r="H387" i="7"/>
  <c r="G387" i="7"/>
  <c r="F387" i="7"/>
  <c r="D387" i="7"/>
  <c r="B387" i="7"/>
  <c r="H386" i="7"/>
  <c r="F386" i="7"/>
  <c r="B386" i="7"/>
  <c r="H385" i="7"/>
  <c r="G385" i="7"/>
  <c r="F385" i="7"/>
  <c r="B385" i="7"/>
  <c r="H384" i="7"/>
  <c r="F384" i="7"/>
  <c r="B384" i="7"/>
  <c r="H383" i="7"/>
  <c r="G383" i="7"/>
  <c r="F383" i="7"/>
  <c r="B383" i="7"/>
  <c r="H382" i="7"/>
  <c r="G382" i="7"/>
  <c r="F382" i="7"/>
  <c r="B382" i="7"/>
  <c r="H381" i="7"/>
  <c r="G381" i="7"/>
  <c r="F381" i="7"/>
  <c r="B381" i="7"/>
  <c r="H380" i="7"/>
  <c r="G380" i="7"/>
  <c r="F380" i="7"/>
  <c r="B380" i="7"/>
  <c r="H379" i="7"/>
  <c r="G379" i="7"/>
  <c r="F379" i="7"/>
  <c r="B379" i="7"/>
  <c r="H378" i="7"/>
  <c r="G378" i="7"/>
  <c r="F378" i="7"/>
  <c r="B378" i="7"/>
  <c r="H377" i="7"/>
  <c r="G377" i="7"/>
  <c r="F377" i="7"/>
  <c r="B377" i="7"/>
  <c r="H376" i="7"/>
  <c r="G376" i="7"/>
  <c r="F376" i="7"/>
  <c r="B376" i="7"/>
  <c r="H375" i="7"/>
  <c r="G375" i="7"/>
  <c r="F375" i="7"/>
  <c r="B375" i="7"/>
  <c r="H374" i="7"/>
  <c r="F374" i="7"/>
  <c r="B374" i="7"/>
  <c r="H373" i="7"/>
  <c r="B373" i="7"/>
  <c r="H372" i="7"/>
  <c r="G372" i="7"/>
  <c r="F372" i="7"/>
  <c r="D372" i="7"/>
  <c r="B372" i="7"/>
  <c r="H371" i="7"/>
  <c r="G371" i="7"/>
  <c r="F371" i="7"/>
  <c r="B371" i="7"/>
  <c r="H370" i="7"/>
  <c r="G370" i="7"/>
  <c r="F370" i="7"/>
  <c r="D370" i="7"/>
  <c r="B370" i="7"/>
  <c r="H369" i="7"/>
  <c r="G369" i="7"/>
  <c r="F369" i="7"/>
  <c r="B369" i="7"/>
  <c r="H368" i="7"/>
  <c r="G368" i="7"/>
  <c r="F368" i="7"/>
  <c r="B368" i="7"/>
  <c r="H367" i="7"/>
  <c r="G367" i="7"/>
  <c r="F367" i="7"/>
  <c r="B367" i="7"/>
  <c r="H366" i="7"/>
  <c r="G366" i="7"/>
  <c r="F366" i="7"/>
  <c r="B366" i="7"/>
  <c r="H365" i="7"/>
  <c r="G365" i="7"/>
  <c r="F365" i="7"/>
  <c r="B365" i="7"/>
  <c r="H364" i="7"/>
  <c r="F364" i="7"/>
  <c r="B364" i="7"/>
  <c r="G363" i="7"/>
  <c r="F363" i="7"/>
  <c r="D363" i="7"/>
  <c r="B363" i="7"/>
  <c r="H362" i="7"/>
  <c r="G362" i="7"/>
  <c r="F362" i="7"/>
  <c r="B362" i="7"/>
  <c r="H361" i="7"/>
  <c r="G361" i="7"/>
  <c r="F361" i="7"/>
  <c r="D361" i="7"/>
  <c r="B361" i="7"/>
  <c r="H360" i="7"/>
  <c r="G360" i="7"/>
  <c r="F360" i="7"/>
  <c r="D360" i="7"/>
  <c r="B360" i="7"/>
  <c r="H359" i="7"/>
  <c r="G359" i="7"/>
  <c r="F359" i="7"/>
  <c r="B359" i="7"/>
  <c r="G358" i="7"/>
  <c r="F358" i="7"/>
  <c r="B358" i="7"/>
  <c r="H357" i="7"/>
  <c r="G357" i="7"/>
  <c r="F357" i="7"/>
  <c r="B357" i="7"/>
  <c r="H356" i="7"/>
  <c r="G356" i="7"/>
  <c r="F356" i="7"/>
  <c r="B356" i="7"/>
  <c r="G355" i="7"/>
  <c r="F355" i="7"/>
  <c r="D355" i="7"/>
  <c r="B355" i="7"/>
  <c r="G354" i="7"/>
  <c r="F354" i="7"/>
  <c r="B354" i="7"/>
  <c r="H353" i="7"/>
  <c r="F353" i="7"/>
  <c r="B353" i="7"/>
  <c r="G352" i="7"/>
  <c r="F352" i="7"/>
  <c r="B352" i="7"/>
  <c r="G351" i="7"/>
  <c r="F351" i="7"/>
  <c r="B351" i="7"/>
  <c r="H350" i="7"/>
  <c r="G350" i="7"/>
  <c r="F350" i="7"/>
  <c r="B350" i="7"/>
  <c r="H349" i="7"/>
  <c r="G349" i="7"/>
  <c r="F349" i="7"/>
  <c r="B349" i="7"/>
  <c r="H348" i="7"/>
  <c r="G348" i="7"/>
  <c r="F348" i="7"/>
  <c r="B348" i="7"/>
  <c r="H347" i="7"/>
  <c r="G347" i="7"/>
  <c r="F347" i="7"/>
  <c r="B347" i="7"/>
  <c r="H346" i="7"/>
  <c r="G346" i="7"/>
  <c r="F346" i="7"/>
  <c r="B346" i="7"/>
  <c r="H345" i="7"/>
  <c r="G345" i="7"/>
  <c r="F345" i="7"/>
  <c r="B345" i="7"/>
  <c r="G344" i="7"/>
  <c r="F344" i="7"/>
  <c r="B344" i="7"/>
  <c r="H343" i="7"/>
  <c r="G343" i="7"/>
  <c r="F343" i="7"/>
  <c r="B343" i="7"/>
  <c r="H342" i="7"/>
  <c r="G342" i="7"/>
  <c r="F342" i="7"/>
  <c r="B342" i="7"/>
  <c r="H341" i="7"/>
  <c r="G341" i="7"/>
  <c r="F341" i="7"/>
  <c r="D341" i="7"/>
  <c r="B341" i="7"/>
  <c r="H340" i="7"/>
  <c r="G340" i="7"/>
  <c r="F340" i="7"/>
  <c r="B340" i="7"/>
  <c r="H339" i="7"/>
  <c r="G339" i="7"/>
  <c r="F339" i="7"/>
  <c r="B339" i="7"/>
  <c r="H338" i="7"/>
  <c r="G338" i="7"/>
  <c r="F338" i="7"/>
  <c r="B338" i="7"/>
  <c r="H337" i="7"/>
  <c r="G337" i="7"/>
  <c r="F337" i="7"/>
  <c r="B337" i="7"/>
  <c r="G336" i="7"/>
  <c r="F336" i="7"/>
  <c r="B336" i="7"/>
  <c r="H335" i="7"/>
  <c r="G335" i="7"/>
  <c r="F335" i="7"/>
  <c r="B335" i="7"/>
  <c r="H334" i="7"/>
  <c r="G334" i="7"/>
  <c r="F334" i="7"/>
  <c r="D334" i="7"/>
  <c r="B334" i="7"/>
  <c r="H333" i="7"/>
  <c r="G333" i="7"/>
  <c r="F333" i="7"/>
  <c r="B333" i="7"/>
  <c r="H332" i="7"/>
  <c r="G332" i="7"/>
  <c r="F332" i="7"/>
  <c r="B332" i="7"/>
  <c r="G331" i="7"/>
  <c r="F331" i="7"/>
  <c r="D331" i="7"/>
  <c r="B331" i="7"/>
  <c r="G330" i="7"/>
  <c r="D330" i="7"/>
  <c r="B330" i="7"/>
  <c r="H329" i="7"/>
  <c r="G329" i="7"/>
  <c r="F329" i="7"/>
  <c r="B329" i="7"/>
  <c r="G328" i="7"/>
  <c r="F328" i="7"/>
  <c r="D328" i="7"/>
  <c r="B328" i="7"/>
  <c r="H327" i="7"/>
  <c r="G327" i="7"/>
  <c r="F327" i="7"/>
  <c r="B327" i="7"/>
  <c r="G326" i="7"/>
  <c r="F326" i="7"/>
  <c r="B326" i="7"/>
  <c r="H325" i="7"/>
  <c r="G325" i="7"/>
  <c r="F325" i="7"/>
  <c r="D325" i="7"/>
  <c r="B325" i="7"/>
  <c r="H324" i="7"/>
  <c r="G324" i="7"/>
  <c r="D324" i="7"/>
  <c r="B324" i="7"/>
  <c r="H323" i="7"/>
  <c r="G323" i="7"/>
  <c r="F323" i="7"/>
  <c r="B323" i="7"/>
  <c r="H322" i="7"/>
  <c r="G322" i="7"/>
  <c r="F322" i="7"/>
  <c r="B322" i="7"/>
  <c r="H321" i="7"/>
  <c r="G321" i="7"/>
  <c r="F321" i="7"/>
  <c r="B321" i="7"/>
  <c r="H320" i="7"/>
  <c r="G320" i="7"/>
  <c r="F320" i="7"/>
  <c r="B320" i="7"/>
  <c r="H319" i="7"/>
  <c r="G319" i="7"/>
  <c r="F319" i="7"/>
  <c r="D319" i="7"/>
  <c r="B319" i="7"/>
  <c r="H318" i="7"/>
  <c r="F318" i="7"/>
  <c r="D318" i="7"/>
  <c r="B318" i="7"/>
  <c r="H317" i="7"/>
  <c r="F317" i="7"/>
  <c r="D317" i="7"/>
  <c r="B317" i="7"/>
  <c r="H316" i="7"/>
  <c r="G316" i="7"/>
  <c r="F316" i="7"/>
  <c r="B316" i="7"/>
  <c r="G315" i="7"/>
  <c r="F315" i="7"/>
  <c r="B315" i="7"/>
  <c r="H314" i="7"/>
  <c r="G314" i="7"/>
  <c r="F314" i="7"/>
  <c r="B314" i="7"/>
  <c r="H313" i="7"/>
  <c r="G313" i="7"/>
  <c r="F313" i="7"/>
  <c r="B313" i="7"/>
  <c r="H312" i="7"/>
  <c r="G312" i="7"/>
  <c r="F312" i="7"/>
  <c r="B312" i="7"/>
  <c r="H311" i="7"/>
  <c r="G311" i="7"/>
  <c r="F311" i="7"/>
  <c r="D311" i="7"/>
  <c r="B311" i="7"/>
  <c r="H310" i="7"/>
  <c r="G310" i="7"/>
  <c r="F310" i="7"/>
  <c r="B310" i="7"/>
  <c r="G309" i="7"/>
  <c r="F309" i="7"/>
  <c r="B309" i="7"/>
  <c r="H308" i="7"/>
  <c r="G308" i="7"/>
  <c r="F308" i="7"/>
  <c r="B308" i="7"/>
  <c r="G307" i="7"/>
  <c r="B307" i="7"/>
  <c r="H306" i="7"/>
  <c r="G306" i="7"/>
  <c r="F306" i="7"/>
  <c r="B306" i="7"/>
  <c r="H305" i="7"/>
  <c r="G305" i="7"/>
  <c r="F305" i="7"/>
  <c r="B305" i="7"/>
  <c r="H304" i="7"/>
  <c r="G304" i="7"/>
  <c r="F304" i="7"/>
  <c r="B304" i="7"/>
  <c r="H303" i="7"/>
  <c r="G303" i="7"/>
  <c r="F303" i="7"/>
  <c r="B303" i="7"/>
  <c r="H302" i="7"/>
  <c r="G302" i="7"/>
  <c r="F302" i="7"/>
  <c r="B302" i="7"/>
  <c r="H301" i="7"/>
  <c r="G301" i="7"/>
  <c r="B301" i="7"/>
  <c r="G300" i="7"/>
  <c r="F300" i="7"/>
  <c r="B300" i="7"/>
  <c r="H299" i="7"/>
  <c r="G299" i="7"/>
  <c r="F299" i="7"/>
  <c r="B299" i="7"/>
  <c r="H298" i="7"/>
  <c r="G298" i="7"/>
  <c r="F298" i="7"/>
  <c r="B298" i="7"/>
  <c r="H297" i="7"/>
  <c r="G297" i="7"/>
  <c r="F297" i="7"/>
  <c r="B297" i="7"/>
  <c r="H296" i="7"/>
  <c r="G296" i="7"/>
  <c r="F296" i="7"/>
  <c r="B296" i="7"/>
  <c r="H295" i="7"/>
  <c r="G295" i="7"/>
  <c r="F295" i="7"/>
  <c r="B295" i="7"/>
  <c r="H294" i="7"/>
  <c r="G294" i="7"/>
  <c r="F294" i="7"/>
  <c r="D294" i="7"/>
  <c r="B294" i="7"/>
  <c r="H293" i="7"/>
  <c r="G293" i="7"/>
  <c r="F293" i="7"/>
  <c r="B293" i="7"/>
  <c r="G292" i="7"/>
  <c r="F292" i="7"/>
  <c r="B292" i="7"/>
  <c r="H291" i="7"/>
  <c r="G291" i="7"/>
  <c r="F291" i="7"/>
  <c r="B291" i="7"/>
  <c r="H290" i="7"/>
  <c r="G290" i="7"/>
  <c r="F290" i="7"/>
  <c r="D290" i="7"/>
  <c r="B290" i="7"/>
  <c r="H289" i="7"/>
  <c r="G289" i="7"/>
  <c r="F289" i="7"/>
  <c r="B289" i="7"/>
  <c r="G288" i="7"/>
  <c r="F288" i="7"/>
  <c r="B288" i="7"/>
  <c r="H287" i="7"/>
  <c r="G287" i="7"/>
  <c r="F287" i="7"/>
  <c r="D287" i="7"/>
  <c r="B287" i="7"/>
  <c r="H286" i="7"/>
  <c r="G286" i="7"/>
  <c r="F286" i="7"/>
  <c r="B286" i="7"/>
  <c r="H285" i="7"/>
  <c r="G285" i="7"/>
  <c r="F285" i="7"/>
  <c r="B285" i="7"/>
  <c r="H284" i="7"/>
  <c r="G284" i="7"/>
  <c r="F284" i="7"/>
  <c r="D284" i="7"/>
  <c r="B284" i="7"/>
  <c r="H283" i="7"/>
  <c r="G283" i="7"/>
  <c r="F283" i="7"/>
  <c r="D283" i="7"/>
  <c r="B283" i="7"/>
  <c r="G282" i="7"/>
  <c r="F282" i="7"/>
  <c r="B282" i="7"/>
  <c r="G281" i="7"/>
  <c r="F281" i="7"/>
  <c r="D281" i="7"/>
  <c r="B281" i="7"/>
  <c r="H280" i="7"/>
  <c r="G280" i="7"/>
  <c r="F280" i="7"/>
  <c r="B280" i="7"/>
  <c r="H279" i="7"/>
  <c r="G279" i="7"/>
  <c r="F279" i="7"/>
  <c r="B279" i="7"/>
  <c r="H278" i="7"/>
  <c r="F278" i="7"/>
  <c r="B278" i="7"/>
  <c r="H277" i="7"/>
  <c r="G277" i="7"/>
  <c r="D277" i="7"/>
  <c r="B277" i="7"/>
  <c r="H276" i="7"/>
  <c r="G276" i="7"/>
  <c r="F276" i="7"/>
  <c r="B276" i="7"/>
  <c r="H275" i="7"/>
  <c r="G275" i="7"/>
  <c r="F275" i="7"/>
  <c r="D275" i="7"/>
  <c r="B275" i="7"/>
  <c r="H274" i="7"/>
  <c r="G274" i="7"/>
  <c r="F274" i="7"/>
  <c r="B274" i="7"/>
  <c r="G273" i="7"/>
  <c r="F273" i="7"/>
  <c r="B273" i="7"/>
  <c r="H272" i="7"/>
  <c r="G272" i="7"/>
  <c r="F272" i="7"/>
  <c r="B272" i="7"/>
  <c r="G271" i="7"/>
  <c r="F271" i="7"/>
  <c r="D271" i="7"/>
  <c r="B271" i="7"/>
  <c r="H270" i="7"/>
  <c r="G270" i="7"/>
  <c r="F270" i="7"/>
  <c r="D270" i="7"/>
  <c r="B270" i="7"/>
  <c r="H269" i="7"/>
  <c r="G269" i="7"/>
  <c r="F269" i="7"/>
  <c r="B269" i="7"/>
  <c r="H268" i="7"/>
  <c r="G268" i="7"/>
  <c r="F268" i="7"/>
  <c r="D268" i="7"/>
  <c r="B268" i="7"/>
  <c r="H267" i="7"/>
  <c r="G267" i="7"/>
  <c r="F267" i="7"/>
  <c r="B267" i="7"/>
  <c r="H266" i="7"/>
  <c r="G266" i="7"/>
  <c r="F266" i="7"/>
  <c r="B266" i="7"/>
  <c r="G265" i="7"/>
  <c r="F265" i="7"/>
  <c r="D265" i="7"/>
  <c r="B265" i="7"/>
  <c r="H264" i="7"/>
  <c r="G264" i="7"/>
  <c r="F264" i="7"/>
  <c r="B264" i="7"/>
  <c r="H263" i="7"/>
  <c r="G263" i="7"/>
  <c r="B263" i="7"/>
  <c r="H262" i="7"/>
  <c r="G262" i="7"/>
  <c r="F262" i="7"/>
  <c r="B262" i="7"/>
  <c r="H261" i="7"/>
  <c r="F261" i="7"/>
  <c r="B261" i="7"/>
  <c r="H260" i="7"/>
  <c r="G260" i="7"/>
  <c r="F260" i="7"/>
  <c r="B260" i="7"/>
  <c r="H259" i="7"/>
  <c r="F259" i="7"/>
  <c r="B259" i="7"/>
  <c r="H258" i="7"/>
  <c r="F258" i="7"/>
  <c r="B258" i="7"/>
  <c r="H257" i="7"/>
  <c r="G257" i="7"/>
  <c r="F257" i="7"/>
  <c r="B257" i="7"/>
  <c r="H256" i="7"/>
  <c r="G256" i="7"/>
  <c r="F256" i="7"/>
  <c r="B256" i="7"/>
  <c r="G255" i="7"/>
  <c r="F255" i="7"/>
  <c r="B255" i="7"/>
  <c r="H254" i="7"/>
  <c r="G254" i="7"/>
  <c r="F254" i="7"/>
  <c r="D254" i="7"/>
  <c r="B254" i="7"/>
  <c r="H253" i="7"/>
  <c r="G253" i="7"/>
  <c r="F253" i="7"/>
  <c r="B253" i="7"/>
  <c r="H252" i="7"/>
  <c r="G252" i="7"/>
  <c r="F252" i="7"/>
  <c r="B252" i="7"/>
  <c r="H251" i="7"/>
  <c r="G251" i="7"/>
  <c r="D251" i="7"/>
  <c r="B251" i="7"/>
  <c r="H250" i="7"/>
  <c r="G250" i="7"/>
  <c r="F250" i="7"/>
  <c r="B250" i="7"/>
  <c r="H249" i="7"/>
  <c r="G249" i="7"/>
  <c r="F249" i="7"/>
  <c r="B249" i="7"/>
  <c r="H248" i="7"/>
  <c r="G248" i="7"/>
  <c r="F248" i="7"/>
  <c r="B248" i="7"/>
  <c r="H247" i="7"/>
  <c r="G247" i="7"/>
  <c r="F247" i="7"/>
  <c r="B247" i="7"/>
  <c r="H246" i="7"/>
  <c r="G246" i="7"/>
  <c r="F246" i="7"/>
  <c r="B246" i="7"/>
  <c r="G245" i="7"/>
  <c r="F245" i="7"/>
  <c r="B245" i="7"/>
  <c r="G244" i="7"/>
  <c r="F244" i="7"/>
  <c r="B244" i="7"/>
  <c r="H243" i="7"/>
  <c r="G243" i="7"/>
  <c r="F243" i="7"/>
  <c r="B243" i="7"/>
  <c r="H242" i="7"/>
  <c r="G242" i="7"/>
  <c r="F242" i="7"/>
  <c r="B242" i="7"/>
  <c r="H241" i="7"/>
  <c r="G241" i="7"/>
  <c r="F241" i="7"/>
  <c r="B241" i="7"/>
  <c r="H240" i="7"/>
  <c r="G240" i="7"/>
  <c r="F240" i="7"/>
  <c r="B240" i="7"/>
  <c r="H239" i="7"/>
  <c r="G239" i="7"/>
  <c r="F239" i="7"/>
  <c r="B239" i="7"/>
  <c r="H238" i="7"/>
  <c r="G238" i="7"/>
  <c r="F238" i="7"/>
  <c r="D238" i="7"/>
  <c r="B238" i="7"/>
  <c r="H237" i="7"/>
  <c r="G237" i="7"/>
  <c r="F237" i="7"/>
  <c r="B237" i="7"/>
  <c r="G236" i="7"/>
  <c r="F236" i="7"/>
  <c r="B236" i="7"/>
  <c r="H235" i="7"/>
  <c r="G235" i="7"/>
  <c r="F235" i="7"/>
  <c r="D235" i="7"/>
  <c r="B235" i="7"/>
  <c r="H234" i="7"/>
  <c r="G234" i="7"/>
  <c r="F234" i="7"/>
  <c r="D234" i="7"/>
  <c r="B234" i="7"/>
  <c r="H233" i="7"/>
  <c r="G233" i="7"/>
  <c r="F233" i="7"/>
  <c r="B233" i="7"/>
  <c r="H232" i="7"/>
  <c r="G232" i="7"/>
  <c r="F232" i="7"/>
  <c r="B232" i="7"/>
  <c r="H231" i="7"/>
  <c r="G231" i="7"/>
  <c r="F231" i="7"/>
  <c r="B231" i="7"/>
  <c r="H230" i="7"/>
  <c r="G230" i="7"/>
  <c r="F230" i="7"/>
  <c r="B230" i="7"/>
  <c r="H229" i="7"/>
  <c r="G229" i="7"/>
  <c r="F229" i="7"/>
  <c r="B229" i="7"/>
  <c r="G228" i="7"/>
  <c r="F228" i="7"/>
  <c r="B228" i="7"/>
  <c r="G227" i="7"/>
  <c r="F227" i="7"/>
  <c r="B227" i="7"/>
  <c r="H226" i="7"/>
  <c r="G226" i="7"/>
  <c r="F226" i="7"/>
  <c r="B226" i="7"/>
  <c r="H225" i="7"/>
  <c r="G225" i="7"/>
  <c r="F225" i="7"/>
  <c r="B225" i="7"/>
  <c r="G224" i="7"/>
  <c r="D224" i="7"/>
  <c r="B224" i="7"/>
  <c r="H223" i="7"/>
  <c r="G223" i="7"/>
  <c r="F223" i="7"/>
  <c r="B223" i="7"/>
  <c r="G222" i="7"/>
  <c r="F222" i="7"/>
  <c r="D222" i="7"/>
  <c r="B222" i="7"/>
  <c r="H221" i="7"/>
  <c r="G221" i="7"/>
  <c r="F221" i="7"/>
  <c r="B221" i="7"/>
  <c r="H220" i="7"/>
  <c r="F220" i="7"/>
  <c r="B220" i="7"/>
  <c r="H219" i="7"/>
  <c r="G219" i="7"/>
  <c r="F219" i="7"/>
  <c r="B219" i="7"/>
  <c r="F218" i="7"/>
  <c r="D218" i="7"/>
  <c r="B218" i="7"/>
  <c r="G217" i="7"/>
  <c r="F217" i="7"/>
  <c r="B217" i="7"/>
  <c r="H216" i="7"/>
  <c r="G216" i="7"/>
  <c r="F216" i="7"/>
  <c r="B216" i="7"/>
  <c r="H215" i="7"/>
  <c r="G215" i="7"/>
  <c r="F215" i="7"/>
  <c r="B215" i="7"/>
  <c r="H214" i="7"/>
  <c r="F214" i="7"/>
  <c r="B214" i="7"/>
  <c r="H213" i="7"/>
  <c r="G213" i="7"/>
  <c r="F213" i="7"/>
  <c r="B213" i="7"/>
  <c r="H212" i="7"/>
  <c r="G212" i="7"/>
  <c r="F212" i="7"/>
  <c r="B212" i="7"/>
  <c r="H211" i="7"/>
  <c r="G211" i="7"/>
  <c r="F211" i="7"/>
  <c r="B211" i="7"/>
  <c r="H210" i="7"/>
  <c r="G210" i="7"/>
  <c r="F210" i="7"/>
  <c r="B210" i="7"/>
  <c r="H209" i="7"/>
  <c r="G209" i="7"/>
  <c r="F209" i="7"/>
  <c r="B209" i="7"/>
  <c r="H208" i="7"/>
  <c r="G208" i="7"/>
  <c r="F208" i="7"/>
  <c r="B208" i="7"/>
  <c r="F207" i="7"/>
  <c r="B207" i="7"/>
  <c r="H206" i="7"/>
  <c r="G206" i="7"/>
  <c r="F206" i="7"/>
  <c r="B206" i="7"/>
  <c r="H205" i="7"/>
  <c r="G205" i="7"/>
  <c r="F205" i="7"/>
  <c r="D205" i="7"/>
  <c r="B205" i="7"/>
  <c r="G204" i="7"/>
  <c r="F204" i="7"/>
  <c r="B204" i="7"/>
  <c r="H203" i="7"/>
  <c r="G203" i="7"/>
  <c r="F203" i="7"/>
  <c r="B203" i="7"/>
  <c r="H202" i="7"/>
  <c r="F202" i="7"/>
  <c r="D202" i="7"/>
  <c r="B202" i="7"/>
  <c r="H201" i="7"/>
  <c r="G201" i="7"/>
  <c r="F201" i="7"/>
  <c r="B201" i="7"/>
  <c r="G200" i="7"/>
  <c r="F200" i="7"/>
  <c r="D200" i="7"/>
  <c r="B200" i="7"/>
  <c r="H199" i="7"/>
  <c r="G199" i="7"/>
  <c r="F199" i="7"/>
  <c r="B199" i="7"/>
  <c r="H198" i="7"/>
  <c r="G198" i="7"/>
  <c r="F198" i="7"/>
  <c r="B198" i="7"/>
  <c r="G197" i="7"/>
  <c r="F197" i="7"/>
  <c r="B197" i="7"/>
  <c r="G196" i="7"/>
  <c r="F196" i="7"/>
  <c r="B196" i="7"/>
  <c r="H195" i="7"/>
  <c r="G195" i="7"/>
  <c r="F195" i="7"/>
  <c r="B195" i="7"/>
  <c r="G194" i="7"/>
  <c r="F194" i="7"/>
  <c r="B194" i="7"/>
  <c r="H193" i="7"/>
  <c r="G193" i="7"/>
  <c r="F193" i="7"/>
  <c r="B193" i="7"/>
  <c r="H192" i="7"/>
  <c r="F192" i="7"/>
  <c r="D192" i="7"/>
  <c r="B192" i="7"/>
  <c r="H191" i="7"/>
  <c r="G191" i="7"/>
  <c r="F191" i="7"/>
  <c r="B191" i="7"/>
  <c r="H190" i="7"/>
  <c r="G190" i="7"/>
  <c r="F190" i="7"/>
  <c r="B190" i="7"/>
  <c r="H189" i="7"/>
  <c r="F189" i="7"/>
  <c r="D189" i="7"/>
  <c r="B189" i="7"/>
  <c r="H188" i="7"/>
  <c r="G188" i="7"/>
  <c r="F188" i="7"/>
  <c r="B188" i="7"/>
  <c r="H187" i="7"/>
  <c r="G187" i="7"/>
  <c r="F187" i="7"/>
  <c r="B187" i="7"/>
  <c r="H186" i="7"/>
  <c r="G186" i="7"/>
  <c r="F186" i="7"/>
  <c r="D186" i="7"/>
  <c r="B186" i="7"/>
  <c r="H185" i="7"/>
  <c r="G185" i="7"/>
  <c r="F185" i="7"/>
  <c r="B185" i="7"/>
  <c r="H184" i="7"/>
  <c r="G184" i="7"/>
  <c r="F184" i="7"/>
  <c r="B184" i="7"/>
  <c r="H183" i="7"/>
  <c r="G183" i="7"/>
  <c r="F183" i="7"/>
  <c r="B183" i="7"/>
  <c r="H182" i="7"/>
  <c r="G182" i="7"/>
  <c r="F182" i="7"/>
  <c r="B182" i="7"/>
  <c r="H181" i="7"/>
  <c r="G181" i="7"/>
  <c r="F181" i="7"/>
  <c r="B181" i="7"/>
  <c r="H180" i="7"/>
  <c r="G180" i="7"/>
  <c r="F180" i="7"/>
  <c r="B180" i="7"/>
  <c r="G179" i="7"/>
  <c r="F179" i="7"/>
  <c r="D179" i="7"/>
  <c r="B179" i="7"/>
  <c r="H178" i="7"/>
  <c r="G178" i="7"/>
  <c r="F178" i="7"/>
  <c r="B178" i="7"/>
  <c r="H177" i="7"/>
  <c r="G177" i="7"/>
  <c r="F177" i="7"/>
  <c r="B177" i="7"/>
  <c r="H176" i="7"/>
  <c r="G176" i="7"/>
  <c r="B176" i="7"/>
  <c r="H175" i="7"/>
  <c r="G175" i="7"/>
  <c r="F175" i="7"/>
  <c r="B175" i="7"/>
  <c r="H174" i="7"/>
  <c r="G174" i="7"/>
  <c r="F174" i="7"/>
  <c r="B174" i="7"/>
  <c r="H173" i="7"/>
  <c r="G173" i="7"/>
  <c r="F173" i="7"/>
  <c r="B173" i="7"/>
  <c r="H172" i="7"/>
  <c r="G172" i="7"/>
  <c r="F172" i="7"/>
  <c r="B172" i="7"/>
  <c r="H171" i="7"/>
  <c r="G171" i="7"/>
  <c r="F171" i="7"/>
  <c r="B171" i="7"/>
  <c r="H170" i="7"/>
  <c r="G170" i="7"/>
  <c r="B170" i="7"/>
  <c r="H169" i="7"/>
  <c r="G169" i="7"/>
  <c r="F169" i="7"/>
  <c r="B169" i="7"/>
  <c r="H168" i="7"/>
  <c r="G168" i="7"/>
  <c r="F168" i="7"/>
  <c r="B168" i="7"/>
  <c r="H167" i="7"/>
  <c r="G167" i="7"/>
  <c r="F167" i="7"/>
  <c r="B167" i="7"/>
  <c r="H166" i="7"/>
  <c r="G166" i="7"/>
  <c r="F166" i="7"/>
  <c r="B166" i="7"/>
  <c r="H165" i="7"/>
  <c r="G165" i="7"/>
  <c r="F165" i="7"/>
  <c r="B165" i="7"/>
  <c r="H164" i="7"/>
  <c r="G164" i="7"/>
  <c r="F164" i="7"/>
  <c r="B164" i="7"/>
  <c r="G163" i="7"/>
  <c r="F163" i="7"/>
  <c r="B163" i="7"/>
  <c r="H162" i="7"/>
  <c r="G162" i="7"/>
  <c r="F162" i="7"/>
  <c r="B162" i="7"/>
  <c r="H161" i="7"/>
  <c r="G161" i="7"/>
  <c r="F161" i="7"/>
  <c r="D161" i="7"/>
  <c r="B161" i="7"/>
  <c r="H160" i="7"/>
  <c r="G160" i="7"/>
  <c r="F160" i="7"/>
  <c r="B160" i="7"/>
  <c r="H159" i="7"/>
  <c r="G159" i="7"/>
  <c r="F159" i="7"/>
  <c r="B159" i="7"/>
  <c r="H158" i="7"/>
  <c r="G158" i="7"/>
  <c r="F158" i="7"/>
  <c r="B158" i="7"/>
  <c r="G157" i="7"/>
  <c r="F157" i="7"/>
  <c r="B157" i="7"/>
  <c r="H156" i="7"/>
  <c r="G156" i="7"/>
  <c r="F156" i="7"/>
  <c r="B156" i="7"/>
  <c r="H155" i="7"/>
  <c r="G155" i="7"/>
  <c r="F155" i="7"/>
  <c r="B155" i="7"/>
  <c r="H154" i="7"/>
  <c r="G154" i="7"/>
  <c r="F154" i="7"/>
  <c r="B154" i="7"/>
  <c r="H153" i="7"/>
  <c r="G153" i="7"/>
  <c r="F153" i="7"/>
  <c r="B153" i="7"/>
  <c r="H152" i="7"/>
  <c r="G152" i="7"/>
  <c r="F152" i="7"/>
  <c r="B152" i="7"/>
  <c r="F151" i="7"/>
  <c r="B151" i="7"/>
  <c r="H150" i="7"/>
  <c r="G150" i="7"/>
  <c r="F150" i="7"/>
  <c r="B150" i="7"/>
  <c r="H149" i="7"/>
  <c r="G149" i="7"/>
  <c r="F149" i="7"/>
  <c r="B149" i="7"/>
  <c r="H148" i="7"/>
  <c r="G148" i="7"/>
  <c r="F148" i="7"/>
  <c r="B148" i="7"/>
  <c r="G147" i="7"/>
  <c r="F147" i="7"/>
  <c r="B147" i="7"/>
  <c r="H146" i="7"/>
  <c r="G146" i="7"/>
  <c r="F146" i="7"/>
  <c r="B146" i="7"/>
  <c r="H145" i="7"/>
  <c r="G145" i="7"/>
  <c r="F145" i="7"/>
  <c r="B145" i="7"/>
  <c r="H144" i="7"/>
  <c r="G144" i="7"/>
  <c r="F144" i="7"/>
  <c r="B144" i="7"/>
  <c r="H143" i="7"/>
  <c r="G143" i="7"/>
  <c r="F143" i="7"/>
  <c r="B143" i="7"/>
  <c r="H142" i="7"/>
  <c r="G142" i="7"/>
  <c r="F142" i="7"/>
  <c r="B142" i="7"/>
  <c r="H141" i="7"/>
  <c r="G141" i="7"/>
  <c r="F141" i="7"/>
  <c r="D141" i="7"/>
  <c r="B141" i="7"/>
  <c r="H140" i="7"/>
  <c r="F140" i="7"/>
  <c r="B140" i="7"/>
  <c r="H139" i="7"/>
  <c r="G139" i="7"/>
  <c r="F139" i="7"/>
  <c r="B139" i="7"/>
  <c r="H138" i="7"/>
  <c r="G138" i="7"/>
  <c r="F138" i="7"/>
  <c r="B138" i="7"/>
  <c r="H137" i="7"/>
  <c r="G137" i="7"/>
  <c r="F137" i="7"/>
  <c r="D137" i="7"/>
  <c r="B137" i="7"/>
  <c r="H136" i="7"/>
  <c r="G136" i="7"/>
  <c r="F136" i="7"/>
  <c r="B136" i="7"/>
  <c r="H135" i="7"/>
  <c r="G135" i="7"/>
  <c r="F135" i="7"/>
  <c r="B135" i="7"/>
  <c r="H134" i="7"/>
  <c r="G134" i="7"/>
  <c r="F134" i="7"/>
  <c r="B134" i="7"/>
  <c r="H133" i="7"/>
  <c r="G133" i="7"/>
  <c r="F133" i="7"/>
  <c r="B133" i="7"/>
  <c r="G132" i="7"/>
  <c r="F132" i="7"/>
  <c r="B132" i="7"/>
  <c r="H131" i="7"/>
  <c r="G131" i="7"/>
  <c r="F131" i="7"/>
  <c r="B131" i="7"/>
  <c r="G130" i="7"/>
  <c r="F130" i="7"/>
  <c r="B130" i="7"/>
  <c r="H129" i="7"/>
  <c r="G129" i="7"/>
  <c r="F129" i="7"/>
  <c r="B129" i="7"/>
  <c r="H128" i="7"/>
  <c r="G128" i="7"/>
  <c r="F128" i="7"/>
  <c r="B128" i="7"/>
  <c r="G127" i="7"/>
  <c r="F127" i="7"/>
  <c r="B127" i="7"/>
  <c r="H126" i="7"/>
  <c r="G126" i="7"/>
  <c r="F126" i="7"/>
  <c r="B126" i="7"/>
  <c r="H125" i="7"/>
  <c r="G125" i="7"/>
  <c r="F125" i="7"/>
  <c r="B125" i="7"/>
  <c r="G124" i="7"/>
  <c r="F124" i="7"/>
  <c r="B124" i="7"/>
  <c r="H123" i="7"/>
  <c r="G123" i="7"/>
  <c r="F123" i="7"/>
  <c r="B123" i="7"/>
  <c r="H122" i="7"/>
  <c r="G122" i="7"/>
  <c r="F122" i="7"/>
  <c r="B122" i="7"/>
  <c r="H121" i="7"/>
  <c r="G121" i="7"/>
  <c r="F121" i="7"/>
  <c r="B121" i="7"/>
  <c r="H120" i="7"/>
  <c r="G120" i="7"/>
  <c r="F120" i="7"/>
  <c r="B120" i="7"/>
  <c r="H119" i="7"/>
  <c r="G119" i="7"/>
  <c r="F119" i="7"/>
  <c r="B119" i="7"/>
  <c r="H118" i="7"/>
  <c r="G118" i="7"/>
  <c r="F118" i="7"/>
  <c r="B118" i="7"/>
  <c r="H117" i="7"/>
  <c r="G117" i="7"/>
  <c r="F117" i="7"/>
  <c r="D117" i="7"/>
  <c r="B117" i="7"/>
  <c r="H116" i="7"/>
  <c r="G116" i="7"/>
  <c r="F116" i="7"/>
  <c r="B116" i="7"/>
  <c r="H115" i="7"/>
  <c r="G115" i="7"/>
  <c r="F115" i="7"/>
  <c r="D115" i="7"/>
  <c r="B115" i="7"/>
  <c r="H114" i="7"/>
  <c r="G114" i="7"/>
  <c r="F114" i="7"/>
  <c r="B114" i="7"/>
  <c r="H113" i="7"/>
  <c r="G113" i="7"/>
  <c r="F113" i="7"/>
  <c r="B113" i="7"/>
  <c r="H112" i="7"/>
  <c r="G112" i="7"/>
  <c r="F112" i="7"/>
  <c r="B112" i="7"/>
  <c r="H111" i="7"/>
  <c r="G111" i="7"/>
  <c r="F111" i="7"/>
  <c r="B111" i="7"/>
  <c r="H110" i="7"/>
  <c r="G110" i="7"/>
  <c r="F110" i="7"/>
  <c r="D110" i="7"/>
  <c r="B110" i="7"/>
  <c r="H109" i="7"/>
  <c r="G109" i="7"/>
  <c r="F109" i="7"/>
  <c r="D109" i="7"/>
  <c r="B109" i="7"/>
  <c r="H108" i="7"/>
  <c r="G108" i="7"/>
  <c r="F108" i="7"/>
  <c r="B108" i="7"/>
  <c r="H107" i="7"/>
  <c r="G107" i="7"/>
  <c r="B107" i="7"/>
  <c r="H106" i="7"/>
  <c r="G106" i="7"/>
  <c r="F106" i="7"/>
  <c r="B106" i="7"/>
  <c r="H105" i="7"/>
  <c r="G105" i="7"/>
  <c r="F105" i="7"/>
  <c r="B105" i="7"/>
  <c r="H104" i="7"/>
  <c r="G104" i="7"/>
  <c r="F104" i="7"/>
  <c r="B104" i="7"/>
  <c r="H103" i="7"/>
  <c r="G103" i="7"/>
  <c r="F103" i="7"/>
  <c r="B103" i="7"/>
  <c r="H102" i="7"/>
  <c r="G102" i="7"/>
  <c r="F102" i="7"/>
  <c r="D102" i="7"/>
  <c r="B102" i="7"/>
  <c r="G101" i="7"/>
  <c r="F101" i="7"/>
  <c r="B101" i="7"/>
  <c r="H100" i="7"/>
  <c r="G100" i="7"/>
  <c r="F100" i="7"/>
  <c r="B100" i="7"/>
  <c r="H99" i="7"/>
  <c r="G99" i="7"/>
  <c r="F99" i="7"/>
  <c r="B99" i="7"/>
  <c r="G98" i="7"/>
  <c r="F98" i="7"/>
  <c r="B98" i="7"/>
  <c r="H97" i="7"/>
  <c r="G97" i="7"/>
  <c r="F97" i="7"/>
  <c r="B97" i="7"/>
  <c r="H96" i="7"/>
  <c r="F96" i="7"/>
  <c r="B96" i="7"/>
  <c r="H95" i="7"/>
  <c r="G95" i="7"/>
  <c r="F95" i="7"/>
  <c r="D95" i="7"/>
  <c r="B95" i="7"/>
  <c r="H94" i="7"/>
  <c r="G94" i="7"/>
  <c r="F94" i="7"/>
  <c r="D94" i="7"/>
  <c r="B94" i="7"/>
  <c r="H93" i="7"/>
  <c r="G93" i="7"/>
  <c r="F93" i="7"/>
  <c r="B93" i="7"/>
  <c r="G92" i="7"/>
  <c r="F92" i="7"/>
  <c r="B92" i="7"/>
  <c r="F91" i="7"/>
  <c r="B91" i="7"/>
  <c r="H90" i="7"/>
  <c r="G90" i="7"/>
  <c r="B90" i="7"/>
  <c r="H89" i="7"/>
  <c r="G89" i="7"/>
  <c r="F89" i="7"/>
  <c r="B89" i="7"/>
  <c r="H88" i="7"/>
  <c r="G88" i="7"/>
  <c r="F88" i="7"/>
  <c r="B88" i="7"/>
  <c r="H87" i="7"/>
  <c r="G87" i="7"/>
  <c r="F87" i="7"/>
  <c r="B87" i="7"/>
  <c r="H86" i="7"/>
  <c r="G86" i="7"/>
  <c r="F86" i="7"/>
  <c r="B86" i="7"/>
  <c r="H85" i="7"/>
  <c r="G85" i="7"/>
  <c r="F85" i="7"/>
  <c r="B85" i="7"/>
  <c r="H84" i="7"/>
  <c r="G84" i="7"/>
  <c r="F84" i="7"/>
  <c r="B84" i="7"/>
  <c r="H83" i="7"/>
  <c r="G83" i="7"/>
  <c r="F83" i="7"/>
  <c r="B83" i="7"/>
  <c r="H82" i="7"/>
  <c r="G82" i="7"/>
  <c r="F82" i="7"/>
  <c r="B82" i="7"/>
  <c r="G81" i="7"/>
  <c r="F81" i="7"/>
  <c r="B81" i="7"/>
  <c r="H80" i="7"/>
  <c r="G80" i="7"/>
  <c r="F80" i="7"/>
  <c r="B80" i="7"/>
  <c r="G79" i="7"/>
  <c r="F79" i="7"/>
  <c r="D79" i="7"/>
  <c r="B79" i="7"/>
  <c r="H78" i="7"/>
  <c r="G78" i="7"/>
  <c r="F78" i="7"/>
  <c r="B78" i="7"/>
  <c r="H77" i="7"/>
  <c r="G77" i="7"/>
  <c r="F77" i="7"/>
  <c r="B77" i="7"/>
  <c r="H76" i="7"/>
  <c r="G76" i="7"/>
  <c r="F76" i="7"/>
  <c r="D76" i="7"/>
  <c r="B76" i="7"/>
  <c r="H75" i="7"/>
  <c r="G75" i="7"/>
  <c r="F75" i="7"/>
  <c r="B75" i="7"/>
  <c r="H74" i="7"/>
  <c r="G74" i="7"/>
  <c r="F74" i="7"/>
  <c r="B74" i="7"/>
  <c r="H73" i="7"/>
  <c r="G73" i="7"/>
  <c r="F73" i="7"/>
  <c r="B73" i="7"/>
  <c r="H72" i="7"/>
  <c r="G72" i="7"/>
  <c r="F72" i="7"/>
  <c r="B72" i="7"/>
  <c r="H71" i="7"/>
  <c r="G71" i="7"/>
  <c r="F71" i="7"/>
  <c r="B71" i="7"/>
  <c r="H70" i="7"/>
  <c r="G70" i="7"/>
  <c r="F70" i="7"/>
  <c r="B70" i="7"/>
  <c r="H69" i="7"/>
  <c r="G69" i="7"/>
  <c r="F69" i="7"/>
  <c r="B69" i="7"/>
  <c r="H68" i="7"/>
  <c r="F68" i="7"/>
  <c r="D68" i="7"/>
  <c r="B68" i="7"/>
  <c r="H67" i="7"/>
  <c r="G67" i="7"/>
  <c r="F67" i="7"/>
  <c r="B67" i="7"/>
  <c r="H66" i="7"/>
  <c r="G66" i="7"/>
  <c r="F66" i="7"/>
  <c r="B66" i="7"/>
  <c r="H65" i="7"/>
  <c r="G65" i="7"/>
  <c r="F65" i="7"/>
  <c r="B65" i="7"/>
  <c r="H64" i="7"/>
  <c r="G64" i="7"/>
  <c r="F64" i="7"/>
  <c r="B64" i="7"/>
  <c r="H63" i="7"/>
  <c r="G63" i="7"/>
  <c r="F63" i="7"/>
  <c r="B63" i="7"/>
  <c r="H62" i="7"/>
  <c r="G62" i="7"/>
  <c r="F62" i="7"/>
  <c r="B62" i="7"/>
  <c r="H61" i="7"/>
  <c r="G61" i="7"/>
  <c r="F61" i="7"/>
  <c r="B61" i="7"/>
  <c r="H60" i="7"/>
  <c r="G60" i="7"/>
  <c r="F60" i="7"/>
  <c r="D60" i="7"/>
  <c r="B60" i="7"/>
  <c r="H59" i="7"/>
  <c r="G59" i="7"/>
  <c r="F59" i="7"/>
  <c r="D59" i="7"/>
  <c r="B59" i="7"/>
  <c r="H58" i="7"/>
  <c r="F58" i="7"/>
  <c r="B58" i="7"/>
  <c r="H57" i="7"/>
  <c r="G57" i="7"/>
  <c r="F57" i="7"/>
  <c r="D57" i="7"/>
  <c r="B57" i="7"/>
  <c r="H56" i="7"/>
  <c r="G56" i="7"/>
  <c r="F56" i="7"/>
  <c r="B56" i="7"/>
  <c r="H55" i="7"/>
  <c r="G55" i="7"/>
  <c r="F55" i="7"/>
  <c r="B55" i="7"/>
  <c r="H54" i="7"/>
  <c r="G54" i="7"/>
  <c r="F54" i="7"/>
  <c r="B54" i="7"/>
  <c r="H53" i="7"/>
  <c r="F53" i="7"/>
  <c r="B53" i="7"/>
  <c r="H52" i="7"/>
  <c r="G52" i="7"/>
  <c r="F52" i="7"/>
  <c r="D52" i="7"/>
  <c r="B52" i="7"/>
  <c r="H51" i="7"/>
  <c r="G51" i="7"/>
  <c r="F51" i="7"/>
  <c r="B51" i="7"/>
  <c r="H50" i="7"/>
  <c r="G50" i="7"/>
  <c r="F50" i="7"/>
  <c r="B50" i="7"/>
  <c r="H49" i="7"/>
  <c r="G49" i="7"/>
  <c r="F49" i="7"/>
  <c r="B49" i="7"/>
  <c r="H48" i="7"/>
  <c r="G48" i="7"/>
  <c r="F48" i="7"/>
  <c r="B48" i="7"/>
  <c r="H47" i="7"/>
  <c r="G47" i="7"/>
  <c r="F47" i="7"/>
  <c r="B47" i="7"/>
  <c r="H46" i="7"/>
  <c r="G46" i="7"/>
  <c r="F46" i="7"/>
  <c r="B46" i="7"/>
  <c r="H45" i="7"/>
  <c r="G45" i="7"/>
  <c r="F45" i="7"/>
  <c r="B45" i="7"/>
  <c r="H44" i="7"/>
  <c r="G44" i="7"/>
  <c r="F44" i="7"/>
  <c r="B44" i="7"/>
  <c r="H43" i="7"/>
  <c r="G43" i="7"/>
  <c r="F43" i="7"/>
  <c r="B43" i="7"/>
  <c r="H42" i="7"/>
  <c r="G42" i="7"/>
  <c r="F42" i="7"/>
  <c r="B42" i="7"/>
  <c r="H41" i="7"/>
  <c r="G41" i="7"/>
  <c r="F41" i="7"/>
  <c r="B41" i="7"/>
  <c r="H40" i="7"/>
  <c r="G40" i="7"/>
  <c r="F40" i="7"/>
  <c r="B40" i="7"/>
  <c r="H39" i="7"/>
  <c r="G39" i="7"/>
  <c r="F39" i="7"/>
  <c r="B39" i="7"/>
  <c r="H38" i="7"/>
  <c r="G38" i="7"/>
  <c r="F38" i="7"/>
  <c r="D38" i="7"/>
  <c r="B38" i="7"/>
  <c r="H37" i="7"/>
  <c r="G37" i="7"/>
  <c r="F37" i="7"/>
  <c r="B37" i="7"/>
  <c r="H36" i="7"/>
  <c r="G36" i="7"/>
  <c r="F36" i="7"/>
  <c r="B36" i="7"/>
  <c r="H35" i="7"/>
  <c r="G35" i="7"/>
  <c r="F35" i="7"/>
  <c r="B35" i="7"/>
  <c r="H34" i="7"/>
  <c r="F34" i="7"/>
  <c r="B34" i="7"/>
  <c r="H33" i="7"/>
  <c r="G33" i="7"/>
  <c r="B33" i="7"/>
  <c r="H32" i="7"/>
  <c r="G32" i="7"/>
  <c r="F32" i="7"/>
  <c r="D32" i="7"/>
  <c r="B32" i="7"/>
  <c r="H31" i="7"/>
  <c r="G31" i="7"/>
  <c r="F31" i="7"/>
  <c r="B31" i="7"/>
  <c r="G30" i="7"/>
  <c r="F30" i="7"/>
  <c r="B30" i="7"/>
  <c r="H29" i="7"/>
  <c r="G29" i="7"/>
  <c r="F29" i="7"/>
  <c r="B29" i="7"/>
  <c r="H28" i="7"/>
  <c r="G28" i="7"/>
  <c r="F28" i="7"/>
  <c r="D28" i="7"/>
  <c r="B28" i="7"/>
  <c r="H27" i="7"/>
  <c r="F27" i="7"/>
  <c r="B27" i="7"/>
  <c r="H26" i="7"/>
  <c r="F26" i="7"/>
  <c r="D26" i="7"/>
  <c r="B26" i="7"/>
  <c r="H25" i="7"/>
  <c r="G25" i="7"/>
  <c r="F25" i="7"/>
  <c r="B25" i="7"/>
  <c r="H24" i="7"/>
  <c r="G24" i="7"/>
  <c r="F24" i="7"/>
  <c r="B24" i="7"/>
  <c r="H23" i="7"/>
  <c r="G23" i="7"/>
  <c r="F23" i="7"/>
  <c r="B23" i="7"/>
  <c r="H22" i="7"/>
  <c r="F22" i="7"/>
  <c r="B22" i="7"/>
  <c r="H21" i="7"/>
  <c r="F21" i="7"/>
  <c r="B21" i="7"/>
  <c r="H20" i="7"/>
  <c r="F20" i="7"/>
  <c r="B20" i="7"/>
  <c r="H19" i="7"/>
  <c r="G19" i="7"/>
  <c r="F19" i="7"/>
  <c r="B19" i="7"/>
  <c r="H18" i="7"/>
  <c r="F18" i="7"/>
  <c r="B18" i="7"/>
  <c r="H17" i="7"/>
  <c r="G17" i="7"/>
  <c r="F17" i="7"/>
  <c r="D17" i="7"/>
  <c r="B17" i="7"/>
  <c r="H16" i="7"/>
  <c r="G16" i="7"/>
  <c r="F16" i="7"/>
  <c r="B16" i="7"/>
  <c r="H15" i="7"/>
  <c r="G15" i="7"/>
  <c r="F15" i="7"/>
  <c r="B15" i="7"/>
  <c r="H14" i="7"/>
  <c r="G14" i="7"/>
  <c r="F14" i="7"/>
  <c r="B14" i="7"/>
  <c r="H13" i="7"/>
  <c r="G13" i="7"/>
  <c r="F13" i="7"/>
  <c r="B13" i="7"/>
  <c r="G12" i="7"/>
  <c r="F12" i="7"/>
  <c r="B12" i="7"/>
  <c r="H11" i="7"/>
  <c r="G11" i="7"/>
  <c r="F11" i="7"/>
  <c r="D11" i="7"/>
  <c r="B11" i="7"/>
  <c r="H10" i="7"/>
  <c r="G10" i="7"/>
  <c r="F10" i="7"/>
  <c r="B10" i="7"/>
  <c r="H9" i="7"/>
  <c r="G9" i="7"/>
  <c r="F9" i="7"/>
  <c r="B9" i="7"/>
  <c r="G8" i="7"/>
  <c r="F8" i="7"/>
  <c r="B8" i="7"/>
  <c r="H7" i="7"/>
  <c r="G7" i="7"/>
  <c r="F7" i="7"/>
  <c r="B7" i="7"/>
  <c r="J1651" i="5"/>
  <c r="G1651" i="5"/>
  <c r="F1651" i="5"/>
  <c r="E1651" i="5"/>
  <c r="C1651" i="5"/>
  <c r="B1651" i="5"/>
  <c r="A1651" i="5"/>
  <c r="J1650" i="5"/>
  <c r="G1650" i="5"/>
  <c r="E1650" i="5"/>
  <c r="C1650" i="5"/>
  <c r="B1650" i="5"/>
  <c r="A1650" i="5"/>
  <c r="J1649" i="5"/>
  <c r="G1649" i="5"/>
  <c r="C1649" i="5"/>
  <c r="B1649" i="5"/>
  <c r="A1649" i="5"/>
  <c r="J1648" i="5"/>
  <c r="G1648" i="5"/>
  <c r="E1648" i="5"/>
  <c r="C1648" i="5"/>
  <c r="B1648" i="5"/>
  <c r="A1648" i="5"/>
  <c r="J1647" i="5"/>
  <c r="G1647" i="5"/>
  <c r="E1647" i="5"/>
  <c r="C1647" i="5"/>
  <c r="B1647" i="5"/>
  <c r="A1647" i="5"/>
  <c r="J1646" i="5"/>
  <c r="G1646" i="5"/>
  <c r="E1646" i="5"/>
  <c r="C1646" i="5"/>
  <c r="B1646" i="5"/>
  <c r="A1646" i="5"/>
  <c r="J1645" i="5"/>
  <c r="G1645" i="5"/>
  <c r="E1645" i="5"/>
  <c r="C1645" i="5"/>
  <c r="B1645" i="5"/>
  <c r="A1645" i="5"/>
  <c r="J1644" i="5"/>
  <c r="G1644" i="5"/>
  <c r="E1644" i="5"/>
  <c r="C1644" i="5"/>
  <c r="B1644" i="5"/>
  <c r="A1644" i="5"/>
  <c r="J1643" i="5"/>
  <c r="G1643" i="5"/>
  <c r="E1643" i="5"/>
  <c r="C1643" i="5"/>
  <c r="B1643" i="5"/>
  <c r="A1643" i="5"/>
  <c r="J1642" i="5"/>
  <c r="G1642" i="5"/>
  <c r="E1642" i="5"/>
  <c r="C1642" i="5"/>
  <c r="B1642" i="5"/>
  <c r="A1642" i="5"/>
  <c r="J1641" i="5"/>
  <c r="G1641" i="5"/>
  <c r="E1641" i="5"/>
  <c r="C1641" i="5"/>
  <c r="B1641" i="5"/>
  <c r="A1641" i="5"/>
  <c r="J1640" i="5"/>
  <c r="G1640" i="5"/>
  <c r="E1640" i="5"/>
  <c r="C1640" i="5"/>
  <c r="B1640" i="5"/>
  <c r="A1640" i="5"/>
  <c r="J1639" i="5"/>
  <c r="G1639" i="5"/>
  <c r="E1639" i="5"/>
  <c r="C1639" i="5"/>
  <c r="B1639" i="5"/>
  <c r="A1639" i="5"/>
  <c r="J1638" i="5"/>
  <c r="G1638" i="5"/>
  <c r="E1638" i="5"/>
  <c r="C1638" i="5"/>
  <c r="B1638" i="5"/>
  <c r="A1638" i="5"/>
  <c r="J1637" i="5"/>
  <c r="G1637" i="5"/>
  <c r="E1637" i="5"/>
  <c r="C1637" i="5"/>
  <c r="B1637" i="5"/>
  <c r="A1637" i="5"/>
  <c r="J1636" i="5"/>
  <c r="G1636" i="5"/>
  <c r="E1636" i="5"/>
  <c r="C1636" i="5"/>
  <c r="B1636" i="5"/>
  <c r="A1636" i="5"/>
  <c r="J1635" i="5"/>
  <c r="G1635" i="5"/>
  <c r="E1635" i="5"/>
  <c r="C1635" i="5"/>
  <c r="B1635" i="5"/>
  <c r="A1635" i="5"/>
  <c r="J1634" i="5"/>
  <c r="C1634" i="5"/>
  <c r="B1634" i="5"/>
  <c r="A1634" i="5"/>
  <c r="J1633" i="5"/>
  <c r="C1633" i="5"/>
  <c r="B1633" i="5"/>
  <c r="A1633" i="5"/>
  <c r="J1632" i="5"/>
  <c r="G1632" i="5"/>
  <c r="E1632" i="5"/>
  <c r="C1632" i="5"/>
  <c r="B1632" i="5"/>
  <c r="A1632" i="5"/>
  <c r="J1631" i="5"/>
  <c r="G1631" i="5"/>
  <c r="E1631" i="5"/>
  <c r="C1631" i="5"/>
  <c r="B1631" i="5"/>
  <c r="A1631" i="5"/>
  <c r="J1630" i="5"/>
  <c r="G1630" i="5"/>
  <c r="E1630" i="5"/>
  <c r="C1630" i="5"/>
  <c r="B1630" i="5"/>
  <c r="A1630" i="5"/>
  <c r="J1629" i="5"/>
  <c r="G1629" i="5"/>
  <c r="E1629" i="5"/>
  <c r="C1629" i="5"/>
  <c r="B1629" i="5"/>
  <c r="A1629" i="5"/>
  <c r="J1628" i="5"/>
  <c r="G1628" i="5"/>
  <c r="E1628" i="5"/>
  <c r="C1628" i="5"/>
  <c r="B1628" i="5"/>
  <c r="A1628" i="5"/>
  <c r="J1627" i="5"/>
  <c r="G1627" i="5"/>
  <c r="E1627" i="5"/>
  <c r="C1627" i="5"/>
  <c r="B1627" i="5"/>
  <c r="A1627" i="5"/>
  <c r="J1626" i="5"/>
  <c r="E1626" i="5"/>
  <c r="C1626" i="5"/>
  <c r="B1626" i="5"/>
  <c r="A1626" i="5"/>
  <c r="J1625" i="5"/>
  <c r="G1625" i="5"/>
  <c r="E1625" i="5"/>
  <c r="C1625" i="5"/>
  <c r="B1625" i="5"/>
  <c r="A1625" i="5"/>
  <c r="J1624" i="5"/>
  <c r="G1624" i="5"/>
  <c r="E1624" i="5"/>
  <c r="C1624" i="5"/>
  <c r="B1624" i="5"/>
  <c r="A1624" i="5"/>
  <c r="J1623" i="5"/>
  <c r="G1623" i="5"/>
  <c r="E1623" i="5"/>
  <c r="C1623" i="5"/>
  <c r="B1623" i="5"/>
  <c r="A1623" i="5"/>
  <c r="J1622" i="5"/>
  <c r="G1622" i="5"/>
  <c r="E1622" i="5"/>
  <c r="C1622" i="5"/>
  <c r="B1622" i="5"/>
  <c r="A1622" i="5"/>
  <c r="J1621" i="5"/>
  <c r="G1621" i="5"/>
  <c r="E1621" i="5"/>
  <c r="C1621" i="5"/>
  <c r="B1621" i="5"/>
  <c r="A1621" i="5"/>
  <c r="J1620" i="5"/>
  <c r="G1620" i="5"/>
  <c r="E1620" i="5"/>
  <c r="C1620" i="5"/>
  <c r="B1620" i="5"/>
  <c r="A1620" i="5"/>
  <c r="J1619" i="5"/>
  <c r="G1619" i="5"/>
  <c r="E1619" i="5"/>
  <c r="C1619" i="5"/>
  <c r="B1619" i="5"/>
  <c r="A1619" i="5"/>
  <c r="J1618" i="5"/>
  <c r="G1618" i="5"/>
  <c r="E1618" i="5"/>
  <c r="C1618" i="5"/>
  <c r="B1618" i="5"/>
  <c r="A1618" i="5"/>
  <c r="J1617" i="5"/>
  <c r="G1617" i="5"/>
  <c r="E1617" i="5"/>
  <c r="C1617" i="5"/>
  <c r="B1617" i="5"/>
  <c r="A1617" i="5"/>
  <c r="J1616" i="5"/>
  <c r="G1616" i="5"/>
  <c r="E1616" i="5"/>
  <c r="C1616" i="5"/>
  <c r="B1616" i="5"/>
  <c r="A1616" i="5"/>
  <c r="J1615" i="5"/>
  <c r="G1615" i="5"/>
  <c r="E1615" i="5"/>
  <c r="C1615" i="5"/>
  <c r="B1615" i="5"/>
  <c r="A1615" i="5"/>
  <c r="J1614" i="5"/>
  <c r="G1614" i="5"/>
  <c r="E1614" i="5"/>
  <c r="C1614" i="5"/>
  <c r="B1614" i="5"/>
  <c r="A1614" i="5"/>
  <c r="J1613" i="5"/>
  <c r="G1613" i="5"/>
  <c r="E1613" i="5"/>
  <c r="C1613" i="5"/>
  <c r="B1613" i="5"/>
  <c r="A1613" i="5"/>
  <c r="J1612" i="5"/>
  <c r="G1612" i="5"/>
  <c r="E1612" i="5"/>
  <c r="C1612" i="5"/>
  <c r="B1612" i="5"/>
  <c r="A1612" i="5"/>
  <c r="J1611" i="5"/>
  <c r="G1611" i="5"/>
  <c r="E1611" i="5"/>
  <c r="C1611" i="5"/>
  <c r="B1611" i="5"/>
  <c r="A1611" i="5"/>
  <c r="J1610" i="5"/>
  <c r="G1610" i="5"/>
  <c r="E1610" i="5"/>
  <c r="C1610" i="5"/>
  <c r="B1610" i="5"/>
  <c r="A1610" i="5"/>
  <c r="J1609" i="5"/>
  <c r="G1609" i="5"/>
  <c r="E1609" i="5"/>
  <c r="C1609" i="5"/>
  <c r="B1609" i="5"/>
  <c r="A1609" i="5"/>
  <c r="J1608" i="5"/>
  <c r="G1608" i="5"/>
  <c r="E1608" i="5"/>
  <c r="C1608" i="5"/>
  <c r="B1608" i="5"/>
  <c r="A1608" i="5"/>
  <c r="J1607" i="5"/>
  <c r="G1607" i="5"/>
  <c r="E1607" i="5"/>
  <c r="C1607" i="5"/>
  <c r="B1607" i="5"/>
  <c r="A1607" i="5"/>
  <c r="J1606" i="5"/>
  <c r="G1606" i="5"/>
  <c r="E1606" i="5"/>
  <c r="C1606" i="5"/>
  <c r="B1606" i="5"/>
  <c r="A1606" i="5"/>
  <c r="J1605" i="5"/>
  <c r="G1605" i="5"/>
  <c r="E1605" i="5"/>
  <c r="C1605" i="5"/>
  <c r="B1605" i="5"/>
  <c r="A1605" i="5"/>
  <c r="J1604" i="5"/>
  <c r="G1604" i="5"/>
  <c r="E1604" i="5"/>
  <c r="C1604" i="5"/>
  <c r="B1604" i="5"/>
  <c r="A1604" i="5"/>
  <c r="J1603" i="5"/>
  <c r="G1603" i="5"/>
  <c r="E1603" i="5"/>
  <c r="C1603" i="5"/>
  <c r="B1603" i="5"/>
  <c r="A1603" i="5"/>
  <c r="J1602" i="5"/>
  <c r="E1602" i="5"/>
  <c r="C1602" i="5"/>
  <c r="B1602" i="5"/>
  <c r="A1602" i="5"/>
  <c r="J1601" i="5"/>
  <c r="G1601" i="5"/>
  <c r="E1601" i="5"/>
  <c r="C1601" i="5"/>
  <c r="B1601" i="5"/>
  <c r="A1601" i="5"/>
  <c r="J1600" i="5"/>
  <c r="G1600" i="5"/>
  <c r="E1600" i="5"/>
  <c r="C1600" i="5"/>
  <c r="B1600" i="5"/>
  <c r="A1600" i="5"/>
  <c r="J1599" i="5"/>
  <c r="G1599" i="5"/>
  <c r="E1599" i="5"/>
  <c r="C1599" i="5"/>
  <c r="B1599" i="5"/>
  <c r="A1599" i="5"/>
  <c r="J1598" i="5"/>
  <c r="G1598" i="5"/>
  <c r="E1598" i="5"/>
  <c r="C1598" i="5"/>
  <c r="B1598" i="5"/>
  <c r="A1598" i="5"/>
  <c r="J1597" i="5"/>
  <c r="G1597" i="5"/>
  <c r="E1597" i="5"/>
  <c r="C1597" i="5"/>
  <c r="B1597" i="5"/>
  <c r="A1597" i="5"/>
  <c r="J1596" i="5"/>
  <c r="G1596" i="5"/>
  <c r="E1596" i="5"/>
  <c r="C1596" i="5"/>
  <c r="B1596" i="5"/>
  <c r="A1596" i="5"/>
  <c r="J1595" i="5"/>
  <c r="G1595" i="5"/>
  <c r="E1595" i="5"/>
  <c r="C1595" i="5"/>
  <c r="B1595" i="5"/>
  <c r="A1595" i="5"/>
  <c r="J1594" i="5"/>
  <c r="G1594" i="5"/>
  <c r="E1594" i="5"/>
  <c r="C1594" i="5"/>
  <c r="B1594" i="5"/>
  <c r="A1594" i="5"/>
  <c r="J1593" i="5"/>
  <c r="G1593" i="5"/>
  <c r="E1593" i="5"/>
  <c r="C1593" i="5"/>
  <c r="B1593" i="5"/>
  <c r="A1593" i="5"/>
  <c r="J1592" i="5"/>
  <c r="G1592" i="5"/>
  <c r="E1592" i="5"/>
  <c r="C1592" i="5"/>
  <c r="B1592" i="5"/>
  <c r="A1592" i="5"/>
  <c r="N1591" i="5"/>
  <c r="J1591" i="5"/>
  <c r="G1591" i="5"/>
  <c r="E1591" i="5"/>
  <c r="C1591" i="5"/>
  <c r="B1591" i="5"/>
  <c r="A1591" i="5"/>
  <c r="J1590" i="5"/>
  <c r="G1590" i="5"/>
  <c r="E1590" i="5"/>
  <c r="C1590" i="5"/>
  <c r="B1590" i="5"/>
  <c r="A1590" i="5"/>
  <c r="J1589" i="5"/>
  <c r="G1589" i="5"/>
  <c r="E1589" i="5"/>
  <c r="C1589" i="5"/>
  <c r="B1589" i="5"/>
  <c r="A1589" i="5"/>
  <c r="J1588" i="5"/>
  <c r="G1588" i="5"/>
  <c r="E1588" i="5"/>
  <c r="C1588" i="5"/>
  <c r="B1588" i="5"/>
  <c r="A1588" i="5"/>
  <c r="J1587" i="5"/>
  <c r="G1587" i="5"/>
  <c r="E1587" i="5"/>
  <c r="C1587" i="5"/>
  <c r="B1587" i="5"/>
  <c r="A1587" i="5"/>
  <c r="J1586" i="5"/>
  <c r="G1586" i="5"/>
  <c r="E1586" i="5"/>
  <c r="C1586" i="5"/>
  <c r="B1586" i="5"/>
  <c r="A1586" i="5"/>
  <c r="J1585" i="5"/>
  <c r="G1585" i="5"/>
  <c r="E1585" i="5"/>
  <c r="C1585" i="5"/>
  <c r="B1585" i="5"/>
  <c r="A1585" i="5"/>
  <c r="J1584" i="5"/>
  <c r="G1584" i="5"/>
  <c r="E1584" i="5"/>
  <c r="C1584" i="5"/>
  <c r="B1584" i="5"/>
  <c r="A1584" i="5"/>
  <c r="J1583" i="5"/>
  <c r="G1583" i="5"/>
  <c r="E1583" i="5"/>
  <c r="C1583" i="5"/>
  <c r="B1583" i="5"/>
  <c r="A1583" i="5"/>
  <c r="J1582" i="5"/>
  <c r="G1582" i="5"/>
  <c r="E1582" i="5"/>
  <c r="C1582" i="5"/>
  <c r="B1582" i="5"/>
  <c r="A1582" i="5"/>
  <c r="J1581" i="5"/>
  <c r="G1581" i="5"/>
  <c r="E1581" i="5"/>
  <c r="C1581" i="5"/>
  <c r="B1581" i="5"/>
  <c r="A1581" i="5"/>
  <c r="J1580" i="5"/>
  <c r="G1580" i="5"/>
  <c r="E1580" i="5"/>
  <c r="C1580" i="5"/>
  <c r="B1580" i="5"/>
  <c r="A1580" i="5"/>
  <c r="J1579" i="5"/>
  <c r="G1579" i="5"/>
  <c r="E1579" i="5"/>
  <c r="C1579" i="5"/>
  <c r="B1579" i="5"/>
  <c r="A1579" i="5"/>
  <c r="J1578" i="5"/>
  <c r="G1578" i="5"/>
  <c r="E1578" i="5"/>
  <c r="C1578" i="5"/>
  <c r="B1578" i="5"/>
  <c r="A1578" i="5"/>
  <c r="J1577" i="5"/>
  <c r="G1577" i="5"/>
  <c r="E1577" i="5"/>
  <c r="C1577" i="5"/>
  <c r="B1577" i="5"/>
  <c r="A1577" i="5"/>
  <c r="J1576" i="5"/>
  <c r="G1576" i="5"/>
  <c r="E1576" i="5"/>
  <c r="C1576" i="5"/>
  <c r="B1576" i="5"/>
  <c r="A1576" i="5"/>
  <c r="J1575" i="5"/>
  <c r="G1575" i="5"/>
  <c r="E1575" i="5"/>
  <c r="B1575" i="5"/>
  <c r="A1575" i="5"/>
  <c r="J1574" i="5"/>
  <c r="G1574" i="5"/>
  <c r="C1574" i="5"/>
  <c r="B1574" i="5"/>
  <c r="A1574" i="5"/>
  <c r="J1573" i="5"/>
  <c r="G1573" i="5"/>
  <c r="C1573" i="5"/>
  <c r="B1573" i="5"/>
  <c r="A1573" i="5"/>
  <c r="J1572" i="5"/>
  <c r="G1572" i="5"/>
  <c r="E1572" i="5"/>
  <c r="C1572" i="5"/>
  <c r="B1572" i="5"/>
  <c r="A1572" i="5"/>
  <c r="J1571" i="5"/>
  <c r="G1571" i="5"/>
  <c r="E1571" i="5"/>
  <c r="C1571" i="5"/>
  <c r="B1571" i="5"/>
  <c r="A1571" i="5"/>
  <c r="J1570" i="5"/>
  <c r="G1570" i="5"/>
  <c r="E1570" i="5"/>
  <c r="C1570" i="5"/>
  <c r="B1570" i="5"/>
  <c r="A1570" i="5"/>
  <c r="J1569" i="5"/>
  <c r="G1569" i="5"/>
  <c r="E1569" i="5"/>
  <c r="C1569" i="5"/>
  <c r="B1569" i="5"/>
  <c r="A1569" i="5"/>
  <c r="J1568" i="5"/>
  <c r="G1568" i="5"/>
  <c r="E1568" i="5"/>
  <c r="C1568" i="5"/>
  <c r="B1568" i="5"/>
  <c r="A1568" i="5"/>
  <c r="J1567" i="5"/>
  <c r="G1567" i="5"/>
  <c r="E1567" i="5"/>
  <c r="C1567" i="5"/>
  <c r="B1567" i="5"/>
  <c r="A1567" i="5"/>
  <c r="J1566" i="5"/>
  <c r="G1566" i="5"/>
  <c r="E1566" i="5"/>
  <c r="C1566" i="5"/>
  <c r="B1566" i="5"/>
  <c r="A1566" i="5"/>
  <c r="J1565" i="5"/>
  <c r="G1565" i="5"/>
  <c r="E1565" i="5"/>
  <c r="C1565" i="5"/>
  <c r="B1565" i="5"/>
  <c r="A1565" i="5"/>
  <c r="J1564" i="5"/>
  <c r="G1564" i="5"/>
  <c r="E1564" i="5"/>
  <c r="C1564" i="5"/>
  <c r="B1564" i="5"/>
  <c r="A1564" i="5"/>
  <c r="J1563" i="5"/>
  <c r="G1563" i="5"/>
  <c r="E1563" i="5"/>
  <c r="C1563" i="5"/>
  <c r="B1563" i="5"/>
  <c r="A1563" i="5"/>
  <c r="J1562" i="5"/>
  <c r="G1562" i="5"/>
  <c r="E1562" i="5"/>
  <c r="C1562" i="5"/>
  <c r="B1562" i="5"/>
  <c r="A1562" i="5"/>
  <c r="J1561" i="5"/>
  <c r="G1561" i="5"/>
  <c r="E1561" i="5"/>
  <c r="C1561" i="5"/>
  <c r="B1561" i="5"/>
  <c r="A1561" i="5"/>
  <c r="J1560" i="5"/>
  <c r="G1560" i="5"/>
  <c r="E1560" i="5"/>
  <c r="C1560" i="5"/>
  <c r="B1560" i="5"/>
  <c r="A1560" i="5"/>
  <c r="J1559" i="5"/>
  <c r="G1559" i="5"/>
  <c r="E1559" i="5"/>
  <c r="C1559" i="5"/>
  <c r="B1559" i="5"/>
  <c r="A1559" i="5"/>
  <c r="J1558" i="5"/>
  <c r="G1558" i="5"/>
  <c r="C1558" i="5"/>
  <c r="B1558" i="5"/>
  <c r="A1558" i="5"/>
  <c r="J1557" i="5"/>
  <c r="G1557" i="5"/>
  <c r="E1557" i="5"/>
  <c r="C1557" i="5"/>
  <c r="B1557" i="5"/>
  <c r="A1557" i="5"/>
  <c r="J1556" i="5"/>
  <c r="G1556" i="5"/>
  <c r="E1556" i="5"/>
  <c r="C1556" i="5"/>
  <c r="B1556" i="5"/>
  <c r="A1556" i="5"/>
  <c r="J1555" i="5"/>
  <c r="G1555" i="5"/>
  <c r="E1555" i="5"/>
  <c r="C1555" i="5"/>
  <c r="B1555" i="5"/>
  <c r="A1555" i="5"/>
  <c r="J1554" i="5"/>
  <c r="G1554" i="5"/>
  <c r="E1554" i="5"/>
  <c r="C1554" i="5"/>
  <c r="B1554" i="5"/>
  <c r="A1554" i="5"/>
  <c r="J1553" i="5"/>
  <c r="G1553" i="5"/>
  <c r="E1553" i="5"/>
  <c r="C1553" i="5"/>
  <c r="B1553" i="5"/>
  <c r="A1553" i="5"/>
  <c r="J1552" i="5"/>
  <c r="G1552" i="5"/>
  <c r="E1552" i="5"/>
  <c r="C1552" i="5"/>
  <c r="B1552" i="5"/>
  <c r="A1552" i="5"/>
  <c r="J1551" i="5"/>
  <c r="G1551" i="5"/>
  <c r="E1551" i="5"/>
  <c r="C1551" i="5"/>
  <c r="B1551" i="5"/>
  <c r="A1551" i="5"/>
  <c r="J1550" i="5"/>
  <c r="G1550" i="5"/>
  <c r="E1550" i="5"/>
  <c r="C1550" i="5"/>
  <c r="B1550" i="5"/>
  <c r="A1550" i="5"/>
  <c r="J1549" i="5"/>
  <c r="G1549" i="5"/>
  <c r="E1549" i="5"/>
  <c r="C1549" i="5"/>
  <c r="B1549" i="5"/>
  <c r="A1549" i="5"/>
  <c r="J1548" i="5"/>
  <c r="G1548" i="5"/>
  <c r="E1548" i="5"/>
  <c r="C1548" i="5"/>
  <c r="B1548" i="5"/>
  <c r="A1548" i="5"/>
  <c r="J1547" i="5"/>
  <c r="G1547" i="5"/>
  <c r="E1547" i="5"/>
  <c r="C1547" i="5"/>
  <c r="B1547" i="5"/>
  <c r="A1547" i="5"/>
  <c r="J1546" i="5"/>
  <c r="G1546" i="5"/>
  <c r="E1546" i="5"/>
  <c r="B1546" i="5"/>
  <c r="A1546" i="5"/>
  <c r="J1545" i="5"/>
  <c r="G1545" i="5"/>
  <c r="E1545" i="5"/>
  <c r="C1545" i="5"/>
  <c r="B1545" i="5"/>
  <c r="A1545" i="5"/>
  <c r="J1544" i="5"/>
  <c r="G1544" i="5"/>
  <c r="E1544" i="5"/>
  <c r="C1544" i="5"/>
  <c r="B1544" i="5"/>
  <c r="A1544" i="5"/>
  <c r="J1543" i="5"/>
  <c r="G1543" i="5"/>
  <c r="E1543" i="5"/>
  <c r="C1543" i="5"/>
  <c r="B1543" i="5"/>
  <c r="A1543" i="5"/>
  <c r="J1542" i="5"/>
  <c r="G1542" i="5"/>
  <c r="E1542" i="5"/>
  <c r="C1542" i="5"/>
  <c r="B1542" i="5"/>
  <c r="A1542" i="5"/>
  <c r="J1541" i="5"/>
  <c r="G1541" i="5"/>
  <c r="E1541" i="5"/>
  <c r="C1541" i="5"/>
  <c r="B1541" i="5"/>
  <c r="A1541" i="5"/>
  <c r="J1540" i="5"/>
  <c r="G1540" i="5"/>
  <c r="E1540" i="5"/>
  <c r="C1540" i="5"/>
  <c r="B1540" i="5"/>
  <c r="A1540" i="5"/>
  <c r="N1539" i="5"/>
  <c r="J1539" i="5"/>
  <c r="G1539" i="5"/>
  <c r="E1539" i="5"/>
  <c r="C1539" i="5"/>
  <c r="B1539" i="5"/>
  <c r="A1539" i="5"/>
  <c r="J1538" i="5"/>
  <c r="G1538" i="5"/>
  <c r="E1538" i="5"/>
  <c r="C1538" i="5"/>
  <c r="B1538" i="5"/>
  <c r="A1538" i="5"/>
  <c r="J1537" i="5"/>
  <c r="G1537" i="5"/>
  <c r="E1537" i="5"/>
  <c r="C1537" i="5"/>
  <c r="B1537" i="5"/>
  <c r="A1537" i="5"/>
  <c r="J1536" i="5"/>
  <c r="G1536" i="5"/>
  <c r="E1536" i="5"/>
  <c r="C1536" i="5"/>
  <c r="B1536" i="5"/>
  <c r="A1536" i="5"/>
  <c r="J1535" i="5"/>
  <c r="G1535" i="5"/>
  <c r="E1535" i="5"/>
  <c r="C1535" i="5"/>
  <c r="B1535" i="5"/>
  <c r="A1535" i="5"/>
  <c r="J1534" i="5"/>
  <c r="G1534" i="5"/>
  <c r="E1534" i="5"/>
  <c r="C1534" i="5"/>
  <c r="B1534" i="5"/>
  <c r="A1534" i="5"/>
  <c r="J1533" i="5"/>
  <c r="G1533" i="5"/>
  <c r="E1533" i="5"/>
  <c r="C1533" i="5"/>
  <c r="B1533" i="5"/>
  <c r="A1533" i="5"/>
  <c r="J1532" i="5"/>
  <c r="G1532" i="5"/>
  <c r="E1532" i="5"/>
  <c r="C1532" i="5"/>
  <c r="B1532" i="5"/>
  <c r="A1532" i="5"/>
  <c r="J1531" i="5"/>
  <c r="G1531" i="5"/>
  <c r="E1531" i="5"/>
  <c r="C1531" i="5"/>
  <c r="B1531" i="5"/>
  <c r="A1531" i="5"/>
  <c r="J1530" i="5"/>
  <c r="G1530" i="5"/>
  <c r="E1530" i="5"/>
  <c r="C1530" i="5"/>
  <c r="B1530" i="5"/>
  <c r="A1530" i="5"/>
  <c r="J1529" i="5"/>
  <c r="G1529" i="5"/>
  <c r="E1529" i="5"/>
  <c r="C1529" i="5"/>
  <c r="B1529" i="5"/>
  <c r="A1529" i="5"/>
  <c r="J1528" i="5"/>
  <c r="G1528" i="5"/>
  <c r="E1528" i="5"/>
  <c r="C1528" i="5"/>
  <c r="B1528" i="5"/>
  <c r="A1528" i="5"/>
  <c r="J1527" i="5"/>
  <c r="G1527" i="5"/>
  <c r="E1527" i="5"/>
  <c r="C1527" i="5"/>
  <c r="B1527" i="5"/>
  <c r="A1527" i="5"/>
  <c r="J1526" i="5"/>
  <c r="G1526" i="5"/>
  <c r="E1526" i="5"/>
  <c r="C1526" i="5"/>
  <c r="B1526" i="5"/>
  <c r="A1526" i="5"/>
  <c r="J1525" i="5"/>
  <c r="G1525" i="5"/>
  <c r="E1525" i="5"/>
  <c r="C1525" i="5"/>
  <c r="B1525" i="5"/>
  <c r="A1525" i="5"/>
  <c r="J1524" i="5"/>
  <c r="G1524" i="5"/>
  <c r="E1524" i="5"/>
  <c r="C1524" i="5"/>
  <c r="B1524" i="5"/>
  <c r="A1524" i="5"/>
  <c r="J1523" i="5"/>
  <c r="G1523" i="5"/>
  <c r="E1523" i="5"/>
  <c r="C1523" i="5"/>
  <c r="B1523" i="5"/>
  <c r="A1523" i="5"/>
  <c r="J1522" i="5"/>
  <c r="G1522" i="5"/>
  <c r="E1522" i="5"/>
  <c r="C1522" i="5"/>
  <c r="B1522" i="5"/>
  <c r="A1522" i="5"/>
  <c r="J1521" i="5"/>
  <c r="G1521" i="5"/>
  <c r="E1521" i="5"/>
  <c r="C1521" i="5"/>
  <c r="B1521" i="5"/>
  <c r="A1521" i="5"/>
  <c r="J1520" i="5"/>
  <c r="G1520" i="5"/>
  <c r="E1520" i="5"/>
  <c r="C1520" i="5"/>
  <c r="B1520" i="5"/>
  <c r="A1520" i="5"/>
  <c r="J1519" i="5"/>
  <c r="G1519" i="5"/>
  <c r="E1519" i="5"/>
  <c r="C1519" i="5"/>
  <c r="B1519" i="5"/>
  <c r="A1519" i="5"/>
  <c r="J1518" i="5"/>
  <c r="G1518" i="5"/>
  <c r="E1518" i="5"/>
  <c r="C1518" i="5"/>
  <c r="B1518" i="5"/>
  <c r="A1518" i="5"/>
  <c r="J1517" i="5"/>
  <c r="E1517" i="5"/>
  <c r="C1517" i="5"/>
  <c r="B1517" i="5"/>
  <c r="A1517" i="5"/>
  <c r="J1516" i="5"/>
  <c r="G1516" i="5"/>
  <c r="E1516" i="5"/>
  <c r="C1516" i="5"/>
  <c r="B1516" i="5"/>
  <c r="A1516" i="5"/>
  <c r="J1515" i="5"/>
  <c r="G1515" i="5"/>
  <c r="E1515" i="5"/>
  <c r="C1515" i="5"/>
  <c r="B1515" i="5"/>
  <c r="A1515" i="5"/>
  <c r="J1514" i="5"/>
  <c r="G1514" i="5"/>
  <c r="E1514" i="5"/>
  <c r="C1514" i="5"/>
  <c r="B1514" i="5"/>
  <c r="A1514" i="5"/>
  <c r="N1513" i="5"/>
  <c r="J1513" i="5"/>
  <c r="G1513" i="5"/>
  <c r="E1513" i="5"/>
  <c r="C1513" i="5"/>
  <c r="B1513" i="5"/>
  <c r="A1513" i="5"/>
  <c r="J1512" i="5"/>
  <c r="G1512" i="5"/>
  <c r="E1512" i="5"/>
  <c r="C1512" i="5"/>
  <c r="B1512" i="5"/>
  <c r="A1512" i="5"/>
  <c r="J1511" i="5"/>
  <c r="G1511" i="5"/>
  <c r="E1511" i="5"/>
  <c r="C1511" i="5"/>
  <c r="B1511" i="5"/>
  <c r="A1511" i="5"/>
  <c r="J1510" i="5"/>
  <c r="G1510" i="5"/>
  <c r="E1510" i="5"/>
  <c r="C1510" i="5"/>
  <c r="B1510" i="5"/>
  <c r="A1510" i="5"/>
  <c r="J1509" i="5"/>
  <c r="G1509" i="5"/>
  <c r="E1509" i="5"/>
  <c r="C1509" i="5"/>
  <c r="B1509" i="5"/>
  <c r="A1509" i="5"/>
  <c r="J1508" i="5"/>
  <c r="G1508" i="5"/>
  <c r="E1508" i="5"/>
  <c r="C1508" i="5"/>
  <c r="B1508" i="5"/>
  <c r="A1508" i="5"/>
  <c r="J1507" i="5"/>
  <c r="G1507" i="5"/>
  <c r="E1507" i="5"/>
  <c r="C1507" i="5"/>
  <c r="B1507" i="5"/>
  <c r="A1507" i="5"/>
  <c r="J1506" i="5"/>
  <c r="G1506" i="5"/>
  <c r="E1506" i="5"/>
  <c r="C1506" i="5"/>
  <c r="B1506" i="5"/>
  <c r="A1506" i="5"/>
  <c r="J1505" i="5"/>
  <c r="E1505" i="5"/>
  <c r="C1505" i="5"/>
  <c r="B1505" i="5"/>
  <c r="A1505" i="5"/>
  <c r="J1504" i="5"/>
  <c r="G1504" i="5"/>
  <c r="E1504" i="5"/>
  <c r="C1504" i="5"/>
  <c r="B1504" i="5"/>
  <c r="A1504" i="5"/>
  <c r="J1503" i="5"/>
  <c r="G1503" i="5"/>
  <c r="E1503" i="5"/>
  <c r="C1503" i="5"/>
  <c r="B1503" i="5"/>
  <c r="A1503" i="5"/>
  <c r="J1502" i="5"/>
  <c r="G1502" i="5"/>
  <c r="E1502" i="5"/>
  <c r="C1502" i="5"/>
  <c r="B1502" i="5"/>
  <c r="A1502" i="5"/>
  <c r="J1501" i="5"/>
  <c r="G1501" i="5"/>
  <c r="C1501" i="5"/>
  <c r="B1501" i="5"/>
  <c r="A1501" i="5"/>
  <c r="J1500" i="5"/>
  <c r="G1500" i="5"/>
  <c r="E1500" i="5"/>
  <c r="C1500" i="5"/>
  <c r="B1500" i="5"/>
  <c r="A1500" i="5"/>
  <c r="J1499" i="5"/>
  <c r="G1499" i="5"/>
  <c r="E1499" i="5"/>
  <c r="C1499" i="5"/>
  <c r="B1499" i="5"/>
  <c r="A1499" i="5"/>
  <c r="J1498" i="5"/>
  <c r="G1498" i="5"/>
  <c r="E1498" i="5"/>
  <c r="C1498" i="5"/>
  <c r="B1498" i="5"/>
  <c r="A1498" i="5"/>
  <c r="J1497" i="5"/>
  <c r="G1497" i="5"/>
  <c r="E1497" i="5"/>
  <c r="C1497" i="5"/>
  <c r="B1497" i="5"/>
  <c r="A1497" i="5"/>
  <c r="J1496" i="5"/>
  <c r="G1496" i="5"/>
  <c r="E1496" i="5"/>
  <c r="C1496" i="5"/>
  <c r="B1496" i="5"/>
  <c r="A1496" i="5"/>
  <c r="J1495" i="5"/>
  <c r="G1495" i="5"/>
  <c r="E1495" i="5"/>
  <c r="C1495" i="5"/>
  <c r="B1495" i="5"/>
  <c r="A1495" i="5"/>
  <c r="N1494" i="5"/>
  <c r="J1494" i="5"/>
  <c r="G1494" i="5"/>
  <c r="E1494" i="5"/>
  <c r="C1494" i="5"/>
  <c r="B1494" i="5"/>
  <c r="A1494" i="5"/>
  <c r="J1493" i="5"/>
  <c r="G1493" i="5"/>
  <c r="E1493" i="5"/>
  <c r="C1493" i="5"/>
  <c r="B1493" i="5"/>
  <c r="A1493" i="5"/>
  <c r="J1492" i="5"/>
  <c r="G1492" i="5"/>
  <c r="E1492" i="5"/>
  <c r="C1492" i="5"/>
  <c r="B1492" i="5"/>
  <c r="A1492" i="5"/>
  <c r="J1491" i="5"/>
  <c r="G1491" i="5"/>
  <c r="E1491" i="5"/>
  <c r="C1491" i="5"/>
  <c r="B1491" i="5"/>
  <c r="A1491" i="5"/>
  <c r="J1490" i="5"/>
  <c r="G1490" i="5"/>
  <c r="E1490" i="5"/>
  <c r="C1490" i="5"/>
  <c r="B1490" i="5"/>
  <c r="A1490" i="5"/>
  <c r="J1489" i="5"/>
  <c r="G1489" i="5"/>
  <c r="E1489" i="5"/>
  <c r="C1489" i="5"/>
  <c r="B1489" i="5"/>
  <c r="A1489" i="5"/>
  <c r="J1488" i="5"/>
  <c r="G1488" i="5"/>
  <c r="E1488" i="5"/>
  <c r="C1488" i="5"/>
  <c r="B1488" i="5"/>
  <c r="A1488" i="5"/>
  <c r="J1487" i="5"/>
  <c r="G1487" i="5"/>
  <c r="E1487" i="5"/>
  <c r="B1487" i="5"/>
  <c r="A1487" i="5"/>
  <c r="J1486" i="5"/>
  <c r="G1486" i="5"/>
  <c r="E1486" i="5"/>
  <c r="C1486" i="5"/>
  <c r="B1486" i="5"/>
  <c r="A1486" i="5"/>
  <c r="J1485" i="5"/>
  <c r="G1485" i="5"/>
  <c r="E1485" i="5"/>
  <c r="C1485" i="5"/>
  <c r="B1485" i="5"/>
  <c r="A1485" i="5"/>
  <c r="J1484" i="5"/>
  <c r="G1484" i="5"/>
  <c r="E1484" i="5"/>
  <c r="C1484" i="5"/>
  <c r="B1484" i="5"/>
  <c r="A1484" i="5"/>
  <c r="J1483" i="5"/>
  <c r="G1483" i="5"/>
  <c r="E1483" i="5"/>
  <c r="C1483" i="5"/>
  <c r="B1483" i="5"/>
  <c r="A1483" i="5"/>
  <c r="J1482" i="5"/>
  <c r="G1482" i="5"/>
  <c r="E1482" i="5"/>
  <c r="C1482" i="5"/>
  <c r="B1482" i="5"/>
  <c r="A1482" i="5"/>
  <c r="J1481" i="5"/>
  <c r="G1481" i="5"/>
  <c r="E1481" i="5"/>
  <c r="C1481" i="5"/>
  <c r="B1481" i="5"/>
  <c r="A1481" i="5"/>
  <c r="J1480" i="5"/>
  <c r="G1480" i="5"/>
  <c r="E1480" i="5"/>
  <c r="C1480" i="5"/>
  <c r="B1480" i="5"/>
  <c r="A1480" i="5"/>
  <c r="J1479" i="5"/>
  <c r="G1479" i="5"/>
  <c r="E1479" i="5"/>
  <c r="C1479" i="5"/>
  <c r="B1479" i="5"/>
  <c r="A1479" i="5"/>
  <c r="J1478" i="5"/>
  <c r="G1478" i="5"/>
  <c r="E1478" i="5"/>
  <c r="C1478" i="5"/>
  <c r="B1478" i="5"/>
  <c r="A1478" i="5"/>
  <c r="J1477" i="5"/>
  <c r="G1477" i="5"/>
  <c r="E1477" i="5"/>
  <c r="C1477" i="5"/>
  <c r="B1477" i="5"/>
  <c r="A1477" i="5"/>
  <c r="J1476" i="5"/>
  <c r="G1476" i="5"/>
  <c r="E1476" i="5"/>
  <c r="C1476" i="5"/>
  <c r="B1476" i="5"/>
  <c r="A1476" i="5"/>
  <c r="J1475" i="5"/>
  <c r="G1475" i="5"/>
  <c r="E1475" i="5"/>
  <c r="C1475" i="5"/>
  <c r="B1475" i="5"/>
  <c r="A1475" i="5"/>
  <c r="J1474" i="5"/>
  <c r="G1474" i="5"/>
  <c r="E1474" i="5"/>
  <c r="C1474" i="5"/>
  <c r="B1474" i="5"/>
  <c r="A1474" i="5"/>
  <c r="J1473" i="5"/>
  <c r="G1473" i="5"/>
  <c r="E1473" i="5"/>
  <c r="C1473" i="5"/>
  <c r="B1473" i="5"/>
  <c r="A1473" i="5"/>
  <c r="J1472" i="5"/>
  <c r="G1472" i="5"/>
  <c r="E1472" i="5"/>
  <c r="C1472" i="5"/>
  <c r="B1472" i="5"/>
  <c r="A1472" i="5"/>
  <c r="J1471" i="5"/>
  <c r="G1471" i="5"/>
  <c r="E1471" i="5"/>
  <c r="C1471" i="5"/>
  <c r="B1471" i="5"/>
  <c r="A1471" i="5"/>
  <c r="J1470" i="5"/>
  <c r="E1470" i="5"/>
  <c r="C1470" i="5"/>
  <c r="B1470" i="5"/>
  <c r="A1470" i="5"/>
  <c r="J1469" i="5"/>
  <c r="G1469" i="5"/>
  <c r="E1469" i="5"/>
  <c r="C1469" i="5"/>
  <c r="B1469" i="5"/>
  <c r="A1469" i="5"/>
  <c r="J1468" i="5"/>
  <c r="G1468" i="5"/>
  <c r="E1468" i="5"/>
  <c r="C1468" i="5"/>
  <c r="B1468" i="5"/>
  <c r="A1468" i="5"/>
  <c r="J1467" i="5"/>
  <c r="G1467" i="5"/>
  <c r="E1467" i="5"/>
  <c r="C1467" i="5"/>
  <c r="B1467" i="5"/>
  <c r="A1467" i="5"/>
  <c r="J1466" i="5"/>
  <c r="E1466" i="5"/>
  <c r="C1466" i="5"/>
  <c r="B1466" i="5"/>
  <c r="A1466" i="5"/>
  <c r="J1465" i="5"/>
  <c r="G1465" i="5"/>
  <c r="E1465" i="5"/>
  <c r="C1465" i="5"/>
  <c r="B1465" i="5"/>
  <c r="A1465" i="5"/>
  <c r="J1464" i="5"/>
  <c r="G1464" i="5"/>
  <c r="E1464" i="5"/>
  <c r="C1464" i="5"/>
  <c r="B1464" i="5"/>
  <c r="A1464" i="5"/>
  <c r="J1463" i="5"/>
  <c r="G1463" i="5"/>
  <c r="E1463" i="5"/>
  <c r="C1463" i="5"/>
  <c r="B1463" i="5"/>
  <c r="A1463" i="5"/>
  <c r="J1462" i="5"/>
  <c r="G1462" i="5"/>
  <c r="E1462" i="5"/>
  <c r="C1462" i="5"/>
  <c r="B1462" i="5"/>
  <c r="A1462" i="5"/>
  <c r="N1461" i="5"/>
  <c r="J1461" i="5"/>
  <c r="G1461" i="5"/>
  <c r="E1461" i="5"/>
  <c r="C1461" i="5"/>
  <c r="B1461" i="5"/>
  <c r="A1461" i="5"/>
  <c r="J1460" i="5"/>
  <c r="G1460" i="5"/>
  <c r="E1460" i="5"/>
  <c r="C1460" i="5"/>
  <c r="B1460" i="5"/>
  <c r="A1460" i="5"/>
  <c r="J1459" i="5"/>
  <c r="G1459" i="5"/>
  <c r="E1459" i="5"/>
  <c r="C1459" i="5"/>
  <c r="B1459" i="5"/>
  <c r="A1459" i="5"/>
  <c r="J1458" i="5"/>
  <c r="G1458" i="5"/>
  <c r="E1458" i="5"/>
  <c r="C1458" i="5"/>
  <c r="B1458" i="5"/>
  <c r="A1458" i="5"/>
  <c r="J1457" i="5"/>
  <c r="G1457" i="5"/>
  <c r="E1457" i="5"/>
  <c r="C1457" i="5"/>
  <c r="B1457" i="5"/>
  <c r="A1457" i="5"/>
  <c r="J1456" i="5"/>
  <c r="G1456" i="5"/>
  <c r="E1456" i="5"/>
  <c r="C1456" i="5"/>
  <c r="B1456" i="5"/>
  <c r="A1456" i="5"/>
  <c r="J1455" i="5"/>
  <c r="G1455" i="5"/>
  <c r="E1455" i="5"/>
  <c r="C1455" i="5"/>
  <c r="B1455" i="5"/>
  <c r="A1455" i="5"/>
  <c r="J1454" i="5"/>
  <c r="G1454" i="5"/>
  <c r="E1454" i="5"/>
  <c r="C1454" i="5"/>
  <c r="B1454" i="5"/>
  <c r="A1454" i="5"/>
  <c r="J1453" i="5"/>
  <c r="G1453" i="5"/>
  <c r="E1453" i="5"/>
  <c r="C1453" i="5"/>
  <c r="B1453" i="5"/>
  <c r="A1453" i="5"/>
  <c r="J1452" i="5"/>
  <c r="G1452" i="5"/>
  <c r="E1452" i="5"/>
  <c r="C1452" i="5"/>
  <c r="B1452" i="5"/>
  <c r="A1452" i="5"/>
  <c r="J1451" i="5"/>
  <c r="G1451" i="5"/>
  <c r="E1451" i="5"/>
  <c r="C1451" i="5"/>
  <c r="B1451" i="5"/>
  <c r="A1451" i="5"/>
  <c r="J1450" i="5"/>
  <c r="G1450" i="5"/>
  <c r="E1450" i="5"/>
  <c r="C1450" i="5"/>
  <c r="B1450" i="5"/>
  <c r="A1450" i="5"/>
  <c r="J1449" i="5"/>
  <c r="G1449" i="5"/>
  <c r="E1449" i="5"/>
  <c r="C1449" i="5"/>
  <c r="B1449" i="5"/>
  <c r="A1449" i="5"/>
  <c r="J1448" i="5"/>
  <c r="G1448" i="5"/>
  <c r="E1448" i="5"/>
  <c r="C1448" i="5"/>
  <c r="B1448" i="5"/>
  <c r="A1448" i="5"/>
  <c r="J1447" i="5"/>
  <c r="G1447" i="5"/>
  <c r="E1447" i="5"/>
  <c r="C1447" i="5"/>
  <c r="B1447" i="5"/>
  <c r="A1447" i="5"/>
  <c r="J1446" i="5"/>
  <c r="G1446" i="5"/>
  <c r="E1446" i="5"/>
  <c r="C1446" i="5"/>
  <c r="B1446" i="5"/>
  <c r="A1446" i="5"/>
  <c r="J1445" i="5"/>
  <c r="G1445" i="5"/>
  <c r="E1445" i="5"/>
  <c r="C1445" i="5"/>
  <c r="B1445" i="5"/>
  <c r="A1445" i="5"/>
  <c r="N1444" i="5"/>
  <c r="J1444" i="5"/>
  <c r="G1444" i="5"/>
  <c r="E1444" i="5"/>
  <c r="C1444" i="5"/>
  <c r="B1444" i="5"/>
  <c r="A1444" i="5"/>
  <c r="N1443" i="5"/>
  <c r="J1443" i="5"/>
  <c r="G1443" i="5"/>
  <c r="E1443" i="5"/>
  <c r="C1443" i="5"/>
  <c r="B1443" i="5"/>
  <c r="A1443" i="5"/>
  <c r="J1442" i="5"/>
  <c r="G1442" i="5"/>
  <c r="E1442" i="5"/>
  <c r="C1442" i="5"/>
  <c r="B1442" i="5"/>
  <c r="A1442" i="5"/>
  <c r="N1441" i="5"/>
  <c r="J1441" i="5"/>
  <c r="G1441" i="5"/>
  <c r="E1441" i="5"/>
  <c r="C1441" i="5"/>
  <c r="B1441" i="5"/>
  <c r="A1441" i="5"/>
  <c r="J1440" i="5"/>
  <c r="G1440" i="5"/>
  <c r="E1440" i="5"/>
  <c r="C1440" i="5"/>
  <c r="B1440" i="5"/>
  <c r="A1440" i="5"/>
  <c r="J1439" i="5"/>
  <c r="G1439" i="5"/>
  <c r="E1439" i="5"/>
  <c r="C1439" i="5"/>
  <c r="B1439" i="5"/>
  <c r="A1439" i="5"/>
  <c r="J1438" i="5"/>
  <c r="G1438" i="5"/>
  <c r="E1438" i="5"/>
  <c r="C1438" i="5"/>
  <c r="B1438" i="5"/>
  <c r="A1438" i="5"/>
  <c r="J1437" i="5"/>
  <c r="G1437" i="5"/>
  <c r="E1437" i="5"/>
  <c r="C1437" i="5"/>
  <c r="B1437" i="5"/>
  <c r="A1437" i="5"/>
  <c r="J1436" i="5"/>
  <c r="G1436" i="5"/>
  <c r="F1436" i="5"/>
  <c r="E1436" i="5"/>
  <c r="C1436" i="5"/>
  <c r="B1436" i="5"/>
  <c r="A1436" i="5"/>
  <c r="J1435" i="5"/>
  <c r="G1435" i="5"/>
  <c r="E1435" i="5"/>
  <c r="C1435" i="5"/>
  <c r="B1435" i="5"/>
  <c r="A1435" i="5"/>
  <c r="J1434" i="5"/>
  <c r="G1434" i="5"/>
  <c r="E1434" i="5"/>
  <c r="C1434" i="5"/>
  <c r="B1434" i="5"/>
  <c r="A1434" i="5"/>
  <c r="J1433" i="5"/>
  <c r="G1433" i="5"/>
  <c r="F1433" i="5"/>
  <c r="C1433" i="5"/>
  <c r="B1433" i="5"/>
  <c r="A1433" i="5"/>
  <c r="J1432" i="5"/>
  <c r="G1432" i="5"/>
  <c r="E1432" i="5"/>
  <c r="C1432" i="5"/>
  <c r="B1432" i="5"/>
  <c r="A1432" i="5"/>
  <c r="J1431" i="5"/>
  <c r="G1431" i="5"/>
  <c r="E1431" i="5"/>
  <c r="C1431" i="5"/>
  <c r="B1431" i="5"/>
  <c r="A1431" i="5"/>
  <c r="J1430" i="5"/>
  <c r="G1430" i="5"/>
  <c r="E1430" i="5"/>
  <c r="C1430" i="5"/>
  <c r="B1430" i="5"/>
  <c r="A1430" i="5"/>
  <c r="J1429" i="5"/>
  <c r="G1429" i="5"/>
  <c r="E1429" i="5"/>
  <c r="C1429" i="5"/>
  <c r="B1429" i="5"/>
  <c r="A1429" i="5"/>
  <c r="J1428" i="5"/>
  <c r="G1428" i="5"/>
  <c r="C1428" i="5"/>
  <c r="B1428" i="5"/>
  <c r="A1428" i="5"/>
  <c r="J1427" i="5"/>
  <c r="G1427" i="5"/>
  <c r="E1427" i="5"/>
  <c r="C1427" i="5"/>
  <c r="B1427" i="5"/>
  <c r="A1427" i="5"/>
  <c r="J1426" i="5"/>
  <c r="G1426" i="5"/>
  <c r="F1426" i="5"/>
  <c r="C1426" i="5"/>
  <c r="B1426" i="5"/>
  <c r="A1426" i="5"/>
  <c r="N1425" i="5"/>
  <c r="J1425" i="5"/>
  <c r="G1425" i="5"/>
  <c r="F1425" i="5"/>
  <c r="C1425" i="5"/>
  <c r="B1425" i="5"/>
  <c r="A1425" i="5"/>
  <c r="J1424" i="5"/>
  <c r="G1424" i="5"/>
  <c r="F1424" i="5"/>
  <c r="C1424" i="5"/>
  <c r="B1424" i="5"/>
  <c r="A1424" i="5"/>
  <c r="J1423" i="5"/>
  <c r="G1423" i="5"/>
  <c r="E1423" i="5"/>
  <c r="C1423" i="5"/>
  <c r="B1423" i="5"/>
  <c r="A1423" i="5"/>
  <c r="J1422" i="5"/>
  <c r="G1422" i="5"/>
  <c r="E1422" i="5"/>
  <c r="C1422" i="5"/>
  <c r="B1422" i="5"/>
  <c r="A1422" i="5"/>
  <c r="J1421" i="5"/>
  <c r="G1421" i="5"/>
  <c r="E1421" i="5"/>
  <c r="C1421" i="5"/>
  <c r="B1421" i="5"/>
  <c r="A1421" i="5"/>
  <c r="J1420" i="5"/>
  <c r="G1420" i="5"/>
  <c r="E1420" i="5"/>
  <c r="C1420" i="5"/>
  <c r="B1420" i="5"/>
  <c r="A1420" i="5"/>
  <c r="J1419" i="5"/>
  <c r="G1419" i="5"/>
  <c r="F1419" i="5"/>
  <c r="C1419" i="5"/>
  <c r="B1419" i="5"/>
  <c r="A1419" i="5"/>
  <c r="J1418" i="5"/>
  <c r="G1418" i="5"/>
  <c r="E1418" i="5"/>
  <c r="C1418" i="5"/>
  <c r="B1418" i="5"/>
  <c r="A1418" i="5"/>
  <c r="J1417" i="5"/>
  <c r="G1417" i="5"/>
  <c r="E1417" i="5"/>
  <c r="C1417" i="5"/>
  <c r="B1417" i="5"/>
  <c r="A1417" i="5"/>
  <c r="J1416" i="5"/>
  <c r="G1416" i="5"/>
  <c r="E1416" i="5"/>
  <c r="B1416" i="5"/>
  <c r="A1416" i="5"/>
  <c r="J1415" i="5"/>
  <c r="G1415" i="5"/>
  <c r="E1415" i="5"/>
  <c r="C1415" i="5"/>
  <c r="B1415" i="5"/>
  <c r="A1415" i="5"/>
  <c r="J1414" i="5"/>
  <c r="G1414" i="5"/>
  <c r="E1414" i="5"/>
  <c r="C1414" i="5"/>
  <c r="B1414" i="5"/>
  <c r="A1414" i="5"/>
  <c r="J1413" i="5"/>
  <c r="G1413" i="5"/>
  <c r="E1413" i="5"/>
  <c r="B1413" i="5"/>
  <c r="A1413" i="5"/>
  <c r="J1412" i="5"/>
  <c r="G1412" i="5"/>
  <c r="E1412" i="5"/>
  <c r="C1412" i="5"/>
  <c r="B1412" i="5"/>
  <c r="A1412" i="5"/>
  <c r="J1411" i="5"/>
  <c r="G1411" i="5"/>
  <c r="E1411" i="5"/>
  <c r="C1411" i="5"/>
  <c r="B1411" i="5"/>
  <c r="A1411" i="5"/>
  <c r="J1410" i="5"/>
  <c r="G1410" i="5"/>
  <c r="E1410" i="5"/>
  <c r="C1410" i="5"/>
  <c r="B1410" i="5"/>
  <c r="A1410" i="5"/>
  <c r="J1409" i="5"/>
  <c r="G1409" i="5"/>
  <c r="E1409" i="5"/>
  <c r="C1409" i="5"/>
  <c r="B1409" i="5"/>
  <c r="A1409" i="5"/>
  <c r="J1408" i="5"/>
  <c r="G1408" i="5"/>
  <c r="F1408" i="5"/>
  <c r="C1408" i="5"/>
  <c r="B1408" i="5"/>
  <c r="A1408" i="5"/>
  <c r="J1407" i="5"/>
  <c r="G1407" i="5"/>
  <c r="E1407" i="5"/>
  <c r="C1407" i="5"/>
  <c r="B1407" i="5"/>
  <c r="A1407" i="5"/>
  <c r="J1406" i="5"/>
  <c r="G1406" i="5"/>
  <c r="E1406" i="5"/>
  <c r="C1406" i="5"/>
  <c r="B1406" i="5"/>
  <c r="A1406" i="5"/>
  <c r="J1405" i="5"/>
  <c r="G1405" i="5"/>
  <c r="E1405" i="5"/>
  <c r="C1405" i="5"/>
  <c r="B1405" i="5"/>
  <c r="A1405" i="5"/>
  <c r="J1404" i="5"/>
  <c r="G1404" i="5"/>
  <c r="E1404" i="5"/>
  <c r="C1404" i="5"/>
  <c r="B1404" i="5"/>
  <c r="A1404" i="5"/>
  <c r="J1403" i="5"/>
  <c r="G1403" i="5"/>
  <c r="E1403" i="5"/>
  <c r="B1403" i="5"/>
  <c r="A1403" i="5"/>
  <c r="J1402" i="5"/>
  <c r="G1402" i="5"/>
  <c r="E1402" i="5"/>
  <c r="B1402" i="5"/>
  <c r="A1402" i="5"/>
  <c r="J1401" i="5"/>
  <c r="G1401" i="5"/>
  <c r="C1401" i="5"/>
  <c r="B1401" i="5"/>
  <c r="A1401" i="5"/>
  <c r="J1400" i="5"/>
  <c r="G1400" i="5"/>
  <c r="E1400" i="5"/>
  <c r="C1400" i="5"/>
  <c r="B1400" i="5"/>
  <c r="A1400" i="5"/>
  <c r="J1399" i="5"/>
  <c r="G1399" i="5"/>
  <c r="E1399" i="5"/>
  <c r="C1399" i="5"/>
  <c r="B1399" i="5"/>
  <c r="A1399" i="5"/>
  <c r="J1398" i="5"/>
  <c r="G1398" i="5"/>
  <c r="E1398" i="5"/>
  <c r="C1398" i="5"/>
  <c r="B1398" i="5"/>
  <c r="A1398" i="5"/>
  <c r="J1397" i="5"/>
  <c r="G1397" i="5"/>
  <c r="E1397" i="5"/>
  <c r="C1397" i="5"/>
  <c r="B1397" i="5"/>
  <c r="A1397" i="5"/>
  <c r="J1396" i="5"/>
  <c r="G1396" i="5"/>
  <c r="E1396" i="5"/>
  <c r="C1396" i="5"/>
  <c r="B1396" i="5"/>
  <c r="A1396" i="5"/>
  <c r="J1395" i="5"/>
  <c r="G1395" i="5"/>
  <c r="E1395" i="5"/>
  <c r="C1395" i="5"/>
  <c r="B1395" i="5"/>
  <c r="A1395" i="5"/>
  <c r="J1394" i="5"/>
  <c r="G1394" i="5"/>
  <c r="E1394" i="5"/>
  <c r="C1394" i="5"/>
  <c r="B1394" i="5"/>
  <c r="A1394" i="5"/>
  <c r="J1393" i="5"/>
  <c r="G1393" i="5"/>
  <c r="E1393" i="5"/>
  <c r="C1393" i="5"/>
  <c r="B1393" i="5"/>
  <c r="A1393" i="5"/>
  <c r="J1392" i="5"/>
  <c r="G1392" i="5"/>
  <c r="E1392" i="5"/>
  <c r="C1392" i="5"/>
  <c r="B1392" i="5"/>
  <c r="A1392" i="5"/>
  <c r="J1391" i="5"/>
  <c r="G1391" i="5"/>
  <c r="E1391" i="5"/>
  <c r="C1391" i="5"/>
  <c r="B1391" i="5"/>
  <c r="A1391" i="5"/>
  <c r="J1390" i="5"/>
  <c r="G1390" i="5"/>
  <c r="E1390" i="5"/>
  <c r="C1390" i="5"/>
  <c r="B1390" i="5"/>
  <c r="A1390" i="5"/>
  <c r="J1389" i="5"/>
  <c r="G1389" i="5"/>
  <c r="E1389" i="5"/>
  <c r="C1389" i="5"/>
  <c r="B1389" i="5"/>
  <c r="A1389" i="5"/>
  <c r="J1388" i="5"/>
  <c r="G1388" i="5"/>
  <c r="E1388" i="5"/>
  <c r="C1388" i="5"/>
  <c r="B1388" i="5"/>
  <c r="A1388" i="5"/>
  <c r="J1387" i="5"/>
  <c r="G1387" i="5"/>
  <c r="E1387" i="5"/>
  <c r="C1387" i="5"/>
  <c r="B1387" i="5"/>
  <c r="A1387" i="5"/>
  <c r="J1386" i="5"/>
  <c r="G1386" i="5"/>
  <c r="F1386" i="5"/>
  <c r="C1386" i="5"/>
  <c r="B1386" i="5"/>
  <c r="A1386" i="5"/>
  <c r="J1385" i="5"/>
  <c r="G1385" i="5"/>
  <c r="E1385" i="5"/>
  <c r="C1385" i="5"/>
  <c r="B1385" i="5"/>
  <c r="A1385" i="5"/>
  <c r="J1384" i="5"/>
  <c r="G1384" i="5"/>
  <c r="E1384" i="5"/>
  <c r="C1384" i="5"/>
  <c r="B1384" i="5"/>
  <c r="A1384" i="5"/>
  <c r="J1383" i="5"/>
  <c r="G1383" i="5"/>
  <c r="E1383" i="5"/>
  <c r="C1383" i="5"/>
  <c r="B1383" i="5"/>
  <c r="A1383" i="5"/>
  <c r="J1382" i="5"/>
  <c r="G1382" i="5"/>
  <c r="E1382" i="5"/>
  <c r="C1382" i="5"/>
  <c r="B1382" i="5"/>
  <c r="A1382" i="5"/>
  <c r="J1381" i="5"/>
  <c r="G1381" i="5"/>
  <c r="E1381" i="5"/>
  <c r="C1381" i="5"/>
  <c r="B1381" i="5"/>
  <c r="A1381" i="5"/>
  <c r="J1380" i="5"/>
  <c r="G1380" i="5"/>
  <c r="E1380" i="5"/>
  <c r="C1380" i="5"/>
  <c r="B1380" i="5"/>
  <c r="A1380" i="5"/>
  <c r="J1379" i="5"/>
  <c r="G1379" i="5"/>
  <c r="E1379" i="5"/>
  <c r="C1379" i="5"/>
  <c r="B1379" i="5"/>
  <c r="A1379" i="5"/>
  <c r="J1378" i="5"/>
  <c r="G1378" i="5"/>
  <c r="E1378" i="5"/>
  <c r="C1378" i="5"/>
  <c r="B1378" i="5"/>
  <c r="A1378" i="5"/>
  <c r="J1377" i="5"/>
  <c r="G1377" i="5"/>
  <c r="E1377" i="5"/>
  <c r="C1377" i="5"/>
  <c r="B1377" i="5"/>
  <c r="A1377" i="5"/>
  <c r="J1376" i="5"/>
  <c r="G1376" i="5"/>
  <c r="E1376" i="5"/>
  <c r="C1376" i="5"/>
  <c r="B1376" i="5"/>
  <c r="A1376" i="5"/>
  <c r="J1375" i="5"/>
  <c r="G1375" i="5"/>
  <c r="E1375" i="5"/>
  <c r="C1375" i="5"/>
  <c r="B1375" i="5"/>
  <c r="A1375" i="5"/>
  <c r="J1374" i="5"/>
  <c r="G1374" i="5"/>
  <c r="E1374" i="5"/>
  <c r="C1374" i="5"/>
  <c r="B1374" i="5"/>
  <c r="A1374" i="5"/>
  <c r="N1373" i="5"/>
  <c r="J1373" i="5"/>
  <c r="G1373" i="5"/>
  <c r="E1373" i="5"/>
  <c r="C1373" i="5"/>
  <c r="B1373" i="5"/>
  <c r="A1373" i="5"/>
  <c r="J1372" i="5"/>
  <c r="G1372" i="5"/>
  <c r="E1372" i="5"/>
  <c r="C1372" i="5"/>
  <c r="B1372" i="5"/>
  <c r="A1372" i="5"/>
  <c r="J1371" i="5"/>
  <c r="G1371" i="5"/>
  <c r="E1371" i="5"/>
  <c r="C1371" i="5"/>
  <c r="B1371" i="5"/>
  <c r="A1371" i="5"/>
  <c r="J1370" i="5"/>
  <c r="G1370" i="5"/>
  <c r="E1370" i="5"/>
  <c r="C1370" i="5"/>
  <c r="B1370" i="5"/>
  <c r="A1370" i="5"/>
  <c r="J1369" i="5"/>
  <c r="G1369" i="5"/>
  <c r="E1369" i="5"/>
  <c r="C1369" i="5"/>
  <c r="B1369" i="5"/>
  <c r="A1369" i="5"/>
  <c r="J1368" i="5"/>
  <c r="G1368" i="5"/>
  <c r="E1368" i="5"/>
  <c r="C1368" i="5"/>
  <c r="B1368" i="5"/>
  <c r="A1368" i="5"/>
  <c r="J1367" i="5"/>
  <c r="G1367" i="5"/>
  <c r="E1367" i="5"/>
  <c r="C1367" i="5"/>
  <c r="B1367" i="5"/>
  <c r="A1367" i="5"/>
  <c r="J1366" i="5"/>
  <c r="G1366" i="5"/>
  <c r="E1366" i="5"/>
  <c r="C1366" i="5"/>
  <c r="B1366" i="5"/>
  <c r="A1366" i="5"/>
  <c r="J1365" i="5"/>
  <c r="G1365" i="5"/>
  <c r="E1365" i="5"/>
  <c r="C1365" i="5"/>
  <c r="B1365" i="5"/>
  <c r="A1365" i="5"/>
  <c r="J1364" i="5"/>
  <c r="G1364" i="5"/>
  <c r="E1364" i="5"/>
  <c r="C1364" i="5"/>
  <c r="B1364" i="5"/>
  <c r="A1364" i="5"/>
  <c r="J1363" i="5"/>
  <c r="G1363" i="5"/>
  <c r="E1363" i="5"/>
  <c r="C1363" i="5"/>
  <c r="B1363" i="5"/>
  <c r="A1363" i="5"/>
  <c r="J1362" i="5"/>
  <c r="G1362" i="5"/>
  <c r="E1362" i="5"/>
  <c r="C1362" i="5"/>
  <c r="B1362" i="5"/>
  <c r="A1362" i="5"/>
  <c r="J1361" i="5"/>
  <c r="G1361" i="5"/>
  <c r="E1361" i="5"/>
  <c r="C1361" i="5"/>
  <c r="B1361" i="5"/>
  <c r="A1361" i="5"/>
  <c r="J1360" i="5"/>
  <c r="G1360" i="5"/>
  <c r="E1360" i="5"/>
  <c r="C1360" i="5"/>
  <c r="B1360" i="5"/>
  <c r="A1360" i="5"/>
  <c r="J1359" i="5"/>
  <c r="G1359" i="5"/>
  <c r="E1359" i="5"/>
  <c r="C1359" i="5"/>
  <c r="B1359" i="5"/>
  <c r="A1359" i="5"/>
  <c r="J1358" i="5"/>
  <c r="G1358" i="5"/>
  <c r="E1358" i="5"/>
  <c r="C1358" i="5"/>
  <c r="B1358" i="5"/>
  <c r="A1358" i="5"/>
  <c r="J1357" i="5"/>
  <c r="G1357" i="5"/>
  <c r="E1357" i="5"/>
  <c r="C1357" i="5"/>
  <c r="B1357" i="5"/>
  <c r="A1357" i="5"/>
  <c r="J1356" i="5"/>
  <c r="G1356" i="5"/>
  <c r="E1356" i="5"/>
  <c r="C1356" i="5"/>
  <c r="B1356" i="5"/>
  <c r="A1356" i="5"/>
  <c r="J1355" i="5"/>
  <c r="G1355" i="5"/>
  <c r="F1355" i="5"/>
  <c r="E1355" i="5"/>
  <c r="C1355" i="5"/>
  <c r="B1355" i="5"/>
  <c r="A1355" i="5"/>
  <c r="J1354" i="5"/>
  <c r="G1354" i="5"/>
  <c r="C1354" i="5"/>
  <c r="B1354" i="5"/>
  <c r="A1354" i="5"/>
  <c r="J1353" i="5"/>
  <c r="G1353" i="5"/>
  <c r="E1353" i="5"/>
  <c r="C1353" i="5"/>
  <c r="B1353" i="5"/>
  <c r="A1353" i="5"/>
  <c r="J1352" i="5"/>
  <c r="G1352" i="5"/>
  <c r="C1352" i="5"/>
  <c r="B1352" i="5"/>
  <c r="A1352" i="5"/>
  <c r="J1351" i="5"/>
  <c r="G1351" i="5"/>
  <c r="E1351" i="5"/>
  <c r="C1351" i="5"/>
  <c r="B1351" i="5"/>
  <c r="A1351" i="5"/>
  <c r="J1350" i="5"/>
  <c r="G1350" i="5"/>
  <c r="E1350" i="5"/>
  <c r="C1350" i="5"/>
  <c r="B1350" i="5"/>
  <c r="A1350" i="5"/>
  <c r="J1349" i="5"/>
  <c r="F1349" i="5"/>
  <c r="E1349" i="5"/>
  <c r="C1349" i="5"/>
  <c r="B1349" i="5"/>
  <c r="A1349" i="5"/>
  <c r="J1348" i="5"/>
  <c r="E1348" i="5"/>
  <c r="C1348" i="5"/>
  <c r="B1348" i="5"/>
  <c r="A1348" i="5"/>
  <c r="J1347" i="5"/>
  <c r="G1347" i="5"/>
  <c r="E1347" i="5"/>
  <c r="C1347" i="5"/>
  <c r="B1347" i="5"/>
  <c r="A1347" i="5"/>
  <c r="J1346" i="5"/>
  <c r="G1346" i="5"/>
  <c r="C1346" i="5"/>
  <c r="B1346" i="5"/>
  <c r="A1346" i="5"/>
  <c r="J1345" i="5"/>
  <c r="G1345" i="5"/>
  <c r="E1345" i="5"/>
  <c r="C1345" i="5"/>
  <c r="B1345" i="5"/>
  <c r="A1345" i="5"/>
  <c r="J1344" i="5"/>
  <c r="G1344" i="5"/>
  <c r="C1344" i="5"/>
  <c r="B1344" i="5"/>
  <c r="A1344" i="5"/>
  <c r="J1343" i="5"/>
  <c r="G1343" i="5"/>
  <c r="E1343" i="5"/>
  <c r="C1343" i="5"/>
  <c r="B1343" i="5"/>
  <c r="A1343" i="5"/>
  <c r="J1342" i="5"/>
  <c r="G1342" i="5"/>
  <c r="E1342" i="5"/>
  <c r="C1342" i="5"/>
  <c r="B1342" i="5"/>
  <c r="A1342" i="5"/>
  <c r="J1341" i="5"/>
  <c r="G1341" i="5"/>
  <c r="E1341" i="5"/>
  <c r="C1341" i="5"/>
  <c r="B1341" i="5"/>
  <c r="A1341" i="5"/>
  <c r="J1340" i="5"/>
  <c r="G1340" i="5"/>
  <c r="E1340" i="5"/>
  <c r="C1340" i="5"/>
  <c r="B1340" i="5"/>
  <c r="A1340" i="5"/>
  <c r="N1339" i="5"/>
  <c r="J1339" i="5"/>
  <c r="G1339" i="5"/>
  <c r="E1339" i="5"/>
  <c r="C1339" i="5"/>
  <c r="B1339" i="5"/>
  <c r="A1339" i="5"/>
  <c r="J1338" i="5"/>
  <c r="G1338" i="5"/>
  <c r="E1338" i="5"/>
  <c r="C1338" i="5"/>
  <c r="B1338" i="5"/>
  <c r="A1338" i="5"/>
  <c r="J1337" i="5"/>
  <c r="G1337" i="5"/>
  <c r="E1337" i="5"/>
  <c r="C1337" i="5"/>
  <c r="B1337" i="5"/>
  <c r="A1337" i="5"/>
  <c r="J1336" i="5"/>
  <c r="G1336" i="5"/>
  <c r="E1336" i="5"/>
  <c r="C1336" i="5"/>
  <c r="B1336" i="5"/>
  <c r="A1336" i="5"/>
  <c r="J1335" i="5"/>
  <c r="G1335" i="5"/>
  <c r="E1335" i="5"/>
  <c r="C1335" i="5"/>
  <c r="B1335" i="5"/>
  <c r="A1335" i="5"/>
  <c r="J1334" i="5"/>
  <c r="G1334" i="5"/>
  <c r="E1334" i="5"/>
  <c r="C1334" i="5"/>
  <c r="B1334" i="5"/>
  <c r="A1334" i="5"/>
  <c r="J1333" i="5"/>
  <c r="G1333" i="5"/>
  <c r="E1333" i="5"/>
  <c r="C1333" i="5"/>
  <c r="B1333" i="5"/>
  <c r="A1333" i="5"/>
  <c r="J1332" i="5"/>
  <c r="G1332" i="5"/>
  <c r="E1332" i="5"/>
  <c r="C1332" i="5"/>
  <c r="B1332" i="5"/>
  <c r="A1332" i="5"/>
  <c r="J1331" i="5"/>
  <c r="G1331" i="5"/>
  <c r="E1331" i="5"/>
  <c r="C1331" i="5"/>
  <c r="B1331" i="5"/>
  <c r="A1331" i="5"/>
  <c r="J1330" i="5"/>
  <c r="G1330" i="5"/>
  <c r="E1330" i="5"/>
  <c r="C1330" i="5"/>
  <c r="B1330" i="5"/>
  <c r="A1330" i="5"/>
  <c r="J1329" i="5"/>
  <c r="G1329" i="5"/>
  <c r="E1329" i="5"/>
  <c r="C1329" i="5"/>
  <c r="B1329" i="5"/>
  <c r="A1329" i="5"/>
  <c r="J1328" i="5"/>
  <c r="G1328" i="5"/>
  <c r="E1328" i="5"/>
  <c r="C1328" i="5"/>
  <c r="B1328" i="5"/>
  <c r="A1328" i="5"/>
  <c r="J1327" i="5"/>
  <c r="G1327" i="5"/>
  <c r="E1327" i="5"/>
  <c r="C1327" i="5"/>
  <c r="B1327" i="5"/>
  <c r="A1327" i="5"/>
  <c r="J1326" i="5"/>
  <c r="G1326" i="5"/>
  <c r="E1326" i="5"/>
  <c r="C1326" i="5"/>
  <c r="B1326" i="5"/>
  <c r="A1326" i="5"/>
  <c r="J1325" i="5"/>
  <c r="G1325" i="5"/>
  <c r="E1325" i="5"/>
  <c r="C1325" i="5"/>
  <c r="B1325" i="5"/>
  <c r="A1325" i="5"/>
  <c r="J1324" i="5"/>
  <c r="G1324" i="5"/>
  <c r="E1324" i="5"/>
  <c r="C1324" i="5"/>
  <c r="B1324" i="5"/>
  <c r="A1324" i="5"/>
  <c r="J1323" i="5"/>
  <c r="G1323" i="5"/>
  <c r="E1323" i="5"/>
  <c r="C1323" i="5"/>
  <c r="B1323" i="5"/>
  <c r="A1323" i="5"/>
  <c r="J1322" i="5"/>
  <c r="G1322" i="5"/>
  <c r="E1322" i="5"/>
  <c r="C1322" i="5"/>
  <c r="B1322" i="5"/>
  <c r="A1322" i="5"/>
  <c r="J1321" i="5"/>
  <c r="G1321" i="5"/>
  <c r="E1321" i="5"/>
  <c r="C1321" i="5"/>
  <c r="B1321" i="5"/>
  <c r="A1321" i="5"/>
  <c r="J1320" i="5"/>
  <c r="G1320" i="5"/>
  <c r="E1320" i="5"/>
  <c r="C1320" i="5"/>
  <c r="B1320" i="5"/>
  <c r="A1320" i="5"/>
  <c r="J1319" i="5"/>
  <c r="G1319" i="5"/>
  <c r="E1319" i="5"/>
  <c r="C1319" i="5"/>
  <c r="B1319" i="5"/>
  <c r="A1319" i="5"/>
  <c r="J1318" i="5"/>
  <c r="G1318" i="5"/>
  <c r="E1318" i="5"/>
  <c r="C1318" i="5"/>
  <c r="B1318" i="5"/>
  <c r="A1318" i="5"/>
  <c r="J1317" i="5"/>
  <c r="G1317" i="5"/>
  <c r="C1317" i="5"/>
  <c r="B1317" i="5"/>
  <c r="A1317" i="5"/>
  <c r="J1316" i="5"/>
  <c r="E1316" i="5"/>
  <c r="C1316" i="5"/>
  <c r="B1316" i="5"/>
  <c r="A1316" i="5"/>
  <c r="J1315" i="5"/>
  <c r="G1315" i="5"/>
  <c r="E1315" i="5"/>
  <c r="C1315" i="5"/>
  <c r="B1315" i="5"/>
  <c r="A1315" i="5"/>
  <c r="J1314" i="5"/>
  <c r="G1314" i="5"/>
  <c r="E1314" i="5"/>
  <c r="C1314" i="5"/>
  <c r="B1314" i="5"/>
  <c r="A1314" i="5"/>
  <c r="J1313" i="5"/>
  <c r="G1313" i="5"/>
  <c r="C1313" i="5"/>
  <c r="B1313" i="5"/>
  <c r="A1313" i="5"/>
  <c r="J1312" i="5"/>
  <c r="G1312" i="5"/>
  <c r="E1312" i="5"/>
  <c r="C1312" i="5"/>
  <c r="B1312" i="5"/>
  <c r="A1312" i="5"/>
  <c r="J1311" i="5"/>
  <c r="G1311" i="5"/>
  <c r="E1311" i="5"/>
  <c r="C1311" i="5"/>
  <c r="B1311" i="5"/>
  <c r="A1311" i="5"/>
  <c r="J1310" i="5"/>
  <c r="G1310" i="5"/>
  <c r="E1310" i="5"/>
  <c r="C1310" i="5"/>
  <c r="B1310" i="5"/>
  <c r="A1310" i="5"/>
  <c r="J1309" i="5"/>
  <c r="G1309" i="5"/>
  <c r="E1309" i="5"/>
  <c r="C1309" i="5"/>
  <c r="B1309" i="5"/>
  <c r="A1309" i="5"/>
  <c r="J1308" i="5"/>
  <c r="G1308" i="5"/>
  <c r="C1308" i="5"/>
  <c r="B1308" i="5"/>
  <c r="A1308" i="5"/>
  <c r="J1307" i="5"/>
  <c r="G1307" i="5"/>
  <c r="E1307" i="5"/>
  <c r="C1307" i="5"/>
  <c r="B1307" i="5"/>
  <c r="A1307" i="5"/>
  <c r="J1306" i="5"/>
  <c r="G1306" i="5"/>
  <c r="E1306" i="5"/>
  <c r="C1306" i="5"/>
  <c r="B1306" i="5"/>
  <c r="A1306" i="5"/>
  <c r="J1305" i="5"/>
  <c r="G1305" i="5"/>
  <c r="E1305" i="5"/>
  <c r="C1305" i="5"/>
  <c r="B1305" i="5"/>
  <c r="A1305" i="5"/>
  <c r="J1304" i="5"/>
  <c r="G1304" i="5"/>
  <c r="E1304" i="5"/>
  <c r="C1304" i="5"/>
  <c r="B1304" i="5"/>
  <c r="A1304" i="5"/>
  <c r="J1303" i="5"/>
  <c r="G1303" i="5"/>
  <c r="C1303" i="5"/>
  <c r="B1303" i="5"/>
  <c r="A1303" i="5"/>
  <c r="J1302" i="5"/>
  <c r="G1302" i="5"/>
  <c r="E1302" i="5"/>
  <c r="C1302" i="5"/>
  <c r="B1302" i="5"/>
  <c r="A1302" i="5"/>
  <c r="J1301" i="5"/>
  <c r="G1301" i="5"/>
  <c r="E1301" i="5"/>
  <c r="C1301" i="5"/>
  <c r="B1301" i="5"/>
  <c r="A1301" i="5"/>
  <c r="J1300" i="5"/>
  <c r="G1300" i="5"/>
  <c r="E1300" i="5"/>
  <c r="C1300" i="5"/>
  <c r="B1300" i="5"/>
  <c r="A1300" i="5"/>
  <c r="J1299" i="5"/>
  <c r="G1299" i="5"/>
  <c r="E1299" i="5"/>
  <c r="C1299" i="5"/>
  <c r="B1299" i="5"/>
  <c r="A1299" i="5"/>
  <c r="J1298" i="5"/>
  <c r="G1298" i="5"/>
  <c r="E1298" i="5"/>
  <c r="C1298" i="5"/>
  <c r="B1298" i="5"/>
  <c r="A1298" i="5"/>
  <c r="J1297" i="5"/>
  <c r="G1297" i="5"/>
  <c r="E1297" i="5"/>
  <c r="C1297" i="5"/>
  <c r="B1297" i="5"/>
  <c r="A1297" i="5"/>
  <c r="J1296" i="5"/>
  <c r="G1296" i="5"/>
  <c r="E1296" i="5"/>
  <c r="C1296" i="5"/>
  <c r="B1296" i="5"/>
  <c r="A1296" i="5"/>
  <c r="J1295" i="5"/>
  <c r="G1295" i="5"/>
  <c r="C1295" i="5"/>
  <c r="B1295" i="5"/>
  <c r="A1295" i="5"/>
  <c r="J1294" i="5"/>
  <c r="G1294" i="5"/>
  <c r="E1294" i="5"/>
  <c r="C1294" i="5"/>
  <c r="B1294" i="5"/>
  <c r="A1294" i="5"/>
  <c r="J1293" i="5"/>
  <c r="G1293" i="5"/>
  <c r="E1293" i="5"/>
  <c r="C1293" i="5"/>
  <c r="B1293" i="5"/>
  <c r="A1293" i="5"/>
  <c r="J1292" i="5"/>
  <c r="G1292" i="5"/>
  <c r="E1292" i="5"/>
  <c r="C1292" i="5"/>
  <c r="B1292" i="5"/>
  <c r="A1292" i="5"/>
  <c r="J1291" i="5"/>
  <c r="G1291" i="5"/>
  <c r="E1291" i="5"/>
  <c r="C1291" i="5"/>
  <c r="B1291" i="5"/>
  <c r="A1291" i="5"/>
  <c r="J1290" i="5"/>
  <c r="G1290" i="5"/>
  <c r="E1290" i="5"/>
  <c r="C1290" i="5"/>
  <c r="B1290" i="5"/>
  <c r="A1290" i="5"/>
  <c r="J1289" i="5"/>
  <c r="E1289" i="5"/>
  <c r="C1289" i="5"/>
  <c r="B1289" i="5"/>
  <c r="A1289" i="5"/>
  <c r="J1288" i="5"/>
  <c r="G1288" i="5"/>
  <c r="C1288" i="5"/>
  <c r="B1288" i="5"/>
  <c r="A1288" i="5"/>
  <c r="J1287" i="5"/>
  <c r="G1287" i="5"/>
  <c r="E1287" i="5"/>
  <c r="C1287" i="5"/>
  <c r="B1287" i="5"/>
  <c r="A1287" i="5"/>
  <c r="J1286" i="5"/>
  <c r="G1286" i="5"/>
  <c r="E1286" i="5"/>
  <c r="C1286" i="5"/>
  <c r="B1286" i="5"/>
  <c r="A1286" i="5"/>
  <c r="J1285" i="5"/>
  <c r="G1285" i="5"/>
  <c r="C1285" i="5"/>
  <c r="B1285" i="5"/>
  <c r="A1285" i="5"/>
  <c r="J1284" i="5"/>
  <c r="G1284" i="5"/>
  <c r="F1284" i="5"/>
  <c r="C1284" i="5"/>
  <c r="B1284" i="5"/>
  <c r="A1284" i="5"/>
  <c r="J1283" i="5"/>
  <c r="G1283" i="5"/>
  <c r="C1283" i="5"/>
  <c r="B1283" i="5"/>
  <c r="A1283" i="5"/>
  <c r="J1282" i="5"/>
  <c r="G1282" i="5"/>
  <c r="E1282" i="5"/>
  <c r="C1282" i="5"/>
  <c r="B1282" i="5"/>
  <c r="A1282" i="5"/>
  <c r="J1281" i="5"/>
  <c r="G1281" i="5"/>
  <c r="E1281" i="5"/>
  <c r="C1281" i="5"/>
  <c r="B1281" i="5"/>
  <c r="A1281" i="5"/>
  <c r="J1280" i="5"/>
  <c r="G1280" i="5"/>
  <c r="E1280" i="5"/>
  <c r="C1280" i="5"/>
  <c r="B1280" i="5"/>
  <c r="A1280" i="5"/>
  <c r="J1279" i="5"/>
  <c r="G1279" i="5"/>
  <c r="E1279" i="5"/>
  <c r="C1279" i="5"/>
  <c r="B1279" i="5"/>
  <c r="A1279" i="5"/>
  <c r="J1278" i="5"/>
  <c r="G1278" i="5"/>
  <c r="E1278" i="5"/>
  <c r="C1278" i="5"/>
  <c r="B1278" i="5"/>
  <c r="A1278" i="5"/>
  <c r="J1277" i="5"/>
  <c r="G1277" i="5"/>
  <c r="E1277" i="5"/>
  <c r="C1277" i="5"/>
  <c r="B1277" i="5"/>
  <c r="A1277" i="5"/>
  <c r="J1276" i="5"/>
  <c r="G1276" i="5"/>
  <c r="E1276" i="5"/>
  <c r="C1276" i="5"/>
  <c r="B1276" i="5"/>
  <c r="A1276" i="5"/>
  <c r="J1275" i="5"/>
  <c r="G1275" i="5"/>
  <c r="E1275" i="5"/>
  <c r="C1275" i="5"/>
  <c r="B1275" i="5"/>
  <c r="A1275" i="5"/>
  <c r="J1274" i="5"/>
  <c r="G1274" i="5"/>
  <c r="E1274" i="5"/>
  <c r="C1274" i="5"/>
  <c r="B1274" i="5"/>
  <c r="A1274" i="5"/>
  <c r="J1273" i="5"/>
  <c r="G1273" i="5"/>
  <c r="E1273" i="5"/>
  <c r="C1273" i="5"/>
  <c r="B1273" i="5"/>
  <c r="A1273" i="5"/>
  <c r="J1272" i="5"/>
  <c r="G1272" i="5"/>
  <c r="E1272" i="5"/>
  <c r="C1272" i="5"/>
  <c r="B1272" i="5"/>
  <c r="A1272" i="5"/>
  <c r="J1271" i="5"/>
  <c r="G1271" i="5"/>
  <c r="E1271" i="5"/>
  <c r="C1271" i="5"/>
  <c r="B1271" i="5"/>
  <c r="A1271" i="5"/>
  <c r="J1270" i="5"/>
  <c r="G1270" i="5"/>
  <c r="E1270" i="5"/>
  <c r="C1270" i="5"/>
  <c r="B1270" i="5"/>
  <c r="A1270" i="5"/>
  <c r="J1269" i="5"/>
  <c r="G1269" i="5"/>
  <c r="E1269" i="5"/>
  <c r="C1269" i="5"/>
  <c r="B1269" i="5"/>
  <c r="A1269" i="5"/>
  <c r="J1268" i="5"/>
  <c r="G1268" i="5"/>
  <c r="E1268" i="5"/>
  <c r="C1268" i="5"/>
  <c r="B1268" i="5"/>
  <c r="A1268" i="5"/>
  <c r="J1267" i="5"/>
  <c r="G1267" i="5"/>
  <c r="E1267" i="5"/>
  <c r="C1267" i="5"/>
  <c r="B1267" i="5"/>
  <c r="A1267" i="5"/>
  <c r="J1266" i="5"/>
  <c r="G1266" i="5"/>
  <c r="E1266" i="5"/>
  <c r="C1266" i="5"/>
  <c r="B1266" i="5"/>
  <c r="A1266" i="5"/>
  <c r="J1265" i="5"/>
  <c r="G1265" i="5"/>
  <c r="E1265" i="5"/>
  <c r="C1265" i="5"/>
  <c r="B1265" i="5"/>
  <c r="A1265" i="5"/>
  <c r="J1264" i="5"/>
  <c r="G1264" i="5"/>
  <c r="E1264" i="5"/>
  <c r="C1264" i="5"/>
  <c r="B1264" i="5"/>
  <c r="A1264" i="5"/>
  <c r="J1263" i="5"/>
  <c r="G1263" i="5"/>
  <c r="E1263" i="5"/>
  <c r="C1263" i="5"/>
  <c r="B1263" i="5"/>
  <c r="A1263" i="5"/>
  <c r="J1262" i="5"/>
  <c r="G1262" i="5"/>
  <c r="E1262" i="5"/>
  <c r="C1262" i="5"/>
  <c r="B1262" i="5"/>
  <c r="A1262" i="5"/>
  <c r="J1261" i="5"/>
  <c r="G1261" i="5"/>
  <c r="E1261" i="5"/>
  <c r="C1261" i="5"/>
  <c r="B1261" i="5"/>
  <c r="A1261" i="5"/>
  <c r="J1260" i="5"/>
  <c r="G1260" i="5"/>
  <c r="E1260" i="5"/>
  <c r="C1260" i="5"/>
  <c r="B1260" i="5"/>
  <c r="A1260" i="5"/>
  <c r="J1259" i="5"/>
  <c r="G1259" i="5"/>
  <c r="E1259" i="5"/>
  <c r="C1259" i="5"/>
  <c r="B1259" i="5"/>
  <c r="A1259" i="5"/>
  <c r="J1258" i="5"/>
  <c r="G1258" i="5"/>
  <c r="E1258" i="5"/>
  <c r="C1258" i="5"/>
  <c r="B1258" i="5"/>
  <c r="A1258" i="5"/>
  <c r="J1257" i="5"/>
  <c r="G1257" i="5"/>
  <c r="E1257" i="5"/>
  <c r="C1257" i="5"/>
  <c r="B1257" i="5"/>
  <c r="A1257" i="5"/>
  <c r="N1256" i="5"/>
  <c r="J1256" i="5"/>
  <c r="G1256" i="5"/>
  <c r="E1256" i="5"/>
  <c r="C1256" i="5"/>
  <c r="B1256" i="5"/>
  <c r="A1256" i="5"/>
  <c r="J1255" i="5"/>
  <c r="G1255" i="5"/>
  <c r="E1255" i="5"/>
  <c r="C1255" i="5"/>
  <c r="B1255" i="5"/>
  <c r="A1255" i="5"/>
  <c r="J1254" i="5"/>
  <c r="G1254" i="5"/>
  <c r="E1254" i="5"/>
  <c r="C1254" i="5"/>
  <c r="B1254" i="5"/>
  <c r="A1254" i="5"/>
  <c r="J1253" i="5"/>
  <c r="G1253" i="5"/>
  <c r="E1253" i="5"/>
  <c r="C1253" i="5"/>
  <c r="B1253" i="5"/>
  <c r="A1253" i="5"/>
  <c r="J1252" i="5"/>
  <c r="G1252" i="5"/>
  <c r="E1252" i="5"/>
  <c r="C1252" i="5"/>
  <c r="B1252" i="5"/>
  <c r="A1252" i="5"/>
  <c r="J1251" i="5"/>
  <c r="G1251" i="5"/>
  <c r="E1251" i="5"/>
  <c r="C1251" i="5"/>
  <c r="B1251" i="5"/>
  <c r="A1251" i="5"/>
  <c r="J1250" i="5"/>
  <c r="G1250" i="5"/>
  <c r="E1250" i="5"/>
  <c r="C1250" i="5"/>
  <c r="B1250" i="5"/>
  <c r="A1250" i="5"/>
  <c r="J1249" i="5"/>
  <c r="G1249" i="5"/>
  <c r="E1249" i="5"/>
  <c r="C1249" i="5"/>
  <c r="B1249" i="5"/>
  <c r="A1249" i="5"/>
  <c r="J1248" i="5"/>
  <c r="G1248" i="5"/>
  <c r="E1248" i="5"/>
  <c r="C1248" i="5"/>
  <c r="B1248" i="5"/>
  <c r="A1248" i="5"/>
  <c r="J1247" i="5"/>
  <c r="G1247" i="5"/>
  <c r="E1247" i="5"/>
  <c r="C1247" i="5"/>
  <c r="B1247" i="5"/>
  <c r="A1247" i="5"/>
  <c r="J1246" i="5"/>
  <c r="G1246" i="5"/>
  <c r="E1246" i="5"/>
  <c r="C1246" i="5"/>
  <c r="B1246" i="5"/>
  <c r="A1246" i="5"/>
  <c r="J1245" i="5"/>
  <c r="G1245" i="5"/>
  <c r="E1245" i="5"/>
  <c r="C1245" i="5"/>
  <c r="B1245" i="5"/>
  <c r="A1245" i="5"/>
  <c r="J1244" i="5"/>
  <c r="G1244" i="5"/>
  <c r="E1244" i="5"/>
  <c r="C1244" i="5"/>
  <c r="B1244" i="5"/>
  <c r="A1244" i="5"/>
  <c r="J1243" i="5"/>
  <c r="G1243" i="5"/>
  <c r="E1243" i="5"/>
  <c r="C1243" i="5"/>
  <c r="B1243" i="5"/>
  <c r="A1243" i="5"/>
  <c r="J1242" i="5"/>
  <c r="G1242" i="5"/>
  <c r="E1242" i="5"/>
  <c r="C1242" i="5"/>
  <c r="B1242" i="5"/>
  <c r="A1242" i="5"/>
  <c r="J1241" i="5"/>
  <c r="G1241" i="5"/>
  <c r="E1241" i="5"/>
  <c r="C1241" i="5"/>
  <c r="B1241" i="5"/>
  <c r="A1241" i="5"/>
  <c r="J1240" i="5"/>
  <c r="G1240" i="5"/>
  <c r="E1240" i="5"/>
  <c r="C1240" i="5"/>
  <c r="B1240" i="5"/>
  <c r="A1240" i="5"/>
  <c r="J1239" i="5"/>
  <c r="G1239" i="5"/>
  <c r="E1239" i="5"/>
  <c r="C1239" i="5"/>
  <c r="B1239" i="5"/>
  <c r="A1239" i="5"/>
  <c r="J1238" i="5"/>
  <c r="G1238" i="5"/>
  <c r="E1238" i="5"/>
  <c r="C1238" i="5"/>
  <c r="B1238" i="5"/>
  <c r="A1238" i="5"/>
  <c r="J1237" i="5"/>
  <c r="G1237" i="5"/>
  <c r="E1237" i="5"/>
  <c r="C1237" i="5"/>
  <c r="B1237" i="5"/>
  <c r="A1237" i="5"/>
  <c r="J1236" i="5"/>
  <c r="G1236" i="5"/>
  <c r="E1236" i="5"/>
  <c r="C1236" i="5"/>
  <c r="B1236" i="5"/>
  <c r="A1236" i="5"/>
  <c r="J1235" i="5"/>
  <c r="G1235" i="5"/>
  <c r="E1235" i="5"/>
  <c r="C1235" i="5"/>
  <c r="B1235" i="5"/>
  <c r="A1235" i="5"/>
  <c r="J1234" i="5"/>
  <c r="G1234" i="5"/>
  <c r="E1234" i="5"/>
  <c r="C1234" i="5"/>
  <c r="B1234" i="5"/>
  <c r="A1234" i="5"/>
  <c r="J1233" i="5"/>
  <c r="G1233" i="5"/>
  <c r="E1233" i="5"/>
  <c r="C1233" i="5"/>
  <c r="B1233" i="5"/>
  <c r="A1233" i="5"/>
  <c r="J1232" i="5"/>
  <c r="G1232" i="5"/>
  <c r="E1232" i="5"/>
  <c r="C1232" i="5"/>
  <c r="B1232" i="5"/>
  <c r="A1232" i="5"/>
  <c r="J1231" i="5"/>
  <c r="G1231" i="5"/>
  <c r="E1231" i="5"/>
  <c r="C1231" i="5"/>
  <c r="B1231" i="5"/>
  <c r="A1231" i="5"/>
  <c r="J1230" i="5"/>
  <c r="G1230" i="5"/>
  <c r="E1230" i="5"/>
  <c r="C1230" i="5"/>
  <c r="B1230" i="5"/>
  <c r="A1230" i="5"/>
  <c r="N1229" i="5"/>
  <c r="J1229" i="5"/>
  <c r="G1229" i="5"/>
  <c r="E1229" i="5"/>
  <c r="C1229" i="5"/>
  <c r="B1229" i="5"/>
  <c r="A1229" i="5"/>
  <c r="J1228" i="5"/>
  <c r="G1228" i="5"/>
  <c r="E1228" i="5"/>
  <c r="C1228" i="5"/>
  <c r="B1228" i="5"/>
  <c r="A1228" i="5"/>
  <c r="J1227" i="5"/>
  <c r="G1227" i="5"/>
  <c r="E1227" i="5"/>
  <c r="C1227" i="5"/>
  <c r="B1227" i="5"/>
  <c r="A1227" i="5"/>
  <c r="J1226" i="5"/>
  <c r="G1226" i="5"/>
  <c r="E1226" i="5"/>
  <c r="C1226" i="5"/>
  <c r="B1226" i="5"/>
  <c r="A1226" i="5"/>
  <c r="J1225" i="5"/>
  <c r="G1225" i="5"/>
  <c r="E1225" i="5"/>
  <c r="C1225" i="5"/>
  <c r="B1225" i="5"/>
  <c r="A1225" i="5"/>
  <c r="J1224" i="5"/>
  <c r="G1224" i="5"/>
  <c r="F1224" i="5"/>
  <c r="E1224" i="5"/>
  <c r="C1224" i="5"/>
  <c r="B1224" i="5"/>
  <c r="A1224" i="5"/>
  <c r="J1223" i="5"/>
  <c r="G1223" i="5"/>
  <c r="C1223" i="5"/>
  <c r="B1223" i="5"/>
  <c r="A1223" i="5"/>
  <c r="J1222" i="5"/>
  <c r="G1222" i="5"/>
  <c r="E1222" i="5"/>
  <c r="C1222" i="5"/>
  <c r="B1222" i="5"/>
  <c r="A1222" i="5"/>
  <c r="J1221" i="5"/>
  <c r="G1221" i="5"/>
  <c r="E1221" i="5"/>
  <c r="C1221" i="5"/>
  <c r="B1221" i="5"/>
  <c r="A1221" i="5"/>
  <c r="J1220" i="5"/>
  <c r="G1220" i="5"/>
  <c r="E1220" i="5"/>
  <c r="C1220" i="5"/>
  <c r="B1220" i="5"/>
  <c r="A1220" i="5"/>
  <c r="J1219" i="5"/>
  <c r="G1219" i="5"/>
  <c r="E1219" i="5"/>
  <c r="C1219" i="5"/>
  <c r="B1219" i="5"/>
  <c r="A1219" i="5"/>
  <c r="J1218" i="5"/>
  <c r="G1218" i="5"/>
  <c r="E1218" i="5"/>
  <c r="C1218" i="5"/>
  <c r="B1218" i="5"/>
  <c r="A1218" i="5"/>
  <c r="J1217" i="5"/>
  <c r="G1217" i="5"/>
  <c r="F1217" i="5"/>
  <c r="C1217" i="5"/>
  <c r="B1217" i="5"/>
  <c r="A1217" i="5"/>
  <c r="J1216" i="5"/>
  <c r="G1216" i="5"/>
  <c r="E1216" i="5"/>
  <c r="C1216" i="5"/>
  <c r="B1216" i="5"/>
  <c r="A1216" i="5"/>
  <c r="J1215" i="5"/>
  <c r="G1215" i="5"/>
  <c r="E1215" i="5"/>
  <c r="C1215" i="5"/>
  <c r="B1215" i="5"/>
  <c r="A1215" i="5"/>
  <c r="J1214" i="5"/>
  <c r="G1214" i="5"/>
  <c r="E1214" i="5"/>
  <c r="C1214" i="5"/>
  <c r="B1214" i="5"/>
  <c r="A1214" i="5"/>
  <c r="J1213" i="5"/>
  <c r="G1213" i="5"/>
  <c r="E1213" i="5"/>
  <c r="C1213" i="5"/>
  <c r="B1213" i="5"/>
  <c r="A1213" i="5"/>
  <c r="J1212" i="5"/>
  <c r="G1212" i="5"/>
  <c r="E1212" i="5"/>
  <c r="C1212" i="5"/>
  <c r="B1212" i="5"/>
  <c r="A1212" i="5"/>
  <c r="J1211" i="5"/>
  <c r="G1211" i="5"/>
  <c r="E1211" i="5"/>
  <c r="C1211" i="5"/>
  <c r="B1211" i="5"/>
  <c r="A1211" i="5"/>
  <c r="J1210" i="5"/>
  <c r="G1210" i="5"/>
  <c r="E1210" i="5"/>
  <c r="C1210" i="5"/>
  <c r="B1210" i="5"/>
  <c r="A1210" i="5"/>
  <c r="J1209" i="5"/>
  <c r="G1209" i="5"/>
  <c r="E1209" i="5"/>
  <c r="C1209" i="5"/>
  <c r="B1209" i="5"/>
  <c r="A1209" i="5"/>
  <c r="J1208" i="5"/>
  <c r="G1208" i="5"/>
  <c r="E1208" i="5"/>
  <c r="C1208" i="5"/>
  <c r="B1208" i="5"/>
  <c r="A1208" i="5"/>
  <c r="J1207" i="5"/>
  <c r="G1207" i="5"/>
  <c r="E1207" i="5"/>
  <c r="C1207" i="5"/>
  <c r="B1207" i="5"/>
  <c r="A1207" i="5"/>
  <c r="J1206" i="5"/>
  <c r="G1206" i="5"/>
  <c r="E1206" i="5"/>
  <c r="C1206" i="5"/>
  <c r="B1206" i="5"/>
  <c r="A1206" i="5"/>
  <c r="J1205" i="5"/>
  <c r="G1205" i="5"/>
  <c r="E1205" i="5"/>
  <c r="C1205" i="5"/>
  <c r="B1205" i="5"/>
  <c r="A1205" i="5"/>
  <c r="J1204" i="5"/>
  <c r="G1204" i="5"/>
  <c r="E1204" i="5"/>
  <c r="C1204" i="5"/>
  <c r="B1204" i="5"/>
  <c r="A1204" i="5"/>
  <c r="J1203" i="5"/>
  <c r="G1203" i="5"/>
  <c r="E1203" i="5"/>
  <c r="C1203" i="5"/>
  <c r="B1203" i="5"/>
  <c r="A1203" i="5"/>
  <c r="J1202" i="5"/>
  <c r="G1202" i="5"/>
  <c r="E1202" i="5"/>
  <c r="C1202" i="5"/>
  <c r="B1202" i="5"/>
  <c r="A1202" i="5"/>
  <c r="J1201" i="5"/>
  <c r="G1201" i="5"/>
  <c r="E1201" i="5"/>
  <c r="C1201" i="5"/>
  <c r="B1201" i="5"/>
  <c r="A1201" i="5"/>
  <c r="J1200" i="5"/>
  <c r="G1200" i="5"/>
  <c r="E1200" i="5"/>
  <c r="C1200" i="5"/>
  <c r="B1200" i="5"/>
  <c r="A1200" i="5"/>
  <c r="J1199" i="5"/>
  <c r="G1199" i="5"/>
  <c r="E1199" i="5"/>
  <c r="C1199" i="5"/>
  <c r="B1199" i="5"/>
  <c r="A1199" i="5"/>
  <c r="J1198" i="5"/>
  <c r="G1198" i="5"/>
  <c r="E1198" i="5"/>
  <c r="C1198" i="5"/>
  <c r="B1198" i="5"/>
  <c r="A1198" i="5"/>
  <c r="J1197" i="5"/>
  <c r="G1197" i="5"/>
  <c r="E1197" i="5"/>
  <c r="C1197" i="5"/>
  <c r="B1197" i="5"/>
  <c r="A1197" i="5"/>
  <c r="J1196" i="5"/>
  <c r="G1196" i="5"/>
  <c r="E1196" i="5"/>
  <c r="C1196" i="5"/>
  <c r="B1196" i="5"/>
  <c r="A1196" i="5"/>
  <c r="J1195" i="5"/>
  <c r="G1195" i="5"/>
  <c r="E1195" i="5"/>
  <c r="C1195" i="5"/>
  <c r="B1195" i="5"/>
  <c r="A1195" i="5"/>
  <c r="J1194" i="5"/>
  <c r="G1194" i="5"/>
  <c r="E1194" i="5"/>
  <c r="C1194" i="5"/>
  <c r="B1194" i="5"/>
  <c r="A1194" i="5"/>
  <c r="J1193" i="5"/>
  <c r="G1193" i="5"/>
  <c r="E1193" i="5"/>
  <c r="C1193" i="5"/>
  <c r="B1193" i="5"/>
  <c r="A1193" i="5"/>
  <c r="N1192" i="5"/>
  <c r="J1192" i="5"/>
  <c r="G1192" i="5"/>
  <c r="E1192" i="5"/>
  <c r="C1192" i="5"/>
  <c r="B1192" i="5"/>
  <c r="A1192" i="5"/>
  <c r="J1191" i="5"/>
  <c r="G1191" i="5"/>
  <c r="E1191" i="5"/>
  <c r="C1191" i="5"/>
  <c r="B1191" i="5"/>
  <c r="A1191" i="5"/>
  <c r="J1190" i="5"/>
  <c r="G1190" i="5"/>
  <c r="E1190" i="5"/>
  <c r="C1190" i="5"/>
  <c r="B1190" i="5"/>
  <c r="A1190" i="5"/>
  <c r="J1189" i="5"/>
  <c r="G1189" i="5"/>
  <c r="E1189" i="5"/>
  <c r="C1189" i="5"/>
  <c r="B1189" i="5"/>
  <c r="A1189" i="5"/>
  <c r="J1188" i="5"/>
  <c r="G1188" i="5"/>
  <c r="E1188" i="5"/>
  <c r="C1188" i="5"/>
  <c r="B1188" i="5"/>
  <c r="A1188" i="5"/>
  <c r="J1187" i="5"/>
  <c r="G1187" i="5"/>
  <c r="E1187" i="5"/>
  <c r="C1187" i="5"/>
  <c r="B1187" i="5"/>
  <c r="A1187" i="5"/>
  <c r="J1186" i="5"/>
  <c r="G1186" i="5"/>
  <c r="E1186" i="5"/>
  <c r="C1186" i="5"/>
  <c r="B1186" i="5"/>
  <c r="A1186" i="5"/>
  <c r="J1185" i="5"/>
  <c r="G1185" i="5"/>
  <c r="E1185" i="5"/>
  <c r="C1185" i="5"/>
  <c r="B1185" i="5"/>
  <c r="A1185" i="5"/>
  <c r="J1184" i="5"/>
  <c r="G1184" i="5"/>
  <c r="E1184" i="5"/>
  <c r="C1184" i="5"/>
  <c r="B1184" i="5"/>
  <c r="A1184" i="5"/>
  <c r="J1183" i="5"/>
  <c r="G1183" i="5"/>
  <c r="E1183" i="5"/>
  <c r="C1183" i="5"/>
  <c r="B1183" i="5"/>
  <c r="A1183" i="5"/>
  <c r="J1182" i="5"/>
  <c r="G1182" i="5"/>
  <c r="E1182" i="5"/>
  <c r="C1182" i="5"/>
  <c r="B1182" i="5"/>
  <c r="A1182" i="5"/>
  <c r="J1181" i="5"/>
  <c r="G1181" i="5"/>
  <c r="E1181" i="5"/>
  <c r="C1181" i="5"/>
  <c r="B1181" i="5"/>
  <c r="A1181" i="5"/>
  <c r="J1180" i="5"/>
  <c r="G1180" i="5"/>
  <c r="E1180" i="5"/>
  <c r="C1180" i="5"/>
  <c r="B1180" i="5"/>
  <c r="A1180" i="5"/>
  <c r="J1179" i="5"/>
  <c r="G1179" i="5"/>
  <c r="E1179" i="5"/>
  <c r="C1179" i="5"/>
  <c r="B1179" i="5"/>
  <c r="A1179" i="5"/>
  <c r="J1178" i="5"/>
  <c r="G1178" i="5"/>
  <c r="E1178" i="5"/>
  <c r="C1178" i="5"/>
  <c r="B1178" i="5"/>
  <c r="A1178" i="5"/>
  <c r="J1177" i="5"/>
  <c r="G1177" i="5"/>
  <c r="E1177" i="5"/>
  <c r="C1177" i="5"/>
  <c r="B1177" i="5"/>
  <c r="A1177" i="5"/>
  <c r="J1176" i="5"/>
  <c r="G1176" i="5"/>
  <c r="E1176" i="5"/>
  <c r="C1176" i="5"/>
  <c r="B1176" i="5"/>
  <c r="A1176" i="5"/>
  <c r="J1175" i="5"/>
  <c r="G1175" i="5"/>
  <c r="E1175" i="5"/>
  <c r="C1175" i="5"/>
  <c r="B1175" i="5"/>
  <c r="A1175" i="5"/>
  <c r="J1174" i="5"/>
  <c r="G1174" i="5"/>
  <c r="E1174" i="5"/>
  <c r="C1174" i="5"/>
  <c r="B1174" i="5"/>
  <c r="A1174" i="5"/>
  <c r="J1173" i="5"/>
  <c r="G1173" i="5"/>
  <c r="E1173" i="5"/>
  <c r="C1173" i="5"/>
  <c r="B1173" i="5"/>
  <c r="A1173" i="5"/>
  <c r="J1172" i="5"/>
  <c r="G1172" i="5"/>
  <c r="E1172" i="5"/>
  <c r="C1172" i="5"/>
  <c r="B1172" i="5"/>
  <c r="A1172" i="5"/>
  <c r="J1171" i="5"/>
  <c r="G1171" i="5"/>
  <c r="E1171" i="5"/>
  <c r="C1171" i="5"/>
  <c r="B1171" i="5"/>
  <c r="A1171" i="5"/>
  <c r="J1170" i="5"/>
  <c r="G1170" i="5"/>
  <c r="E1170" i="5"/>
  <c r="C1170" i="5"/>
  <c r="B1170" i="5"/>
  <c r="A1170" i="5"/>
  <c r="J1169" i="5"/>
  <c r="G1169" i="5"/>
  <c r="E1169" i="5"/>
  <c r="C1169" i="5"/>
  <c r="B1169" i="5"/>
  <c r="A1169" i="5"/>
  <c r="J1168" i="5"/>
  <c r="G1168" i="5"/>
  <c r="E1168" i="5"/>
  <c r="C1168" i="5"/>
  <c r="B1168" i="5"/>
  <c r="A1168" i="5"/>
  <c r="J1167" i="5"/>
  <c r="G1167" i="5"/>
  <c r="E1167" i="5"/>
  <c r="C1167" i="5"/>
  <c r="B1167" i="5"/>
  <c r="A1167" i="5"/>
  <c r="J1166" i="5"/>
  <c r="G1166" i="5"/>
  <c r="E1166" i="5"/>
  <c r="C1166" i="5"/>
  <c r="B1166" i="5"/>
  <c r="A1166" i="5"/>
  <c r="J1165" i="5"/>
  <c r="G1165" i="5"/>
  <c r="E1165" i="5"/>
  <c r="C1165" i="5"/>
  <c r="B1165" i="5"/>
  <c r="A1165" i="5"/>
  <c r="J1164" i="5"/>
  <c r="G1164" i="5"/>
  <c r="E1164" i="5"/>
  <c r="C1164" i="5"/>
  <c r="B1164" i="5"/>
  <c r="A1164" i="5"/>
  <c r="J1163" i="5"/>
  <c r="G1163" i="5"/>
  <c r="E1163" i="5"/>
  <c r="C1163" i="5"/>
  <c r="B1163" i="5"/>
  <c r="A1163" i="5"/>
  <c r="J1162" i="5"/>
  <c r="G1162" i="5"/>
  <c r="E1162" i="5"/>
  <c r="C1162" i="5"/>
  <c r="B1162" i="5"/>
  <c r="A1162" i="5"/>
  <c r="J1161" i="5"/>
  <c r="G1161" i="5"/>
  <c r="E1161" i="5"/>
  <c r="C1161" i="5"/>
  <c r="B1161" i="5"/>
  <c r="A1161" i="5"/>
  <c r="J1160" i="5"/>
  <c r="G1160" i="5"/>
  <c r="E1160" i="5"/>
  <c r="C1160" i="5"/>
  <c r="B1160" i="5"/>
  <c r="A1160" i="5"/>
  <c r="J1159" i="5"/>
  <c r="G1159" i="5"/>
  <c r="C1159" i="5"/>
  <c r="B1159" i="5"/>
  <c r="A1159" i="5"/>
  <c r="N1158" i="5"/>
  <c r="J1158" i="5"/>
  <c r="G1158" i="5"/>
  <c r="E1158" i="5"/>
  <c r="C1158" i="5"/>
  <c r="B1158" i="5"/>
  <c r="A1158" i="5"/>
  <c r="J1157" i="5"/>
  <c r="G1157" i="5"/>
  <c r="E1157" i="5"/>
  <c r="C1157" i="5"/>
  <c r="B1157" i="5"/>
  <c r="A1157" i="5"/>
  <c r="J1156" i="5"/>
  <c r="G1156" i="5"/>
  <c r="E1156" i="5"/>
  <c r="C1156" i="5"/>
  <c r="B1156" i="5"/>
  <c r="A1156" i="5"/>
  <c r="J1155" i="5"/>
  <c r="G1155" i="5"/>
  <c r="E1155" i="5"/>
  <c r="C1155" i="5"/>
  <c r="B1155" i="5"/>
  <c r="A1155" i="5"/>
  <c r="J1154" i="5"/>
  <c r="G1154" i="5"/>
  <c r="E1154" i="5"/>
  <c r="C1154" i="5"/>
  <c r="B1154" i="5"/>
  <c r="A1154" i="5"/>
  <c r="J1153" i="5"/>
  <c r="G1153" i="5"/>
  <c r="E1153" i="5"/>
  <c r="C1153" i="5"/>
  <c r="B1153" i="5"/>
  <c r="A1153" i="5"/>
  <c r="J1152" i="5"/>
  <c r="G1152" i="5"/>
  <c r="E1152" i="5"/>
  <c r="C1152" i="5"/>
  <c r="B1152" i="5"/>
  <c r="A1152" i="5"/>
  <c r="J1151" i="5"/>
  <c r="G1151" i="5"/>
  <c r="E1151" i="5"/>
  <c r="C1151" i="5"/>
  <c r="B1151" i="5"/>
  <c r="A1151" i="5"/>
  <c r="J1150" i="5"/>
  <c r="G1150" i="5"/>
  <c r="E1150" i="5"/>
  <c r="C1150" i="5"/>
  <c r="B1150" i="5"/>
  <c r="A1150" i="5"/>
  <c r="J1149" i="5"/>
  <c r="G1149" i="5"/>
  <c r="E1149" i="5"/>
  <c r="C1149" i="5"/>
  <c r="B1149" i="5"/>
  <c r="A1149" i="5"/>
  <c r="J1148" i="5"/>
  <c r="G1148" i="5"/>
  <c r="E1148" i="5"/>
  <c r="C1148" i="5"/>
  <c r="B1148" i="5"/>
  <c r="A1148" i="5"/>
  <c r="J1147" i="5"/>
  <c r="G1147" i="5"/>
  <c r="E1147" i="5"/>
  <c r="C1147" i="5"/>
  <c r="B1147" i="5"/>
  <c r="A1147" i="5"/>
  <c r="J1146" i="5"/>
  <c r="G1146" i="5"/>
  <c r="E1146" i="5"/>
  <c r="C1146" i="5"/>
  <c r="B1146" i="5"/>
  <c r="A1146" i="5"/>
  <c r="J1145" i="5"/>
  <c r="G1145" i="5"/>
  <c r="E1145" i="5"/>
  <c r="C1145" i="5"/>
  <c r="B1145" i="5"/>
  <c r="A1145" i="5"/>
  <c r="J1144" i="5"/>
  <c r="G1144" i="5"/>
  <c r="C1144" i="5"/>
  <c r="B1144" i="5"/>
  <c r="A1144" i="5"/>
  <c r="J1143" i="5"/>
  <c r="G1143" i="5"/>
  <c r="E1143" i="5"/>
  <c r="C1143" i="5"/>
  <c r="B1143" i="5"/>
  <c r="A1143" i="5"/>
  <c r="J1142" i="5"/>
  <c r="G1142" i="5"/>
  <c r="E1142" i="5"/>
  <c r="C1142" i="5"/>
  <c r="B1142" i="5"/>
  <c r="A1142" i="5"/>
  <c r="J1141" i="5"/>
  <c r="G1141" i="5"/>
  <c r="E1141" i="5"/>
  <c r="C1141" i="5"/>
  <c r="B1141" i="5"/>
  <c r="A1141" i="5"/>
  <c r="J1140" i="5"/>
  <c r="G1140" i="5"/>
  <c r="E1140" i="5"/>
  <c r="C1140" i="5"/>
  <c r="B1140" i="5"/>
  <c r="A1140" i="5"/>
  <c r="N1139" i="5"/>
  <c r="J1139" i="5"/>
  <c r="G1139" i="5"/>
  <c r="E1139" i="5"/>
  <c r="C1139" i="5"/>
  <c r="B1139" i="5"/>
  <c r="A1139" i="5"/>
  <c r="J1138" i="5"/>
  <c r="G1138" i="5"/>
  <c r="E1138" i="5"/>
  <c r="C1138" i="5"/>
  <c r="B1138" i="5"/>
  <c r="A1138" i="5"/>
  <c r="J1137" i="5"/>
  <c r="G1137" i="5"/>
  <c r="E1137" i="5"/>
  <c r="C1137" i="5"/>
  <c r="B1137" i="5"/>
  <c r="A1137" i="5"/>
  <c r="J1136" i="5"/>
  <c r="G1136" i="5"/>
  <c r="E1136" i="5"/>
  <c r="C1136" i="5"/>
  <c r="B1136" i="5"/>
  <c r="A1136" i="5"/>
  <c r="J1135" i="5"/>
  <c r="G1135" i="5"/>
  <c r="E1135" i="5"/>
  <c r="C1135" i="5"/>
  <c r="B1135" i="5"/>
  <c r="A1135" i="5"/>
  <c r="J1134" i="5"/>
  <c r="G1134" i="5"/>
  <c r="E1134" i="5"/>
  <c r="C1134" i="5"/>
  <c r="B1134" i="5"/>
  <c r="A1134" i="5"/>
  <c r="J1133" i="5"/>
  <c r="G1133" i="5"/>
  <c r="E1133" i="5"/>
  <c r="C1133" i="5"/>
  <c r="B1133" i="5"/>
  <c r="A1133" i="5"/>
  <c r="J1132" i="5"/>
  <c r="G1132" i="5"/>
  <c r="E1132" i="5"/>
  <c r="C1132" i="5"/>
  <c r="B1132" i="5"/>
  <c r="A1132" i="5"/>
  <c r="J1131" i="5"/>
  <c r="G1131" i="5"/>
  <c r="E1131" i="5"/>
  <c r="C1131" i="5"/>
  <c r="B1131" i="5"/>
  <c r="A1131" i="5"/>
  <c r="J1130" i="5"/>
  <c r="G1130" i="5"/>
  <c r="E1130" i="5"/>
  <c r="C1130" i="5"/>
  <c r="B1130" i="5"/>
  <c r="A1130" i="5"/>
  <c r="J1129" i="5"/>
  <c r="G1129" i="5"/>
  <c r="E1129" i="5"/>
  <c r="C1129" i="5"/>
  <c r="B1129" i="5"/>
  <c r="A1129" i="5"/>
  <c r="J1128" i="5"/>
  <c r="G1128" i="5"/>
  <c r="C1128" i="5"/>
  <c r="B1128" i="5"/>
  <c r="A1128" i="5"/>
  <c r="J1127" i="5"/>
  <c r="G1127" i="5"/>
  <c r="E1127" i="5"/>
  <c r="C1127" i="5"/>
  <c r="B1127" i="5"/>
  <c r="A1127" i="5"/>
  <c r="J1126" i="5"/>
  <c r="G1126" i="5"/>
  <c r="E1126" i="5"/>
  <c r="C1126" i="5"/>
  <c r="B1126" i="5"/>
  <c r="A1126" i="5"/>
  <c r="J1125" i="5"/>
  <c r="G1125" i="5"/>
  <c r="E1125" i="5"/>
  <c r="C1125" i="5"/>
  <c r="B1125" i="5"/>
  <c r="A1125" i="5"/>
  <c r="J1124" i="5"/>
  <c r="G1124" i="5"/>
  <c r="E1124" i="5"/>
  <c r="C1124" i="5"/>
  <c r="B1124" i="5"/>
  <c r="A1124" i="5"/>
  <c r="J1123" i="5"/>
  <c r="G1123" i="5"/>
  <c r="E1123" i="5"/>
  <c r="C1123" i="5"/>
  <c r="B1123" i="5"/>
  <c r="A1123" i="5"/>
  <c r="J1122" i="5"/>
  <c r="G1122" i="5"/>
  <c r="E1122" i="5"/>
  <c r="C1122" i="5"/>
  <c r="B1122" i="5"/>
  <c r="A1122" i="5"/>
  <c r="J1121" i="5"/>
  <c r="E1121" i="5"/>
  <c r="C1121" i="5"/>
  <c r="B1121" i="5"/>
  <c r="A1121" i="5"/>
  <c r="J1120" i="5"/>
  <c r="G1120" i="5"/>
  <c r="E1120" i="5"/>
  <c r="C1120" i="5"/>
  <c r="B1120" i="5"/>
  <c r="A1120" i="5"/>
  <c r="J1119" i="5"/>
  <c r="G1119" i="5"/>
  <c r="E1119" i="5"/>
  <c r="C1119" i="5"/>
  <c r="B1119" i="5"/>
  <c r="A1119" i="5"/>
  <c r="J1118" i="5"/>
  <c r="G1118" i="5"/>
  <c r="E1118" i="5"/>
  <c r="C1118" i="5"/>
  <c r="B1118" i="5"/>
  <c r="A1118" i="5"/>
  <c r="J1117" i="5"/>
  <c r="G1117" i="5"/>
  <c r="E1117" i="5"/>
  <c r="C1117" i="5"/>
  <c r="B1117" i="5"/>
  <c r="A1117" i="5"/>
  <c r="J1116" i="5"/>
  <c r="G1116" i="5"/>
  <c r="E1116" i="5"/>
  <c r="C1116" i="5"/>
  <c r="B1116" i="5"/>
  <c r="A1116" i="5"/>
  <c r="J1115" i="5"/>
  <c r="G1115" i="5"/>
  <c r="E1115" i="5"/>
  <c r="C1115" i="5"/>
  <c r="B1115" i="5"/>
  <c r="A1115" i="5"/>
  <c r="N1114" i="5"/>
  <c r="J1114" i="5"/>
  <c r="G1114" i="5"/>
  <c r="E1114" i="5"/>
  <c r="C1114" i="5"/>
  <c r="B1114" i="5"/>
  <c r="A1114" i="5"/>
  <c r="J1113" i="5"/>
  <c r="G1113" i="5"/>
  <c r="E1113" i="5"/>
  <c r="C1113" i="5"/>
  <c r="B1113" i="5"/>
  <c r="A1113" i="5"/>
  <c r="J1112" i="5"/>
  <c r="G1112" i="5"/>
  <c r="E1112" i="5"/>
  <c r="C1112" i="5"/>
  <c r="B1112" i="5"/>
  <c r="A1112" i="5"/>
  <c r="J1111" i="5"/>
  <c r="G1111" i="5"/>
  <c r="E1111" i="5"/>
  <c r="C1111" i="5"/>
  <c r="B1111" i="5"/>
  <c r="A1111" i="5"/>
  <c r="J1110" i="5"/>
  <c r="G1110" i="5"/>
  <c r="E1110" i="5"/>
  <c r="C1110" i="5"/>
  <c r="B1110" i="5"/>
  <c r="A1110" i="5"/>
  <c r="J1109" i="5"/>
  <c r="G1109" i="5"/>
  <c r="E1109" i="5"/>
  <c r="C1109" i="5"/>
  <c r="B1109" i="5"/>
  <c r="A1109" i="5"/>
  <c r="J1108" i="5"/>
  <c r="G1108" i="5"/>
  <c r="E1108" i="5"/>
  <c r="C1108" i="5"/>
  <c r="B1108" i="5"/>
  <c r="A1108" i="5"/>
  <c r="J1107" i="5"/>
  <c r="G1107" i="5"/>
  <c r="E1107" i="5"/>
  <c r="C1107" i="5"/>
  <c r="B1107" i="5"/>
  <c r="A1107" i="5"/>
  <c r="J1106" i="5"/>
  <c r="G1106" i="5"/>
  <c r="E1106" i="5"/>
  <c r="C1106" i="5"/>
  <c r="B1106" i="5"/>
  <c r="A1106" i="5"/>
  <c r="J1105" i="5"/>
  <c r="G1105" i="5"/>
  <c r="E1105" i="5"/>
  <c r="C1105" i="5"/>
  <c r="B1105" i="5"/>
  <c r="A1105" i="5"/>
  <c r="J1104" i="5"/>
  <c r="G1104" i="5"/>
  <c r="E1104" i="5"/>
  <c r="C1104" i="5"/>
  <c r="B1104" i="5"/>
  <c r="A1104" i="5"/>
  <c r="J1103" i="5"/>
  <c r="G1103" i="5"/>
  <c r="E1103" i="5"/>
  <c r="C1103" i="5"/>
  <c r="B1103" i="5"/>
  <c r="A1103" i="5"/>
  <c r="J1102" i="5"/>
  <c r="G1102" i="5"/>
  <c r="E1102" i="5"/>
  <c r="C1102" i="5"/>
  <c r="B1102" i="5"/>
  <c r="A1102" i="5"/>
  <c r="J1101" i="5"/>
  <c r="G1101" i="5"/>
  <c r="E1101" i="5"/>
  <c r="C1101" i="5"/>
  <c r="B1101" i="5"/>
  <c r="A1101" i="5"/>
  <c r="J1100" i="5"/>
  <c r="G1100" i="5"/>
  <c r="E1100" i="5"/>
  <c r="C1100" i="5"/>
  <c r="B1100" i="5"/>
  <c r="A1100" i="5"/>
  <c r="J1099" i="5"/>
  <c r="G1099" i="5"/>
  <c r="E1099" i="5"/>
  <c r="C1099" i="5"/>
  <c r="B1099" i="5"/>
  <c r="A1099" i="5"/>
  <c r="J1098" i="5"/>
  <c r="G1098" i="5"/>
  <c r="E1098" i="5"/>
  <c r="C1098" i="5"/>
  <c r="B1098" i="5"/>
  <c r="A1098" i="5"/>
  <c r="J1097" i="5"/>
  <c r="G1097" i="5"/>
  <c r="E1097" i="5"/>
  <c r="C1097" i="5"/>
  <c r="B1097" i="5"/>
  <c r="A1097" i="5"/>
  <c r="J1096" i="5"/>
  <c r="G1096" i="5"/>
  <c r="E1096" i="5"/>
  <c r="C1096" i="5"/>
  <c r="B1096" i="5"/>
  <c r="A1096" i="5"/>
  <c r="J1095" i="5"/>
  <c r="G1095" i="5"/>
  <c r="E1095" i="5"/>
  <c r="C1095" i="5"/>
  <c r="B1095" i="5"/>
  <c r="A1095" i="5"/>
  <c r="J1094" i="5"/>
  <c r="G1094" i="5"/>
  <c r="E1094" i="5"/>
  <c r="C1094" i="5"/>
  <c r="B1094" i="5"/>
  <c r="A1094" i="5"/>
  <c r="J1093" i="5"/>
  <c r="G1093" i="5"/>
  <c r="E1093" i="5"/>
  <c r="C1093" i="5"/>
  <c r="B1093" i="5"/>
  <c r="A1093" i="5"/>
  <c r="J1092" i="5"/>
  <c r="G1092" i="5"/>
  <c r="E1092" i="5"/>
  <c r="B1092" i="5"/>
  <c r="A1092" i="5"/>
  <c r="J1091" i="5"/>
  <c r="G1091" i="5"/>
  <c r="E1091" i="5"/>
  <c r="C1091" i="5"/>
  <c r="B1091" i="5"/>
  <c r="A1091" i="5"/>
  <c r="J1090" i="5"/>
  <c r="G1090" i="5"/>
  <c r="E1090" i="5"/>
  <c r="C1090" i="5"/>
  <c r="B1090" i="5"/>
  <c r="A1090" i="5"/>
  <c r="J1089" i="5"/>
  <c r="G1089" i="5"/>
  <c r="E1089" i="5"/>
  <c r="C1089" i="5"/>
  <c r="B1089" i="5"/>
  <c r="A1089" i="5"/>
  <c r="J1088" i="5"/>
  <c r="G1088" i="5"/>
  <c r="E1088" i="5"/>
  <c r="C1088" i="5"/>
  <c r="B1088" i="5"/>
  <c r="A1088" i="5"/>
  <c r="J1087" i="5"/>
  <c r="G1087" i="5"/>
  <c r="E1087" i="5"/>
  <c r="C1087" i="5"/>
  <c r="B1087" i="5"/>
  <c r="A1087" i="5"/>
  <c r="J1086" i="5"/>
  <c r="G1086" i="5"/>
  <c r="E1086" i="5"/>
  <c r="C1086" i="5"/>
  <c r="B1086" i="5"/>
  <c r="A1086" i="5"/>
  <c r="J1085" i="5"/>
  <c r="G1085" i="5"/>
  <c r="E1085" i="5"/>
  <c r="C1085" i="5"/>
  <c r="B1085" i="5"/>
  <c r="A1085" i="5"/>
  <c r="J1084" i="5"/>
  <c r="G1084" i="5"/>
  <c r="E1084" i="5"/>
  <c r="C1084" i="5"/>
  <c r="B1084" i="5"/>
  <c r="A1084" i="5"/>
  <c r="J1083" i="5"/>
  <c r="G1083" i="5"/>
  <c r="E1083" i="5"/>
  <c r="C1083" i="5"/>
  <c r="B1083" i="5"/>
  <c r="A1083" i="5"/>
  <c r="J1082" i="5"/>
  <c r="G1082" i="5"/>
  <c r="E1082" i="5"/>
  <c r="C1082" i="5"/>
  <c r="B1082" i="5"/>
  <c r="A1082" i="5"/>
  <c r="J1081" i="5"/>
  <c r="G1081" i="5"/>
  <c r="E1081" i="5"/>
  <c r="C1081" i="5"/>
  <c r="B1081" i="5"/>
  <c r="A1081" i="5"/>
  <c r="N1080" i="5"/>
  <c r="J1080" i="5"/>
  <c r="G1080" i="5"/>
  <c r="E1080" i="5"/>
  <c r="C1080" i="5"/>
  <c r="B1080" i="5"/>
  <c r="A1080" i="5"/>
  <c r="N1079" i="5"/>
  <c r="J1079" i="5"/>
  <c r="G1079" i="5"/>
  <c r="E1079" i="5"/>
  <c r="C1079" i="5"/>
  <c r="B1079" i="5"/>
  <c r="A1079" i="5"/>
  <c r="J1078" i="5"/>
  <c r="G1078" i="5"/>
  <c r="E1078" i="5"/>
  <c r="C1078" i="5"/>
  <c r="B1078" i="5"/>
  <c r="A1078" i="5"/>
  <c r="J1077" i="5"/>
  <c r="G1077" i="5"/>
  <c r="E1077" i="5"/>
  <c r="C1077" i="5"/>
  <c r="B1077" i="5"/>
  <c r="A1077" i="5"/>
  <c r="J1076" i="5"/>
  <c r="G1076" i="5"/>
  <c r="E1076" i="5"/>
  <c r="C1076" i="5"/>
  <c r="B1076" i="5"/>
  <c r="A1076" i="5"/>
  <c r="J1075" i="5"/>
  <c r="G1075" i="5"/>
  <c r="E1075" i="5"/>
  <c r="C1075" i="5"/>
  <c r="B1075" i="5"/>
  <c r="A1075" i="5"/>
  <c r="J1074" i="5"/>
  <c r="G1074" i="5"/>
  <c r="E1074" i="5"/>
  <c r="C1074" i="5"/>
  <c r="B1074" i="5"/>
  <c r="A1074" i="5"/>
  <c r="J1073" i="5"/>
  <c r="G1073" i="5"/>
  <c r="E1073" i="5"/>
  <c r="C1073" i="5"/>
  <c r="B1073" i="5"/>
  <c r="A1073" i="5"/>
  <c r="J1072" i="5"/>
  <c r="G1072" i="5"/>
  <c r="E1072" i="5"/>
  <c r="C1072" i="5"/>
  <c r="B1072" i="5"/>
  <c r="A1072" i="5"/>
  <c r="J1071" i="5"/>
  <c r="G1071" i="5"/>
  <c r="E1071" i="5"/>
  <c r="C1071" i="5"/>
  <c r="B1071" i="5"/>
  <c r="A1071" i="5"/>
  <c r="J1070" i="5"/>
  <c r="G1070" i="5"/>
  <c r="E1070" i="5"/>
  <c r="C1070" i="5"/>
  <c r="B1070" i="5"/>
  <c r="A1070" i="5"/>
  <c r="J1069" i="5"/>
  <c r="G1069" i="5"/>
  <c r="E1069" i="5"/>
  <c r="C1069" i="5"/>
  <c r="B1069" i="5"/>
  <c r="A1069" i="5"/>
  <c r="J1068" i="5"/>
  <c r="G1068" i="5"/>
  <c r="E1068" i="5"/>
  <c r="C1068" i="5"/>
  <c r="B1068" i="5"/>
  <c r="A1068" i="5"/>
  <c r="J1067" i="5"/>
  <c r="G1067" i="5"/>
  <c r="E1067" i="5"/>
  <c r="C1067" i="5"/>
  <c r="B1067" i="5"/>
  <c r="A1067" i="5"/>
  <c r="J1066" i="5"/>
  <c r="G1066" i="5"/>
  <c r="E1066" i="5"/>
  <c r="C1066" i="5"/>
  <c r="B1066" i="5"/>
  <c r="A1066" i="5"/>
  <c r="N1065" i="5"/>
  <c r="J1065" i="5"/>
  <c r="G1065" i="5"/>
  <c r="E1065" i="5"/>
  <c r="C1065" i="5"/>
  <c r="B1065" i="5"/>
  <c r="A1065" i="5"/>
  <c r="J1064" i="5"/>
  <c r="G1064" i="5"/>
  <c r="E1064" i="5"/>
  <c r="C1064" i="5"/>
  <c r="B1064" i="5"/>
  <c r="A1064" i="5"/>
  <c r="J1063" i="5"/>
  <c r="G1063" i="5"/>
  <c r="E1063" i="5"/>
  <c r="C1063" i="5"/>
  <c r="B1063" i="5"/>
  <c r="A1063" i="5"/>
  <c r="J1062" i="5"/>
  <c r="G1062" i="5"/>
  <c r="E1062" i="5"/>
  <c r="C1062" i="5"/>
  <c r="B1062" i="5"/>
  <c r="A1062" i="5"/>
  <c r="J1061" i="5"/>
  <c r="G1061" i="5"/>
  <c r="E1061" i="5"/>
  <c r="C1061" i="5"/>
  <c r="B1061" i="5"/>
  <c r="A1061" i="5"/>
  <c r="J1060" i="5"/>
  <c r="G1060" i="5"/>
  <c r="E1060" i="5"/>
  <c r="C1060" i="5"/>
  <c r="B1060" i="5"/>
  <c r="A1060" i="5"/>
  <c r="J1059" i="5"/>
  <c r="G1059" i="5"/>
  <c r="E1059" i="5"/>
  <c r="C1059" i="5"/>
  <c r="B1059" i="5"/>
  <c r="A1059" i="5"/>
  <c r="J1058" i="5"/>
  <c r="G1058" i="5"/>
  <c r="E1058" i="5"/>
  <c r="C1058" i="5"/>
  <c r="B1058" i="5"/>
  <c r="A1058" i="5"/>
  <c r="J1057" i="5"/>
  <c r="G1057" i="5"/>
  <c r="E1057" i="5"/>
  <c r="C1057" i="5"/>
  <c r="B1057" i="5"/>
  <c r="A1057" i="5"/>
  <c r="J1056" i="5"/>
  <c r="G1056" i="5"/>
  <c r="E1056" i="5"/>
  <c r="C1056" i="5"/>
  <c r="B1056" i="5"/>
  <c r="A1056" i="5"/>
  <c r="J1055" i="5"/>
  <c r="G1055" i="5"/>
  <c r="E1055" i="5"/>
  <c r="C1055" i="5"/>
  <c r="B1055" i="5"/>
  <c r="A1055" i="5"/>
  <c r="J1054" i="5"/>
  <c r="G1054" i="5"/>
  <c r="E1054" i="5"/>
  <c r="C1054" i="5"/>
  <c r="B1054" i="5"/>
  <c r="A1054" i="5"/>
  <c r="J1053" i="5"/>
  <c r="G1053" i="5"/>
  <c r="E1053" i="5"/>
  <c r="C1053" i="5"/>
  <c r="B1053" i="5"/>
  <c r="A1053" i="5"/>
  <c r="J1052" i="5"/>
  <c r="G1052" i="5"/>
  <c r="E1052" i="5"/>
  <c r="C1052" i="5"/>
  <c r="B1052" i="5"/>
  <c r="A1052" i="5"/>
  <c r="J1051" i="5"/>
  <c r="G1051" i="5"/>
  <c r="E1051" i="5"/>
  <c r="C1051" i="5"/>
  <c r="B1051" i="5"/>
  <c r="A1051" i="5"/>
  <c r="J1050" i="5"/>
  <c r="G1050" i="5"/>
  <c r="E1050" i="5"/>
  <c r="C1050" i="5"/>
  <c r="B1050" i="5"/>
  <c r="A1050" i="5"/>
  <c r="J1049" i="5"/>
  <c r="G1049" i="5"/>
  <c r="E1049" i="5"/>
  <c r="C1049" i="5"/>
  <c r="B1049" i="5"/>
  <c r="A1049" i="5"/>
  <c r="J1048" i="5"/>
  <c r="G1048" i="5"/>
  <c r="E1048" i="5"/>
  <c r="C1048" i="5"/>
  <c r="B1048" i="5"/>
  <c r="A1048" i="5"/>
  <c r="J1047" i="5"/>
  <c r="G1047" i="5"/>
  <c r="E1047" i="5"/>
  <c r="C1047" i="5"/>
  <c r="B1047" i="5"/>
  <c r="A1047" i="5"/>
  <c r="J1046" i="5"/>
  <c r="G1046" i="5"/>
  <c r="E1046" i="5"/>
  <c r="C1046" i="5"/>
  <c r="B1046" i="5"/>
  <c r="A1046" i="5"/>
  <c r="J1045" i="5"/>
  <c r="G1045" i="5"/>
  <c r="E1045" i="5"/>
  <c r="C1045" i="5"/>
  <c r="B1045" i="5"/>
  <c r="A1045" i="5"/>
  <c r="J1044" i="5"/>
  <c r="G1044" i="5"/>
  <c r="E1044" i="5"/>
  <c r="C1044" i="5"/>
  <c r="B1044" i="5"/>
  <c r="A1044" i="5"/>
  <c r="J1043" i="5"/>
  <c r="G1043" i="5"/>
  <c r="E1043" i="5"/>
  <c r="C1043" i="5"/>
  <c r="B1043" i="5"/>
  <c r="A1043" i="5"/>
  <c r="J1042" i="5"/>
  <c r="G1042" i="5"/>
  <c r="E1042" i="5"/>
  <c r="B1042" i="5"/>
  <c r="A1042" i="5"/>
  <c r="J1041" i="5"/>
  <c r="G1041" i="5"/>
  <c r="E1041" i="5"/>
  <c r="C1041" i="5"/>
  <c r="B1041" i="5"/>
  <c r="A1041" i="5"/>
  <c r="J1040" i="5"/>
  <c r="G1040" i="5"/>
  <c r="E1040" i="5"/>
  <c r="C1040" i="5"/>
  <c r="B1040" i="5"/>
  <c r="A1040" i="5"/>
  <c r="J1039" i="5"/>
  <c r="G1039" i="5"/>
  <c r="E1039" i="5"/>
  <c r="C1039" i="5"/>
  <c r="B1039" i="5"/>
  <c r="A1039" i="5"/>
  <c r="J1038" i="5"/>
  <c r="G1038" i="5"/>
  <c r="E1038" i="5"/>
  <c r="C1038" i="5"/>
  <c r="B1038" i="5"/>
  <c r="A1038" i="5"/>
  <c r="J1037" i="5"/>
  <c r="G1037" i="5"/>
  <c r="E1037" i="5"/>
  <c r="C1037" i="5"/>
  <c r="B1037" i="5"/>
  <c r="A1037" i="5"/>
  <c r="J1036" i="5"/>
  <c r="G1036" i="5"/>
  <c r="E1036" i="5"/>
  <c r="C1036" i="5"/>
  <c r="B1036" i="5"/>
  <c r="A1036" i="5"/>
  <c r="J1035" i="5"/>
  <c r="G1035" i="5"/>
  <c r="E1035" i="5"/>
  <c r="C1035" i="5"/>
  <c r="B1035" i="5"/>
  <c r="A1035" i="5"/>
  <c r="J1034" i="5"/>
  <c r="G1034" i="5"/>
  <c r="E1034" i="5"/>
  <c r="C1034" i="5"/>
  <c r="B1034" i="5"/>
  <c r="A1034" i="5"/>
  <c r="J1033" i="5"/>
  <c r="G1033" i="5"/>
  <c r="E1033" i="5"/>
  <c r="C1033" i="5"/>
  <c r="B1033" i="5"/>
  <c r="A1033" i="5"/>
  <c r="J1032" i="5"/>
  <c r="G1032" i="5"/>
  <c r="E1032" i="5"/>
  <c r="C1032" i="5"/>
  <c r="B1032" i="5"/>
  <c r="A1032" i="5"/>
  <c r="J1031" i="5"/>
  <c r="G1031" i="5"/>
  <c r="E1031" i="5"/>
  <c r="C1031" i="5"/>
  <c r="B1031" i="5"/>
  <c r="A1031" i="5"/>
  <c r="J1030" i="5"/>
  <c r="G1030" i="5"/>
  <c r="E1030" i="5"/>
  <c r="C1030" i="5"/>
  <c r="B1030" i="5"/>
  <c r="A1030" i="5"/>
  <c r="J1029" i="5"/>
  <c r="G1029" i="5"/>
  <c r="E1029" i="5"/>
  <c r="C1029" i="5"/>
  <c r="B1029" i="5"/>
  <c r="A1029" i="5"/>
  <c r="J1028" i="5"/>
  <c r="G1028" i="5"/>
  <c r="E1028" i="5"/>
  <c r="C1028" i="5"/>
  <c r="B1028" i="5"/>
  <c r="A1028" i="5"/>
  <c r="J1027" i="5"/>
  <c r="G1027" i="5"/>
  <c r="E1027" i="5"/>
  <c r="C1027" i="5"/>
  <c r="B1027" i="5"/>
  <c r="A1027" i="5"/>
  <c r="J1026" i="5"/>
  <c r="G1026" i="5"/>
  <c r="E1026" i="5"/>
  <c r="C1026" i="5"/>
  <c r="B1026" i="5"/>
  <c r="A1026" i="5"/>
  <c r="J1025" i="5"/>
  <c r="G1025" i="5"/>
  <c r="E1025" i="5"/>
  <c r="C1025" i="5"/>
  <c r="B1025" i="5"/>
  <c r="A1025" i="5"/>
  <c r="J1024" i="5"/>
  <c r="G1024" i="5"/>
  <c r="E1024" i="5"/>
  <c r="C1024" i="5"/>
  <c r="B1024" i="5"/>
  <c r="A1024" i="5"/>
  <c r="J1023" i="5"/>
  <c r="G1023" i="5"/>
  <c r="E1023" i="5"/>
  <c r="C1023" i="5"/>
  <c r="B1023" i="5"/>
  <c r="A1023" i="5"/>
  <c r="J1022" i="5"/>
  <c r="G1022" i="5"/>
  <c r="E1022" i="5"/>
  <c r="C1022" i="5"/>
  <c r="B1022" i="5"/>
  <c r="A1022" i="5"/>
  <c r="J1021" i="5"/>
  <c r="G1021" i="5"/>
  <c r="E1021" i="5"/>
  <c r="C1021" i="5"/>
  <c r="B1021" i="5"/>
  <c r="A1021" i="5"/>
  <c r="J1020" i="5"/>
  <c r="G1020" i="5"/>
  <c r="E1020" i="5"/>
  <c r="C1020" i="5"/>
  <c r="B1020" i="5"/>
  <c r="A1020" i="5"/>
  <c r="J1019" i="5"/>
  <c r="G1019" i="5"/>
  <c r="E1019" i="5"/>
  <c r="C1019" i="5"/>
  <c r="B1019" i="5"/>
  <c r="A1019" i="5"/>
  <c r="J1018" i="5"/>
  <c r="G1018" i="5"/>
  <c r="E1018" i="5"/>
  <c r="C1018" i="5"/>
  <c r="B1018" i="5"/>
  <c r="A1018" i="5"/>
  <c r="J1017" i="5"/>
  <c r="G1017" i="5"/>
  <c r="E1017" i="5"/>
  <c r="C1017" i="5"/>
  <c r="B1017" i="5"/>
  <c r="A1017" i="5"/>
  <c r="J1016" i="5"/>
  <c r="G1016" i="5"/>
  <c r="E1016" i="5"/>
  <c r="C1016" i="5"/>
  <c r="B1016" i="5"/>
  <c r="A1016" i="5"/>
  <c r="J1015" i="5"/>
  <c r="G1015" i="5"/>
  <c r="E1015" i="5"/>
  <c r="C1015" i="5"/>
  <c r="B1015" i="5"/>
  <c r="A1015" i="5"/>
  <c r="J1014" i="5"/>
  <c r="G1014" i="5"/>
  <c r="E1014" i="5"/>
  <c r="C1014" i="5"/>
  <c r="B1014" i="5"/>
  <c r="A1014" i="5"/>
  <c r="J1013" i="5"/>
  <c r="G1013" i="5"/>
  <c r="E1013" i="5"/>
  <c r="C1013" i="5"/>
  <c r="B1013" i="5"/>
  <c r="A1013" i="5"/>
  <c r="N1012" i="5"/>
  <c r="J1012" i="5"/>
  <c r="G1012" i="5"/>
  <c r="E1012" i="5"/>
  <c r="C1012" i="5"/>
  <c r="B1012" i="5"/>
  <c r="A1012" i="5"/>
  <c r="J1011" i="5"/>
  <c r="G1011" i="5"/>
  <c r="E1011" i="5"/>
  <c r="C1011" i="5"/>
  <c r="B1011" i="5"/>
  <c r="A1011" i="5"/>
  <c r="J1010" i="5"/>
  <c r="G1010" i="5"/>
  <c r="E1010" i="5"/>
  <c r="C1010" i="5"/>
  <c r="B1010" i="5"/>
  <c r="A1010" i="5"/>
  <c r="J1009" i="5"/>
  <c r="G1009" i="5"/>
  <c r="E1009" i="5"/>
  <c r="C1009" i="5"/>
  <c r="B1009" i="5"/>
  <c r="A1009" i="5"/>
  <c r="J1008" i="5"/>
  <c r="G1008" i="5"/>
  <c r="E1008" i="5"/>
  <c r="C1008" i="5"/>
  <c r="B1008" i="5"/>
  <c r="A1008" i="5"/>
  <c r="J1007" i="5"/>
  <c r="G1007" i="5"/>
  <c r="E1007" i="5"/>
  <c r="C1007" i="5"/>
  <c r="B1007" i="5"/>
  <c r="A1007" i="5"/>
  <c r="J1006" i="5"/>
  <c r="G1006" i="5"/>
  <c r="E1006" i="5"/>
  <c r="C1006" i="5"/>
  <c r="B1006" i="5"/>
  <c r="A1006" i="5"/>
  <c r="J1005" i="5"/>
  <c r="G1005" i="5"/>
  <c r="E1005" i="5"/>
  <c r="C1005" i="5"/>
  <c r="B1005" i="5"/>
  <c r="A1005" i="5"/>
  <c r="J1004" i="5"/>
  <c r="G1004" i="5"/>
  <c r="E1004" i="5"/>
  <c r="C1004" i="5"/>
  <c r="B1004" i="5"/>
  <c r="A1004" i="5"/>
  <c r="J1003" i="5"/>
  <c r="G1003" i="5"/>
  <c r="E1003" i="5"/>
  <c r="C1003" i="5"/>
  <c r="B1003" i="5"/>
  <c r="A1003" i="5"/>
  <c r="J1002" i="5"/>
  <c r="G1002" i="5"/>
  <c r="E1002" i="5"/>
  <c r="C1002" i="5"/>
  <c r="B1002" i="5"/>
  <c r="A1002" i="5"/>
  <c r="J1001" i="5"/>
  <c r="G1001" i="5"/>
  <c r="E1001" i="5"/>
  <c r="C1001" i="5"/>
  <c r="B1001" i="5"/>
  <c r="A1001" i="5"/>
  <c r="J1000" i="5"/>
  <c r="G1000" i="5"/>
  <c r="E1000" i="5"/>
  <c r="C1000" i="5"/>
  <c r="B1000" i="5"/>
  <c r="A1000" i="5"/>
  <c r="J999" i="5"/>
  <c r="G999" i="5"/>
  <c r="E999" i="5"/>
  <c r="C999" i="5"/>
  <c r="B999" i="5"/>
  <c r="A999" i="5"/>
  <c r="J998" i="5"/>
  <c r="G998" i="5"/>
  <c r="E998" i="5"/>
  <c r="C998" i="5"/>
  <c r="B998" i="5"/>
  <c r="A998" i="5"/>
  <c r="J997" i="5"/>
  <c r="G997" i="5"/>
  <c r="E997" i="5"/>
  <c r="C997" i="5"/>
  <c r="B997" i="5"/>
  <c r="A997" i="5"/>
  <c r="J996" i="5"/>
  <c r="G996" i="5"/>
  <c r="E996" i="5"/>
  <c r="C996" i="5"/>
  <c r="B996" i="5"/>
  <c r="A996" i="5"/>
  <c r="J995" i="5"/>
  <c r="G995" i="5"/>
  <c r="E995" i="5"/>
  <c r="C995" i="5"/>
  <c r="B995" i="5"/>
  <c r="A995" i="5"/>
  <c r="J994" i="5"/>
  <c r="G994" i="5"/>
  <c r="E994" i="5"/>
  <c r="C994" i="5"/>
  <c r="B994" i="5"/>
  <c r="A994" i="5"/>
  <c r="J993" i="5"/>
  <c r="G993" i="5"/>
  <c r="E993" i="5"/>
  <c r="C993" i="5"/>
  <c r="B993" i="5"/>
  <c r="A993" i="5"/>
  <c r="J992" i="5"/>
  <c r="G992" i="5"/>
  <c r="E992" i="5"/>
  <c r="C992" i="5"/>
  <c r="B992" i="5"/>
  <c r="A992" i="5"/>
  <c r="J991" i="5"/>
  <c r="G991" i="5"/>
  <c r="E991" i="5"/>
  <c r="C991" i="5"/>
  <c r="B991" i="5"/>
  <c r="A991" i="5"/>
  <c r="J990" i="5"/>
  <c r="G990" i="5"/>
  <c r="E990" i="5"/>
  <c r="C990" i="5"/>
  <c r="B990" i="5"/>
  <c r="A990" i="5"/>
  <c r="J989" i="5"/>
  <c r="G989" i="5"/>
  <c r="E989" i="5"/>
  <c r="C989" i="5"/>
  <c r="B989" i="5"/>
  <c r="A989" i="5"/>
  <c r="J988" i="5"/>
  <c r="G988" i="5"/>
  <c r="E988" i="5"/>
  <c r="B988" i="5"/>
  <c r="A988" i="5"/>
  <c r="J987" i="5"/>
  <c r="G987" i="5"/>
  <c r="E987" i="5"/>
  <c r="C987" i="5"/>
  <c r="B987" i="5"/>
  <c r="A987" i="5"/>
  <c r="J986" i="5"/>
  <c r="G986" i="5"/>
  <c r="E986" i="5"/>
  <c r="C986" i="5"/>
  <c r="B986" i="5"/>
  <c r="A986" i="5"/>
  <c r="J985" i="5"/>
  <c r="G985" i="5"/>
  <c r="E985" i="5"/>
  <c r="C985" i="5"/>
  <c r="B985" i="5"/>
  <c r="A985" i="5"/>
  <c r="J984" i="5"/>
  <c r="G984" i="5"/>
  <c r="E984" i="5"/>
  <c r="C984" i="5"/>
  <c r="B984" i="5"/>
  <c r="A984" i="5"/>
  <c r="J983" i="5"/>
  <c r="G983" i="5"/>
  <c r="E983" i="5"/>
  <c r="C983" i="5"/>
  <c r="B983" i="5"/>
  <c r="A983" i="5"/>
  <c r="J982" i="5"/>
  <c r="G982" i="5"/>
  <c r="E982" i="5"/>
  <c r="C982" i="5"/>
  <c r="B982" i="5"/>
  <c r="A982" i="5"/>
  <c r="J981" i="5"/>
  <c r="G981" i="5"/>
  <c r="E981" i="5"/>
  <c r="C981" i="5"/>
  <c r="B981" i="5"/>
  <c r="A981" i="5"/>
  <c r="J980" i="5"/>
  <c r="G980" i="5"/>
  <c r="E980" i="5"/>
  <c r="C980" i="5"/>
  <c r="B980" i="5"/>
  <c r="A980" i="5"/>
  <c r="J979" i="5"/>
  <c r="G979" i="5"/>
  <c r="E979" i="5"/>
  <c r="C979" i="5"/>
  <c r="B979" i="5"/>
  <c r="A979" i="5"/>
  <c r="J978" i="5"/>
  <c r="G978" i="5"/>
  <c r="E978" i="5"/>
  <c r="C978" i="5"/>
  <c r="B978" i="5"/>
  <c r="A978" i="5"/>
  <c r="J977" i="5"/>
  <c r="G977" i="5"/>
  <c r="E977" i="5"/>
  <c r="C977" i="5"/>
  <c r="B977" i="5"/>
  <c r="A977" i="5"/>
  <c r="J976" i="5"/>
  <c r="G976" i="5"/>
  <c r="E976" i="5"/>
  <c r="C976" i="5"/>
  <c r="B976" i="5"/>
  <c r="A976" i="5"/>
  <c r="J975" i="5"/>
  <c r="G975" i="5"/>
  <c r="E975" i="5"/>
  <c r="C975" i="5"/>
  <c r="B975" i="5"/>
  <c r="A975" i="5"/>
  <c r="J974" i="5"/>
  <c r="G974" i="5"/>
  <c r="E974" i="5"/>
  <c r="C974" i="5"/>
  <c r="B974" i="5"/>
  <c r="A974" i="5"/>
  <c r="J973" i="5"/>
  <c r="E973" i="5"/>
  <c r="C973" i="5"/>
  <c r="B973" i="5"/>
  <c r="A973" i="5"/>
  <c r="J972" i="5"/>
  <c r="G972" i="5"/>
  <c r="E972" i="5"/>
  <c r="C972" i="5"/>
  <c r="B972" i="5"/>
  <c r="A972" i="5"/>
  <c r="J971" i="5"/>
  <c r="E971" i="5"/>
  <c r="C971" i="5"/>
  <c r="B971" i="5"/>
  <c r="A971" i="5"/>
  <c r="J970" i="5"/>
  <c r="G970" i="5"/>
  <c r="E970" i="5"/>
  <c r="C970" i="5"/>
  <c r="B970" i="5"/>
  <c r="A970" i="5"/>
  <c r="J969" i="5"/>
  <c r="G969" i="5"/>
  <c r="E969" i="5"/>
  <c r="C969" i="5"/>
  <c r="B969" i="5"/>
  <c r="A969" i="5"/>
  <c r="J968" i="5"/>
  <c r="G968" i="5"/>
  <c r="E968" i="5"/>
  <c r="C968" i="5"/>
  <c r="B968" i="5"/>
  <c r="A968" i="5"/>
  <c r="J967" i="5"/>
  <c r="G967" i="5"/>
  <c r="E967" i="5"/>
  <c r="C967" i="5"/>
  <c r="B967" i="5"/>
  <c r="A967" i="5"/>
  <c r="J966" i="5"/>
  <c r="G966" i="5"/>
  <c r="E966" i="5"/>
  <c r="C966" i="5"/>
  <c r="B966" i="5"/>
  <c r="A966" i="5"/>
  <c r="J965" i="5"/>
  <c r="G965" i="5"/>
  <c r="E965" i="5"/>
  <c r="C965" i="5"/>
  <c r="B965" i="5"/>
  <c r="A965" i="5"/>
  <c r="J964" i="5"/>
  <c r="G964" i="5"/>
  <c r="E964" i="5"/>
  <c r="C964" i="5"/>
  <c r="B964" i="5"/>
  <c r="A964" i="5"/>
  <c r="J963" i="5"/>
  <c r="G963" i="5"/>
  <c r="E963" i="5"/>
  <c r="C963" i="5"/>
  <c r="B963" i="5"/>
  <c r="A963" i="5"/>
  <c r="J962" i="5"/>
  <c r="E962" i="5"/>
  <c r="C962" i="5"/>
  <c r="B962" i="5"/>
  <c r="A962" i="5"/>
  <c r="J961" i="5"/>
  <c r="G961" i="5"/>
  <c r="F961" i="5"/>
  <c r="E961" i="5"/>
  <c r="C961" i="5"/>
  <c r="B961" i="5"/>
  <c r="A961" i="5"/>
  <c r="J960" i="5"/>
  <c r="E960" i="5"/>
  <c r="C960" i="5"/>
  <c r="B960" i="5"/>
  <c r="A960" i="5"/>
  <c r="J959" i="5"/>
  <c r="G959" i="5"/>
  <c r="E959" i="5"/>
  <c r="C959" i="5"/>
  <c r="B959" i="5"/>
  <c r="A959" i="5"/>
  <c r="J958" i="5"/>
  <c r="G958" i="5"/>
  <c r="E958" i="5"/>
  <c r="C958" i="5"/>
  <c r="B958" i="5"/>
  <c r="A958" i="5"/>
  <c r="J957" i="5"/>
  <c r="G957" i="5"/>
  <c r="E957" i="5"/>
  <c r="B957" i="5"/>
  <c r="A957" i="5"/>
  <c r="J956" i="5"/>
  <c r="G956" i="5"/>
  <c r="E956" i="5"/>
  <c r="C956" i="5"/>
  <c r="B956" i="5"/>
  <c r="A956" i="5"/>
  <c r="J955" i="5"/>
  <c r="G955" i="5"/>
  <c r="E955" i="5"/>
  <c r="C955" i="5"/>
  <c r="B955" i="5"/>
  <c r="A955" i="5"/>
  <c r="J954" i="5"/>
  <c r="G954" i="5"/>
  <c r="E954" i="5"/>
  <c r="B954" i="5"/>
  <c r="A954" i="5"/>
  <c r="J953" i="5"/>
  <c r="G953" i="5"/>
  <c r="E953" i="5"/>
  <c r="C953" i="5"/>
  <c r="B953" i="5"/>
  <c r="A953" i="5"/>
  <c r="J952" i="5"/>
  <c r="G952" i="5"/>
  <c r="E952" i="5"/>
  <c r="C952" i="5"/>
  <c r="B952" i="5"/>
  <c r="A952" i="5"/>
  <c r="J951" i="5"/>
  <c r="G951" i="5"/>
  <c r="E951" i="5"/>
  <c r="C951" i="5"/>
  <c r="B951" i="5"/>
  <c r="A951" i="5"/>
  <c r="J950" i="5"/>
  <c r="G950" i="5"/>
  <c r="E950" i="5"/>
  <c r="C950" i="5"/>
  <c r="B950" i="5"/>
  <c r="A950" i="5"/>
  <c r="J949" i="5"/>
  <c r="G949" i="5"/>
  <c r="E949" i="5"/>
  <c r="C949" i="5"/>
  <c r="B949" i="5"/>
  <c r="A949" i="5"/>
  <c r="J948" i="5"/>
  <c r="G948" i="5"/>
  <c r="E948" i="5"/>
  <c r="C948" i="5"/>
  <c r="B948" i="5"/>
  <c r="A948" i="5"/>
  <c r="J947" i="5"/>
  <c r="E947" i="5"/>
  <c r="B947" i="5"/>
  <c r="A947" i="5"/>
  <c r="J946" i="5"/>
  <c r="G946" i="5"/>
  <c r="E946" i="5"/>
  <c r="C946" i="5"/>
  <c r="B946" i="5"/>
  <c r="A946" i="5"/>
  <c r="J945" i="5"/>
  <c r="G945" i="5"/>
  <c r="E945" i="5"/>
  <c r="C945" i="5"/>
  <c r="B945" i="5"/>
  <c r="A945" i="5"/>
  <c r="J944" i="5"/>
  <c r="G944" i="5"/>
  <c r="E944" i="5"/>
  <c r="B944" i="5"/>
  <c r="A944" i="5"/>
  <c r="J943" i="5"/>
  <c r="G943" i="5"/>
  <c r="E943" i="5"/>
  <c r="C943" i="5"/>
  <c r="B943" i="5"/>
  <c r="A943" i="5"/>
  <c r="J942" i="5"/>
  <c r="G942" i="5"/>
  <c r="E942" i="5"/>
  <c r="C942" i="5"/>
  <c r="B942" i="5"/>
  <c r="A942" i="5"/>
  <c r="J941" i="5"/>
  <c r="E941" i="5"/>
  <c r="B941" i="5"/>
  <c r="A941" i="5"/>
  <c r="J940" i="5"/>
  <c r="G940" i="5"/>
  <c r="E940" i="5"/>
  <c r="C940" i="5"/>
  <c r="B940" i="5"/>
  <c r="A940" i="5"/>
  <c r="J939" i="5"/>
  <c r="G939" i="5"/>
  <c r="E939" i="5"/>
  <c r="C939" i="5"/>
  <c r="B939" i="5"/>
  <c r="A939" i="5"/>
  <c r="J938" i="5"/>
  <c r="G938" i="5"/>
  <c r="F938" i="5"/>
  <c r="E938" i="5"/>
  <c r="B938" i="5"/>
  <c r="A938" i="5"/>
  <c r="J937" i="5"/>
  <c r="G937" i="5"/>
  <c r="F937" i="5"/>
  <c r="E937" i="5"/>
  <c r="B937" i="5"/>
  <c r="A937" i="5"/>
  <c r="J936" i="5"/>
  <c r="G936" i="5"/>
  <c r="F936" i="5"/>
  <c r="E936" i="5"/>
  <c r="B936" i="5"/>
  <c r="A936" i="5"/>
  <c r="J935" i="5"/>
  <c r="G935" i="5"/>
  <c r="F935" i="5"/>
  <c r="E935" i="5"/>
  <c r="B935" i="5"/>
  <c r="A935" i="5"/>
  <c r="J934" i="5"/>
  <c r="G934" i="5"/>
  <c r="F934" i="5"/>
  <c r="E934" i="5"/>
  <c r="B934" i="5"/>
  <c r="A934" i="5"/>
  <c r="J933" i="5"/>
  <c r="G933" i="5"/>
  <c r="F933" i="5"/>
  <c r="E933" i="5"/>
  <c r="B933" i="5"/>
  <c r="A933" i="5"/>
  <c r="J932" i="5"/>
  <c r="G932" i="5"/>
  <c r="F932" i="5"/>
  <c r="E932" i="5"/>
  <c r="B932" i="5"/>
  <c r="A932" i="5"/>
  <c r="J931" i="5"/>
  <c r="G931" i="5"/>
  <c r="F931" i="5"/>
  <c r="E931" i="5"/>
  <c r="B931" i="5"/>
  <c r="A931" i="5"/>
  <c r="J930" i="5"/>
  <c r="G930" i="5"/>
  <c r="F930" i="5"/>
  <c r="E930" i="5"/>
  <c r="B930" i="5"/>
  <c r="A930" i="5"/>
  <c r="J929" i="5"/>
  <c r="G929" i="5"/>
  <c r="F929" i="5"/>
  <c r="E929" i="5"/>
  <c r="B929" i="5"/>
  <c r="A929" i="5"/>
  <c r="J928" i="5"/>
  <c r="G928" i="5"/>
  <c r="F928" i="5"/>
  <c r="E928" i="5"/>
  <c r="B928" i="5"/>
  <c r="A928" i="5"/>
  <c r="J927" i="5"/>
  <c r="G927" i="5"/>
  <c r="F927" i="5"/>
  <c r="E927" i="5"/>
  <c r="B927" i="5"/>
  <c r="A927" i="5"/>
  <c r="J926" i="5"/>
  <c r="G926" i="5"/>
  <c r="F926" i="5"/>
  <c r="E926" i="5"/>
  <c r="B926" i="5"/>
  <c r="A926" i="5"/>
  <c r="J925" i="5"/>
  <c r="G925" i="5"/>
  <c r="E925" i="5"/>
  <c r="C925" i="5"/>
  <c r="B925" i="5"/>
  <c r="A925" i="5"/>
  <c r="J924" i="5"/>
  <c r="G924" i="5"/>
  <c r="E924" i="5"/>
  <c r="C924" i="5"/>
  <c r="B924" i="5"/>
  <c r="A924" i="5"/>
  <c r="J923" i="5"/>
  <c r="G923" i="5"/>
  <c r="E923" i="5"/>
  <c r="C923" i="5"/>
  <c r="B923" i="5"/>
  <c r="A923" i="5"/>
  <c r="N922" i="5"/>
  <c r="J922" i="5"/>
  <c r="G922" i="5"/>
  <c r="E922" i="5"/>
  <c r="C922" i="5"/>
  <c r="B922" i="5"/>
  <c r="A922" i="5"/>
  <c r="J921" i="5"/>
  <c r="G921" i="5"/>
  <c r="E921" i="5"/>
  <c r="C921" i="5"/>
  <c r="B921" i="5"/>
  <c r="A921" i="5"/>
  <c r="J920" i="5"/>
  <c r="G920" i="5"/>
  <c r="F920" i="5"/>
  <c r="E920" i="5"/>
  <c r="C920" i="5"/>
  <c r="B920" i="5"/>
  <c r="A920" i="5"/>
  <c r="J919" i="5"/>
  <c r="G919" i="5"/>
  <c r="F919" i="5"/>
  <c r="E919" i="5"/>
  <c r="C919" i="5"/>
  <c r="B919" i="5"/>
  <c r="A919" i="5"/>
  <c r="J918" i="5"/>
  <c r="G918" i="5"/>
  <c r="E918" i="5"/>
  <c r="C918" i="5"/>
  <c r="B918" i="5"/>
  <c r="A918" i="5"/>
  <c r="J917" i="5"/>
  <c r="G917" i="5"/>
  <c r="E917" i="5"/>
  <c r="C917" i="5"/>
  <c r="B917" i="5"/>
  <c r="A917" i="5"/>
  <c r="J916" i="5"/>
  <c r="G916" i="5"/>
  <c r="F916" i="5"/>
  <c r="E916" i="5"/>
  <c r="C916" i="5"/>
  <c r="B916" i="5"/>
  <c r="A916" i="5"/>
  <c r="J915" i="5"/>
  <c r="G915" i="5"/>
  <c r="E915" i="5"/>
  <c r="C915" i="5"/>
  <c r="B915" i="5"/>
  <c r="A915" i="5"/>
  <c r="J914" i="5"/>
  <c r="G914" i="5"/>
  <c r="E914" i="5"/>
  <c r="C914" i="5"/>
  <c r="B914" i="5"/>
  <c r="A914" i="5"/>
  <c r="J913" i="5"/>
  <c r="G913" i="5"/>
  <c r="E913" i="5"/>
  <c r="C913" i="5"/>
  <c r="B913" i="5"/>
  <c r="A913" i="5"/>
  <c r="J912" i="5"/>
  <c r="G912" i="5"/>
  <c r="E912" i="5"/>
  <c r="C912" i="5"/>
  <c r="B912" i="5"/>
  <c r="A912" i="5"/>
  <c r="J911" i="5"/>
  <c r="G911" i="5"/>
  <c r="F911" i="5"/>
  <c r="E911" i="5"/>
  <c r="C911" i="5"/>
  <c r="B911" i="5"/>
  <c r="A911" i="5"/>
  <c r="J910" i="5"/>
  <c r="G910" i="5"/>
  <c r="E910" i="5"/>
  <c r="C910" i="5"/>
  <c r="B910" i="5"/>
  <c r="A910" i="5"/>
  <c r="J909" i="5"/>
  <c r="G909" i="5"/>
  <c r="F909" i="5"/>
  <c r="E909" i="5"/>
  <c r="C909" i="5"/>
  <c r="B909" i="5"/>
  <c r="A909" i="5"/>
  <c r="J908" i="5"/>
  <c r="G908" i="5"/>
  <c r="E908" i="5"/>
  <c r="C908" i="5"/>
  <c r="B908" i="5"/>
  <c r="A908" i="5"/>
  <c r="J907" i="5"/>
  <c r="G907" i="5"/>
  <c r="E907" i="5"/>
  <c r="C907" i="5"/>
  <c r="B907" i="5"/>
  <c r="A907" i="5"/>
  <c r="J906" i="5"/>
  <c r="G906" i="5"/>
  <c r="E906" i="5"/>
  <c r="C906" i="5"/>
  <c r="B906" i="5"/>
  <c r="A906" i="5"/>
  <c r="J905" i="5"/>
  <c r="G905" i="5"/>
  <c r="E905" i="5"/>
  <c r="C905" i="5"/>
  <c r="B905" i="5"/>
  <c r="A905" i="5"/>
  <c r="J904" i="5"/>
  <c r="G904" i="5"/>
  <c r="E904" i="5"/>
  <c r="C904" i="5"/>
  <c r="B904" i="5"/>
  <c r="A904" i="5"/>
  <c r="J903" i="5"/>
  <c r="G903" i="5"/>
  <c r="F903" i="5"/>
  <c r="E903" i="5"/>
  <c r="C903" i="5"/>
  <c r="B903" i="5"/>
  <c r="A903" i="5"/>
  <c r="J902" i="5"/>
  <c r="G902" i="5"/>
  <c r="F902" i="5"/>
  <c r="E902" i="5"/>
  <c r="C902" i="5"/>
  <c r="B902" i="5"/>
  <c r="A902" i="5"/>
  <c r="J901" i="5"/>
  <c r="G901" i="5"/>
  <c r="F901" i="5"/>
  <c r="E901" i="5"/>
  <c r="C901" i="5"/>
  <c r="B901" i="5"/>
  <c r="A901" i="5"/>
  <c r="J900" i="5"/>
  <c r="G900" i="5"/>
  <c r="F900" i="5"/>
  <c r="E900" i="5"/>
  <c r="C900" i="5"/>
  <c r="B900" i="5"/>
  <c r="A900" i="5"/>
  <c r="J899" i="5"/>
  <c r="G899" i="5"/>
  <c r="E899" i="5"/>
  <c r="C899" i="5"/>
  <c r="B899" i="5"/>
  <c r="A899" i="5"/>
  <c r="J898" i="5"/>
  <c r="G898" i="5"/>
  <c r="E898" i="5"/>
  <c r="C898" i="5"/>
  <c r="B898" i="5"/>
  <c r="A898" i="5"/>
  <c r="J897" i="5"/>
  <c r="G897" i="5"/>
  <c r="E897" i="5"/>
  <c r="C897" i="5"/>
  <c r="B897" i="5"/>
  <c r="A897" i="5"/>
  <c r="J896" i="5"/>
  <c r="G896" i="5"/>
  <c r="E896" i="5"/>
  <c r="C896" i="5"/>
  <c r="B896" i="5"/>
  <c r="A896" i="5"/>
  <c r="J895" i="5"/>
  <c r="G895" i="5"/>
  <c r="F895" i="5"/>
  <c r="E895" i="5"/>
  <c r="C895" i="5"/>
  <c r="B895" i="5"/>
  <c r="A895" i="5"/>
  <c r="J894" i="5"/>
  <c r="G894" i="5"/>
  <c r="E894" i="5"/>
  <c r="C894" i="5"/>
  <c r="B894" i="5"/>
  <c r="A894" i="5"/>
  <c r="J893" i="5"/>
  <c r="G893" i="5"/>
  <c r="E893" i="5"/>
  <c r="C893" i="5"/>
  <c r="B893" i="5"/>
  <c r="A893" i="5"/>
  <c r="J892" i="5"/>
  <c r="G892" i="5"/>
  <c r="E892" i="5"/>
  <c r="C892" i="5"/>
  <c r="B892" i="5"/>
  <c r="A892" i="5"/>
  <c r="J891" i="5"/>
  <c r="G891" i="5"/>
  <c r="E891" i="5"/>
  <c r="C891" i="5"/>
  <c r="B891" i="5"/>
  <c r="A891" i="5"/>
  <c r="J890" i="5"/>
  <c r="G890" i="5"/>
  <c r="E890" i="5"/>
  <c r="C890" i="5"/>
  <c r="B890" i="5"/>
  <c r="A890" i="5"/>
  <c r="J889" i="5"/>
  <c r="G889" i="5"/>
  <c r="E889" i="5"/>
  <c r="C889" i="5"/>
  <c r="B889" i="5"/>
  <c r="A889" i="5"/>
  <c r="J888" i="5"/>
  <c r="G888" i="5"/>
  <c r="E888" i="5"/>
  <c r="C888" i="5"/>
  <c r="B888" i="5"/>
  <c r="A888" i="5"/>
  <c r="J887" i="5"/>
  <c r="G887" i="5"/>
  <c r="E887" i="5"/>
  <c r="C887" i="5"/>
  <c r="B887" i="5"/>
  <c r="A887" i="5"/>
  <c r="J886" i="5"/>
  <c r="G886" i="5"/>
  <c r="E886" i="5"/>
  <c r="C886" i="5"/>
  <c r="B886" i="5"/>
  <c r="A886" i="5"/>
  <c r="J885" i="5"/>
  <c r="G885" i="5"/>
  <c r="E885" i="5"/>
  <c r="C885" i="5"/>
  <c r="B885" i="5"/>
  <c r="A885" i="5"/>
  <c r="J884" i="5"/>
  <c r="G884" i="5"/>
  <c r="E884" i="5"/>
  <c r="C884" i="5"/>
  <c r="B884" i="5"/>
  <c r="A884" i="5"/>
  <c r="J883" i="5"/>
  <c r="G883" i="5"/>
  <c r="E883" i="5"/>
  <c r="C883" i="5"/>
  <c r="B883" i="5"/>
  <c r="A883" i="5"/>
  <c r="J882" i="5"/>
  <c r="E882" i="5"/>
  <c r="C882" i="5"/>
  <c r="B882" i="5"/>
  <c r="A882" i="5"/>
  <c r="J881" i="5"/>
  <c r="G881" i="5"/>
  <c r="E881" i="5"/>
  <c r="C881" i="5"/>
  <c r="B881" i="5"/>
  <c r="A881" i="5"/>
  <c r="J880" i="5"/>
  <c r="G880" i="5"/>
  <c r="E880" i="5"/>
  <c r="C880" i="5"/>
  <c r="B880" i="5"/>
  <c r="A880" i="5"/>
  <c r="J879" i="5"/>
  <c r="G879" i="5"/>
  <c r="E879" i="5"/>
  <c r="B879" i="5"/>
  <c r="A879" i="5"/>
  <c r="J878" i="5"/>
  <c r="G878" i="5"/>
  <c r="E878" i="5"/>
  <c r="C878" i="5"/>
  <c r="B878" i="5"/>
  <c r="A878" i="5"/>
  <c r="J877" i="5"/>
  <c r="G877" i="5"/>
  <c r="E877" i="5"/>
  <c r="C877" i="5"/>
  <c r="B877" i="5"/>
  <c r="A877" i="5"/>
  <c r="J876" i="5"/>
  <c r="G876" i="5"/>
  <c r="E876" i="5"/>
  <c r="C876" i="5"/>
  <c r="B876" i="5"/>
  <c r="A876" i="5"/>
  <c r="J875" i="5"/>
  <c r="G875" i="5"/>
  <c r="E875" i="5"/>
  <c r="C875" i="5"/>
  <c r="B875" i="5"/>
  <c r="A875" i="5"/>
  <c r="J874" i="5"/>
  <c r="F874" i="5"/>
  <c r="E874" i="5"/>
  <c r="C874" i="5"/>
  <c r="B874" i="5"/>
  <c r="A874" i="5"/>
  <c r="J873" i="5"/>
  <c r="G873" i="5"/>
  <c r="E873" i="5"/>
  <c r="C873" i="5"/>
  <c r="B873" i="5"/>
  <c r="A873" i="5"/>
  <c r="J872" i="5"/>
  <c r="G872" i="5"/>
  <c r="E872" i="5"/>
  <c r="C872" i="5"/>
  <c r="B872" i="5"/>
  <c r="A872" i="5"/>
  <c r="N871" i="5"/>
  <c r="J871" i="5"/>
  <c r="G871" i="5"/>
  <c r="E871" i="5"/>
  <c r="C871" i="5"/>
  <c r="B871" i="5"/>
  <c r="A871" i="5"/>
  <c r="J870" i="5"/>
  <c r="G870" i="5"/>
  <c r="E870" i="5"/>
  <c r="C870" i="5"/>
  <c r="B870" i="5"/>
  <c r="A870" i="5"/>
  <c r="J869" i="5"/>
  <c r="G869" i="5"/>
  <c r="E869" i="5"/>
  <c r="C869" i="5"/>
  <c r="B869" i="5"/>
  <c r="A869" i="5"/>
  <c r="J868" i="5"/>
  <c r="G868" i="5"/>
  <c r="F868" i="5"/>
  <c r="E868" i="5"/>
  <c r="C868" i="5"/>
  <c r="B868" i="5"/>
  <c r="A868" i="5"/>
  <c r="J867" i="5"/>
  <c r="G867" i="5"/>
  <c r="F867" i="5"/>
  <c r="E867" i="5"/>
  <c r="C867" i="5"/>
  <c r="B867" i="5"/>
  <c r="A867" i="5"/>
  <c r="J866" i="5"/>
  <c r="G866" i="5"/>
  <c r="E866" i="5"/>
  <c r="C866" i="5"/>
  <c r="B866" i="5"/>
  <c r="A866" i="5"/>
  <c r="J865" i="5"/>
  <c r="G865" i="5"/>
  <c r="E865" i="5"/>
  <c r="C865" i="5"/>
  <c r="B865" i="5"/>
  <c r="A865" i="5"/>
  <c r="J864" i="5"/>
  <c r="G864" i="5"/>
  <c r="E864" i="5"/>
  <c r="C864" i="5"/>
  <c r="B864" i="5"/>
  <c r="A864" i="5"/>
  <c r="J863" i="5"/>
  <c r="G863" i="5"/>
  <c r="E863" i="5"/>
  <c r="C863" i="5"/>
  <c r="B863" i="5"/>
  <c r="A863" i="5"/>
  <c r="J862" i="5"/>
  <c r="G862" i="5"/>
  <c r="F862" i="5"/>
  <c r="E862" i="5"/>
  <c r="C862" i="5"/>
  <c r="B862" i="5"/>
  <c r="A862" i="5"/>
  <c r="J861" i="5"/>
  <c r="G861" i="5"/>
  <c r="E861" i="5"/>
  <c r="C861" i="5"/>
  <c r="B861" i="5"/>
  <c r="A861" i="5"/>
  <c r="J860" i="5"/>
  <c r="G860" i="5"/>
  <c r="E860" i="5"/>
  <c r="C860" i="5"/>
  <c r="B860" i="5"/>
  <c r="A860" i="5"/>
  <c r="J859" i="5"/>
  <c r="G859" i="5"/>
  <c r="E859" i="5"/>
  <c r="C859" i="5"/>
  <c r="B859" i="5"/>
  <c r="A859" i="5"/>
  <c r="J858" i="5"/>
  <c r="G858" i="5"/>
  <c r="E858" i="5"/>
  <c r="C858" i="5"/>
  <c r="B858" i="5"/>
  <c r="A858" i="5"/>
  <c r="J857" i="5"/>
  <c r="G857" i="5"/>
  <c r="E857" i="5"/>
  <c r="C857" i="5"/>
  <c r="B857" i="5"/>
  <c r="A857" i="5"/>
  <c r="N856" i="5"/>
  <c r="J856" i="5"/>
  <c r="G856" i="5"/>
  <c r="E856" i="5"/>
  <c r="C856" i="5"/>
  <c r="B856" i="5"/>
  <c r="A856" i="5"/>
  <c r="J855" i="5"/>
  <c r="G855" i="5"/>
  <c r="E855" i="5"/>
  <c r="C855" i="5"/>
  <c r="B855" i="5"/>
  <c r="A855" i="5"/>
  <c r="J854" i="5"/>
  <c r="G854" i="5"/>
  <c r="E854" i="5"/>
  <c r="C854" i="5"/>
  <c r="B854" i="5"/>
  <c r="A854" i="5"/>
  <c r="J853" i="5"/>
  <c r="G853" i="5"/>
  <c r="F853" i="5"/>
  <c r="E853" i="5"/>
  <c r="C853" i="5"/>
  <c r="B853" i="5"/>
  <c r="A853" i="5"/>
  <c r="J852" i="5"/>
  <c r="G852" i="5"/>
  <c r="E852" i="5"/>
  <c r="C852" i="5"/>
  <c r="B852" i="5"/>
  <c r="A852" i="5"/>
  <c r="J851" i="5"/>
  <c r="G851" i="5"/>
  <c r="E851" i="5"/>
  <c r="C851" i="5"/>
  <c r="B851" i="5"/>
  <c r="A851" i="5"/>
  <c r="J850" i="5"/>
  <c r="G850" i="5"/>
  <c r="E850" i="5"/>
  <c r="C850" i="5"/>
  <c r="B850" i="5"/>
  <c r="A850" i="5"/>
  <c r="J849" i="5"/>
  <c r="G849" i="5"/>
  <c r="E849" i="5"/>
  <c r="C849" i="5"/>
  <c r="B849" i="5"/>
  <c r="A849" i="5"/>
  <c r="J848" i="5"/>
  <c r="G848" i="5"/>
  <c r="E848" i="5"/>
  <c r="C848" i="5"/>
  <c r="B848" i="5"/>
  <c r="A848" i="5"/>
  <c r="J847" i="5"/>
  <c r="G847" i="5"/>
  <c r="E847" i="5"/>
  <c r="C847" i="5"/>
  <c r="B847" i="5"/>
  <c r="A847" i="5"/>
  <c r="J846" i="5"/>
  <c r="G846" i="5"/>
  <c r="E846" i="5"/>
  <c r="C846" i="5"/>
  <c r="B846" i="5"/>
  <c r="A846" i="5"/>
  <c r="J845" i="5"/>
  <c r="G845" i="5"/>
  <c r="E845" i="5"/>
  <c r="C845" i="5"/>
  <c r="B845" i="5"/>
  <c r="A845" i="5"/>
  <c r="J844" i="5"/>
  <c r="G844" i="5"/>
  <c r="E844" i="5"/>
  <c r="C844" i="5"/>
  <c r="B844" i="5"/>
  <c r="A844" i="5"/>
  <c r="J843" i="5"/>
  <c r="G843" i="5"/>
  <c r="E843" i="5"/>
  <c r="C843" i="5"/>
  <c r="B843" i="5"/>
  <c r="A843" i="5"/>
  <c r="J842" i="5"/>
  <c r="G842" i="5"/>
  <c r="E842" i="5"/>
  <c r="C842" i="5"/>
  <c r="B842" i="5"/>
  <c r="A842" i="5"/>
  <c r="J841" i="5"/>
  <c r="G841" i="5"/>
  <c r="E841" i="5"/>
  <c r="C841" i="5"/>
  <c r="B841" i="5"/>
  <c r="A841" i="5"/>
  <c r="J840" i="5"/>
  <c r="G840" i="5"/>
  <c r="E840" i="5"/>
  <c r="C840" i="5"/>
  <c r="B840" i="5"/>
  <c r="A840" i="5"/>
  <c r="J839" i="5"/>
  <c r="G839" i="5"/>
  <c r="E839" i="5"/>
  <c r="C839" i="5"/>
  <c r="B839" i="5"/>
  <c r="A839" i="5"/>
  <c r="J838" i="5"/>
  <c r="G838" i="5"/>
  <c r="E838" i="5"/>
  <c r="C838" i="5"/>
  <c r="B838" i="5"/>
  <c r="A838" i="5"/>
  <c r="J837" i="5"/>
  <c r="G837" i="5"/>
  <c r="E837" i="5"/>
  <c r="C837" i="5"/>
  <c r="B837" i="5"/>
  <c r="A837" i="5"/>
  <c r="J836" i="5"/>
  <c r="G836" i="5"/>
  <c r="E836" i="5"/>
  <c r="C836" i="5"/>
  <c r="B836" i="5"/>
  <c r="A836" i="5"/>
  <c r="J835" i="5"/>
  <c r="G835" i="5"/>
  <c r="E835" i="5"/>
  <c r="C835" i="5"/>
  <c r="B835" i="5"/>
  <c r="A835" i="5"/>
  <c r="J834" i="5"/>
  <c r="G834" i="5"/>
  <c r="E834" i="5"/>
  <c r="C834" i="5"/>
  <c r="B834" i="5"/>
  <c r="A834" i="5"/>
  <c r="J833" i="5"/>
  <c r="G833" i="5"/>
  <c r="E833" i="5"/>
  <c r="C833" i="5"/>
  <c r="B833" i="5"/>
  <c r="A833" i="5"/>
  <c r="J832" i="5"/>
  <c r="G832" i="5"/>
  <c r="E832" i="5"/>
  <c r="C832" i="5"/>
  <c r="B832" i="5"/>
  <c r="A832" i="5"/>
  <c r="J831" i="5"/>
  <c r="G831" i="5"/>
  <c r="E831" i="5"/>
  <c r="C831" i="5"/>
  <c r="B831" i="5"/>
  <c r="A831" i="5"/>
  <c r="J830" i="5"/>
  <c r="G830" i="5"/>
  <c r="E830" i="5"/>
  <c r="C830" i="5"/>
  <c r="B830" i="5"/>
  <c r="A830" i="5"/>
  <c r="J829" i="5"/>
  <c r="G829" i="5"/>
  <c r="E829" i="5"/>
  <c r="C829" i="5"/>
  <c r="B829" i="5"/>
  <c r="A829" i="5"/>
  <c r="J828" i="5"/>
  <c r="G828" i="5"/>
  <c r="E828" i="5"/>
  <c r="C828" i="5"/>
  <c r="B828" i="5"/>
  <c r="A828" i="5"/>
  <c r="J827" i="5"/>
  <c r="G827" i="5"/>
  <c r="E827" i="5"/>
  <c r="C827" i="5"/>
  <c r="B827" i="5"/>
  <c r="A827" i="5"/>
  <c r="J826" i="5"/>
  <c r="G826" i="5"/>
  <c r="E826" i="5"/>
  <c r="C826" i="5"/>
  <c r="B826" i="5"/>
  <c r="A826" i="5"/>
  <c r="J825" i="5"/>
  <c r="G825" i="5"/>
  <c r="E825" i="5"/>
  <c r="C825" i="5"/>
  <c r="B825" i="5"/>
  <c r="A825" i="5"/>
  <c r="J824" i="5"/>
  <c r="G824" i="5"/>
  <c r="E824" i="5"/>
  <c r="C824" i="5"/>
  <c r="B824" i="5"/>
  <c r="A824" i="5"/>
  <c r="J823" i="5"/>
  <c r="G823" i="5"/>
  <c r="E823" i="5"/>
  <c r="B823" i="5"/>
  <c r="A823" i="5"/>
  <c r="J822" i="5"/>
  <c r="G822" i="5"/>
  <c r="E822" i="5"/>
  <c r="C822" i="5"/>
  <c r="B822" i="5"/>
  <c r="A822" i="5"/>
  <c r="J821" i="5"/>
  <c r="G821" i="5"/>
  <c r="E821" i="5"/>
  <c r="C821" i="5"/>
  <c r="B821" i="5"/>
  <c r="A821" i="5"/>
  <c r="J820" i="5"/>
  <c r="G820" i="5"/>
  <c r="E820" i="5"/>
  <c r="C820" i="5"/>
  <c r="B820" i="5"/>
  <c r="A820" i="5"/>
  <c r="J819" i="5"/>
  <c r="G819" i="5"/>
  <c r="F819" i="5"/>
  <c r="E819" i="5"/>
  <c r="C819" i="5"/>
  <c r="B819" i="5"/>
  <c r="A819" i="5"/>
  <c r="J818" i="5"/>
  <c r="G818" i="5"/>
  <c r="F818" i="5"/>
  <c r="E818" i="5"/>
  <c r="C818" i="5"/>
  <c r="B818" i="5"/>
  <c r="A818" i="5"/>
  <c r="J817" i="5"/>
  <c r="G817" i="5"/>
  <c r="F817" i="5"/>
  <c r="E817" i="5"/>
  <c r="C817" i="5"/>
  <c r="B817" i="5"/>
  <c r="A817" i="5"/>
  <c r="J816" i="5"/>
  <c r="G816" i="5"/>
  <c r="F816" i="5"/>
  <c r="E816" i="5"/>
  <c r="C816" i="5"/>
  <c r="B816" i="5"/>
  <c r="A816" i="5"/>
  <c r="J815" i="5"/>
  <c r="G815" i="5"/>
  <c r="E815" i="5"/>
  <c r="C815" i="5"/>
  <c r="B815" i="5"/>
  <c r="A815" i="5"/>
  <c r="J814" i="5"/>
  <c r="G814" i="5"/>
  <c r="F814" i="5"/>
  <c r="E814" i="5"/>
  <c r="C814" i="5"/>
  <c r="B814" i="5"/>
  <c r="A814" i="5"/>
  <c r="J813" i="5"/>
  <c r="G813" i="5"/>
  <c r="F813" i="5"/>
  <c r="E813" i="5"/>
  <c r="C813" i="5"/>
  <c r="B813" i="5"/>
  <c r="A813" i="5"/>
  <c r="J812" i="5"/>
  <c r="G812" i="5"/>
  <c r="F812" i="5"/>
  <c r="E812" i="5"/>
  <c r="C812" i="5"/>
  <c r="B812" i="5"/>
  <c r="A812" i="5"/>
  <c r="J811" i="5"/>
  <c r="G811" i="5"/>
  <c r="E811" i="5"/>
  <c r="C811" i="5"/>
  <c r="B811" i="5"/>
  <c r="A811" i="5"/>
  <c r="J810" i="5"/>
  <c r="G810" i="5"/>
  <c r="F810" i="5"/>
  <c r="E810" i="5"/>
  <c r="C810" i="5"/>
  <c r="B810" i="5"/>
  <c r="A810" i="5"/>
  <c r="J809" i="5"/>
  <c r="G809" i="5"/>
  <c r="F809" i="5"/>
  <c r="E809" i="5"/>
  <c r="C809" i="5"/>
  <c r="B809" i="5"/>
  <c r="A809" i="5"/>
  <c r="J808" i="5"/>
  <c r="G808" i="5"/>
  <c r="F808" i="5"/>
  <c r="E808" i="5"/>
  <c r="C808" i="5"/>
  <c r="B808" i="5"/>
  <c r="A808" i="5"/>
  <c r="J807" i="5"/>
  <c r="G807" i="5"/>
  <c r="F807" i="5"/>
  <c r="E807" i="5"/>
  <c r="C807" i="5"/>
  <c r="B807" i="5"/>
  <c r="A807" i="5"/>
  <c r="J806" i="5"/>
  <c r="G806" i="5"/>
  <c r="F806" i="5"/>
  <c r="E806" i="5"/>
  <c r="C806" i="5"/>
  <c r="B806" i="5"/>
  <c r="A806" i="5"/>
  <c r="J805" i="5"/>
  <c r="G805" i="5"/>
  <c r="E805" i="5"/>
  <c r="C805" i="5"/>
  <c r="B805" i="5"/>
  <c r="A805" i="5"/>
  <c r="J804" i="5"/>
  <c r="G804" i="5"/>
  <c r="F804" i="5"/>
  <c r="E804" i="5"/>
  <c r="C804" i="5"/>
  <c r="B804" i="5"/>
  <c r="A804" i="5"/>
  <c r="J803" i="5"/>
  <c r="F803" i="5"/>
  <c r="E803" i="5"/>
  <c r="C803" i="5"/>
  <c r="B803" i="5"/>
  <c r="A803" i="5"/>
  <c r="J802" i="5"/>
  <c r="F802" i="5"/>
  <c r="E802" i="5"/>
  <c r="C802" i="5"/>
  <c r="B802" i="5"/>
  <c r="A802" i="5"/>
  <c r="J801" i="5"/>
  <c r="G801" i="5"/>
  <c r="E801" i="5"/>
  <c r="C801" i="5"/>
  <c r="B801" i="5"/>
  <c r="A801" i="5"/>
  <c r="J800" i="5"/>
  <c r="G800" i="5"/>
  <c r="E800" i="5"/>
  <c r="C800" i="5"/>
  <c r="B800" i="5"/>
  <c r="A800" i="5"/>
  <c r="J799" i="5"/>
  <c r="G799" i="5"/>
  <c r="E799" i="5"/>
  <c r="C799" i="5"/>
  <c r="B799" i="5"/>
  <c r="A799" i="5"/>
  <c r="J798" i="5"/>
  <c r="G798" i="5"/>
  <c r="E798" i="5"/>
  <c r="C798" i="5"/>
  <c r="B798" i="5"/>
  <c r="A798" i="5"/>
  <c r="J797" i="5"/>
  <c r="G797" i="5"/>
  <c r="E797" i="5"/>
  <c r="C797" i="5"/>
  <c r="B797" i="5"/>
  <c r="A797" i="5"/>
  <c r="J796" i="5"/>
  <c r="G796" i="5"/>
  <c r="E796" i="5"/>
  <c r="C796" i="5"/>
  <c r="B796" i="5"/>
  <c r="A796" i="5"/>
  <c r="J795" i="5"/>
  <c r="G795" i="5"/>
  <c r="F795" i="5"/>
  <c r="E795" i="5"/>
  <c r="C795" i="5"/>
  <c r="B795" i="5"/>
  <c r="A795" i="5"/>
  <c r="J794" i="5"/>
  <c r="G794" i="5"/>
  <c r="F794" i="5"/>
  <c r="E794" i="5"/>
  <c r="C794" i="5"/>
  <c r="B794" i="5"/>
  <c r="A794" i="5"/>
  <c r="J793" i="5"/>
  <c r="G793" i="5"/>
  <c r="F793" i="5"/>
  <c r="E793" i="5"/>
  <c r="C793" i="5"/>
  <c r="B793" i="5"/>
  <c r="A793" i="5"/>
  <c r="J792" i="5"/>
  <c r="G792" i="5"/>
  <c r="F792" i="5"/>
  <c r="E792" i="5"/>
  <c r="C792" i="5"/>
  <c r="B792" i="5"/>
  <c r="A792" i="5"/>
  <c r="J791" i="5"/>
  <c r="G791" i="5"/>
  <c r="F791" i="5"/>
  <c r="E791" i="5"/>
  <c r="C791" i="5"/>
  <c r="B791" i="5"/>
  <c r="A791" i="5"/>
  <c r="J790" i="5"/>
  <c r="G790" i="5"/>
  <c r="F790" i="5"/>
  <c r="E790" i="5"/>
  <c r="C790" i="5"/>
  <c r="B790" i="5"/>
  <c r="A790" i="5"/>
  <c r="J789" i="5"/>
  <c r="G789" i="5"/>
  <c r="F789" i="5"/>
  <c r="E789" i="5"/>
  <c r="C789" i="5"/>
  <c r="B789" i="5"/>
  <c r="A789" i="5"/>
  <c r="J788" i="5"/>
  <c r="G788" i="5"/>
  <c r="F788" i="5"/>
  <c r="E788" i="5"/>
  <c r="C788" i="5"/>
  <c r="B788" i="5"/>
  <c r="A788" i="5"/>
  <c r="J787" i="5"/>
  <c r="G787" i="5"/>
  <c r="F787" i="5"/>
  <c r="E787" i="5"/>
  <c r="C787" i="5"/>
  <c r="B787" i="5"/>
  <c r="A787" i="5"/>
  <c r="J786" i="5"/>
  <c r="G786" i="5"/>
  <c r="E786" i="5"/>
  <c r="C786" i="5"/>
  <c r="B786" i="5"/>
  <c r="A786" i="5"/>
  <c r="J785" i="5"/>
  <c r="G785" i="5"/>
  <c r="E785" i="5"/>
  <c r="C785" i="5"/>
  <c r="B785" i="5"/>
  <c r="A785" i="5"/>
  <c r="J784" i="5"/>
  <c r="G784" i="5"/>
  <c r="E784" i="5"/>
  <c r="C784" i="5"/>
  <c r="B784" i="5"/>
  <c r="A784" i="5"/>
  <c r="J783" i="5"/>
  <c r="G783" i="5"/>
  <c r="E783" i="5"/>
  <c r="C783" i="5"/>
  <c r="B783" i="5"/>
  <c r="A783" i="5"/>
  <c r="J782" i="5"/>
  <c r="G782" i="5"/>
  <c r="E782" i="5"/>
  <c r="C782" i="5"/>
  <c r="B782" i="5"/>
  <c r="A782" i="5"/>
  <c r="J781" i="5"/>
  <c r="G781" i="5"/>
  <c r="E781" i="5"/>
  <c r="C781" i="5"/>
  <c r="B781" i="5"/>
  <c r="A781" i="5"/>
  <c r="J780" i="5"/>
  <c r="G780" i="5"/>
  <c r="E780" i="5"/>
  <c r="C780" i="5"/>
  <c r="B780" i="5"/>
  <c r="A780" i="5"/>
  <c r="J779" i="5"/>
  <c r="G779" i="5"/>
  <c r="E779" i="5"/>
  <c r="C779" i="5"/>
  <c r="B779" i="5"/>
  <c r="A779" i="5"/>
  <c r="J778" i="5"/>
  <c r="E778" i="5"/>
  <c r="C778" i="5"/>
  <c r="B778" i="5"/>
  <c r="A778" i="5"/>
  <c r="J777" i="5"/>
  <c r="G777" i="5"/>
  <c r="E777" i="5"/>
  <c r="C777" i="5"/>
  <c r="B777" i="5"/>
  <c r="A777" i="5"/>
  <c r="J776" i="5"/>
  <c r="G776" i="5"/>
  <c r="F776" i="5"/>
  <c r="E776" i="5"/>
  <c r="C776" i="5"/>
  <c r="B776" i="5"/>
  <c r="A776" i="5"/>
  <c r="J775" i="5"/>
  <c r="G775" i="5"/>
  <c r="E775" i="5"/>
  <c r="C775" i="5"/>
  <c r="B775" i="5"/>
  <c r="A775" i="5"/>
  <c r="J774" i="5"/>
  <c r="G774" i="5"/>
  <c r="E774" i="5"/>
  <c r="C774" i="5"/>
  <c r="B774" i="5"/>
  <c r="A774" i="5"/>
  <c r="J773" i="5"/>
  <c r="G773" i="5"/>
  <c r="F773" i="5"/>
  <c r="E773" i="5"/>
  <c r="C773" i="5"/>
  <c r="B773" i="5"/>
  <c r="A773" i="5"/>
  <c r="J772" i="5"/>
  <c r="G772" i="5"/>
  <c r="E772" i="5"/>
  <c r="C772" i="5"/>
  <c r="B772" i="5"/>
  <c r="A772" i="5"/>
  <c r="J771" i="5"/>
  <c r="G771" i="5"/>
  <c r="F771" i="5"/>
  <c r="E771" i="5"/>
  <c r="C771" i="5"/>
  <c r="B771" i="5"/>
  <c r="A771" i="5"/>
  <c r="J770" i="5"/>
  <c r="G770" i="5"/>
  <c r="F770" i="5"/>
  <c r="E770" i="5"/>
  <c r="C770" i="5"/>
  <c r="B770" i="5"/>
  <c r="A770" i="5"/>
  <c r="J769" i="5"/>
  <c r="G769" i="5"/>
  <c r="F769" i="5"/>
  <c r="E769" i="5"/>
  <c r="C769" i="5"/>
  <c r="B769" i="5"/>
  <c r="A769" i="5"/>
  <c r="J768" i="5"/>
  <c r="G768" i="5"/>
  <c r="F768" i="5"/>
  <c r="E768" i="5"/>
  <c r="C768" i="5"/>
  <c r="B768" i="5"/>
  <c r="A768" i="5"/>
  <c r="J767" i="5"/>
  <c r="G767" i="5"/>
  <c r="F767" i="5"/>
  <c r="E767" i="5"/>
  <c r="C767" i="5"/>
  <c r="B767" i="5"/>
  <c r="A767" i="5"/>
  <c r="J766" i="5"/>
  <c r="G766" i="5"/>
  <c r="F766" i="5"/>
  <c r="E766" i="5"/>
  <c r="C766" i="5"/>
  <c r="B766" i="5"/>
  <c r="A766" i="5"/>
  <c r="J765" i="5"/>
  <c r="G765" i="5"/>
  <c r="F765" i="5"/>
  <c r="E765" i="5"/>
  <c r="C765" i="5"/>
  <c r="B765" i="5"/>
  <c r="A765" i="5"/>
  <c r="J764" i="5"/>
  <c r="G764" i="5"/>
  <c r="F764" i="5"/>
  <c r="E764" i="5"/>
  <c r="C764" i="5"/>
  <c r="B764" i="5"/>
  <c r="A764" i="5"/>
  <c r="J763" i="5"/>
  <c r="G763" i="5"/>
  <c r="F763" i="5"/>
  <c r="E763" i="5"/>
  <c r="C763" i="5"/>
  <c r="B763" i="5"/>
  <c r="A763" i="5"/>
  <c r="J762" i="5"/>
  <c r="G762" i="5"/>
  <c r="F762" i="5"/>
  <c r="E762" i="5"/>
  <c r="C762" i="5"/>
  <c r="B762" i="5"/>
  <c r="A762" i="5"/>
  <c r="J761" i="5"/>
  <c r="G761" i="5"/>
  <c r="F761" i="5"/>
  <c r="E761" i="5"/>
  <c r="C761" i="5"/>
  <c r="B761" i="5"/>
  <c r="A761" i="5"/>
  <c r="J760" i="5"/>
  <c r="G760" i="5"/>
  <c r="F760" i="5"/>
  <c r="E760" i="5"/>
  <c r="C760" i="5"/>
  <c r="B760" i="5"/>
  <c r="A760" i="5"/>
  <c r="J759" i="5"/>
  <c r="G759" i="5"/>
  <c r="F759" i="5"/>
  <c r="E759" i="5"/>
  <c r="C759" i="5"/>
  <c r="B759" i="5"/>
  <c r="A759" i="5"/>
  <c r="J758" i="5"/>
  <c r="G758" i="5"/>
  <c r="F758" i="5"/>
  <c r="E758" i="5"/>
  <c r="C758" i="5"/>
  <c r="B758" i="5"/>
  <c r="A758" i="5"/>
  <c r="J757" i="5"/>
  <c r="G757" i="5"/>
  <c r="E757" i="5"/>
  <c r="C757" i="5"/>
  <c r="B757" i="5"/>
  <c r="A757" i="5"/>
  <c r="J756" i="5"/>
  <c r="G756" i="5"/>
  <c r="E756" i="5"/>
  <c r="C756" i="5"/>
  <c r="B756" i="5"/>
  <c r="A756" i="5"/>
  <c r="J755" i="5"/>
  <c r="G755" i="5"/>
  <c r="E755" i="5"/>
  <c r="C755" i="5"/>
  <c r="B755" i="5"/>
  <c r="A755" i="5"/>
  <c r="J754" i="5"/>
  <c r="G754" i="5"/>
  <c r="C754" i="5"/>
  <c r="B754" i="5"/>
  <c r="A754" i="5"/>
  <c r="J753" i="5"/>
  <c r="G753" i="5"/>
  <c r="E753" i="5"/>
  <c r="C753" i="5"/>
  <c r="B753" i="5"/>
  <c r="A753" i="5"/>
  <c r="N752" i="5"/>
  <c r="J752" i="5"/>
  <c r="G752" i="5"/>
  <c r="E752" i="5"/>
  <c r="C752" i="5"/>
  <c r="B752" i="5"/>
  <c r="A752" i="5"/>
  <c r="N751" i="5"/>
  <c r="J751" i="5"/>
  <c r="G751" i="5"/>
  <c r="E751" i="5"/>
  <c r="C751" i="5"/>
  <c r="B751" i="5"/>
  <c r="A751" i="5"/>
  <c r="N750" i="5"/>
  <c r="J750" i="5"/>
  <c r="G750" i="5"/>
  <c r="E750" i="5"/>
  <c r="C750" i="5"/>
  <c r="B750" i="5"/>
  <c r="A750" i="5"/>
  <c r="J749" i="5"/>
  <c r="G749" i="5"/>
  <c r="E749" i="5"/>
  <c r="C749" i="5"/>
  <c r="B749" i="5"/>
  <c r="A749" i="5"/>
  <c r="J748" i="5"/>
  <c r="G748" i="5"/>
  <c r="F748" i="5"/>
  <c r="E748" i="5"/>
  <c r="C748" i="5"/>
  <c r="B748" i="5"/>
  <c r="A748" i="5"/>
  <c r="J747" i="5"/>
  <c r="G747" i="5"/>
  <c r="E747" i="5"/>
  <c r="C747" i="5"/>
  <c r="B747" i="5"/>
  <c r="A747" i="5"/>
  <c r="J746" i="5"/>
  <c r="G746" i="5"/>
  <c r="E746" i="5"/>
  <c r="C746" i="5"/>
  <c r="B746" i="5"/>
  <c r="A746" i="5"/>
  <c r="J745" i="5"/>
  <c r="G745" i="5"/>
  <c r="E745" i="5"/>
  <c r="C745" i="5"/>
  <c r="B745" i="5"/>
  <c r="A745" i="5"/>
  <c r="J744" i="5"/>
  <c r="G744" i="5"/>
  <c r="E744" i="5"/>
  <c r="C744" i="5"/>
  <c r="B744" i="5"/>
  <c r="A744" i="5"/>
  <c r="J743" i="5"/>
  <c r="G743" i="5"/>
  <c r="E743" i="5"/>
  <c r="C743" i="5"/>
  <c r="B743" i="5"/>
  <c r="A743" i="5"/>
  <c r="J742" i="5"/>
  <c r="G742" i="5"/>
  <c r="E742" i="5"/>
  <c r="C742" i="5"/>
  <c r="B742" i="5"/>
  <c r="A742" i="5"/>
  <c r="J741" i="5"/>
  <c r="G741" i="5"/>
  <c r="F741" i="5"/>
  <c r="E741" i="5"/>
  <c r="C741" i="5"/>
  <c r="B741" i="5"/>
  <c r="A741" i="5"/>
  <c r="J740" i="5"/>
  <c r="G740" i="5"/>
  <c r="E740" i="5"/>
  <c r="C740" i="5"/>
  <c r="B740" i="5"/>
  <c r="A740" i="5"/>
  <c r="J739" i="5"/>
  <c r="G739" i="5"/>
  <c r="F739" i="5"/>
  <c r="E739" i="5"/>
  <c r="C739" i="5"/>
  <c r="B739" i="5"/>
  <c r="A739" i="5"/>
  <c r="J738" i="5"/>
  <c r="G738" i="5"/>
  <c r="E738" i="5"/>
  <c r="C738" i="5"/>
  <c r="B738" i="5"/>
  <c r="A738" i="5"/>
  <c r="J737" i="5"/>
  <c r="G737" i="5"/>
  <c r="E737" i="5"/>
  <c r="C737" i="5"/>
  <c r="B737" i="5"/>
  <c r="A737" i="5"/>
  <c r="J736" i="5"/>
  <c r="G736" i="5"/>
  <c r="E736" i="5"/>
  <c r="C736" i="5"/>
  <c r="B736" i="5"/>
  <c r="A736" i="5"/>
  <c r="J735" i="5"/>
  <c r="G735" i="5"/>
  <c r="E735" i="5"/>
  <c r="C735" i="5"/>
  <c r="B735" i="5"/>
  <c r="A735" i="5"/>
  <c r="J734" i="5"/>
  <c r="G734" i="5"/>
  <c r="E734" i="5"/>
  <c r="C734" i="5"/>
  <c r="B734" i="5"/>
  <c r="A734" i="5"/>
  <c r="J733" i="5"/>
  <c r="G733" i="5"/>
  <c r="E733" i="5"/>
  <c r="C733" i="5"/>
  <c r="B733" i="5"/>
  <c r="A733" i="5"/>
  <c r="J732" i="5"/>
  <c r="G732" i="5"/>
  <c r="E732" i="5"/>
  <c r="C732" i="5"/>
  <c r="B732" i="5"/>
  <c r="A732" i="5"/>
  <c r="J731" i="5"/>
  <c r="G731" i="5"/>
  <c r="E731" i="5"/>
  <c r="C731" i="5"/>
  <c r="B731" i="5"/>
  <c r="A731" i="5"/>
  <c r="N730" i="5"/>
  <c r="J730" i="5"/>
  <c r="G730" i="5"/>
  <c r="E730" i="5"/>
  <c r="C730" i="5"/>
  <c r="B730" i="5"/>
  <c r="A730" i="5"/>
  <c r="J729" i="5"/>
  <c r="G729" i="5"/>
  <c r="E729" i="5"/>
  <c r="C729" i="5"/>
  <c r="B729" i="5"/>
  <c r="A729" i="5"/>
  <c r="J728" i="5"/>
  <c r="G728" i="5"/>
  <c r="E728" i="5"/>
  <c r="C728" i="5"/>
  <c r="B728" i="5"/>
  <c r="A728" i="5"/>
  <c r="J727" i="5"/>
  <c r="G727" i="5"/>
  <c r="E727" i="5"/>
  <c r="C727" i="5"/>
  <c r="B727" i="5"/>
  <c r="A727" i="5"/>
  <c r="J726" i="5"/>
  <c r="G726" i="5"/>
  <c r="E726" i="5"/>
  <c r="C726" i="5"/>
  <c r="B726" i="5"/>
  <c r="A726" i="5"/>
  <c r="J725" i="5"/>
  <c r="G725" i="5"/>
  <c r="E725" i="5"/>
  <c r="C725" i="5"/>
  <c r="B725" i="5"/>
  <c r="A725" i="5"/>
  <c r="J724" i="5"/>
  <c r="G724" i="5"/>
  <c r="E724" i="5"/>
  <c r="C724" i="5"/>
  <c r="B724" i="5"/>
  <c r="A724" i="5"/>
  <c r="J723" i="5"/>
  <c r="G723" i="5"/>
  <c r="E723" i="5"/>
  <c r="C723" i="5"/>
  <c r="B723" i="5"/>
  <c r="A723" i="5"/>
  <c r="J722" i="5"/>
  <c r="G722" i="5"/>
  <c r="E722" i="5"/>
  <c r="C722" i="5"/>
  <c r="B722" i="5"/>
  <c r="A722" i="5"/>
  <c r="J721" i="5"/>
  <c r="G721" i="5"/>
  <c r="E721" i="5"/>
  <c r="C721" i="5"/>
  <c r="B721" i="5"/>
  <c r="A721" i="5"/>
  <c r="J720" i="5"/>
  <c r="G720" i="5"/>
  <c r="E720" i="5"/>
  <c r="C720" i="5"/>
  <c r="B720" i="5"/>
  <c r="A720" i="5"/>
  <c r="J719" i="5"/>
  <c r="G719" i="5"/>
  <c r="F719" i="5"/>
  <c r="E719" i="5"/>
  <c r="C719" i="5"/>
  <c r="B719" i="5"/>
  <c r="A719" i="5"/>
  <c r="J718" i="5"/>
  <c r="G718" i="5"/>
  <c r="F718" i="5"/>
  <c r="E718" i="5"/>
  <c r="C718" i="5"/>
  <c r="B718" i="5"/>
  <c r="A718" i="5"/>
  <c r="J717" i="5"/>
  <c r="G717" i="5"/>
  <c r="E717" i="5"/>
  <c r="C717" i="5"/>
  <c r="B717" i="5"/>
  <c r="A717" i="5"/>
  <c r="J716" i="5"/>
  <c r="G716" i="5"/>
  <c r="E716" i="5"/>
  <c r="C716" i="5"/>
  <c r="B716" i="5"/>
  <c r="A716" i="5"/>
  <c r="J715" i="5"/>
  <c r="G715" i="5"/>
  <c r="F715" i="5"/>
  <c r="E715" i="5"/>
  <c r="C715" i="5"/>
  <c r="B715" i="5"/>
  <c r="A715" i="5"/>
  <c r="J714" i="5"/>
  <c r="G714" i="5"/>
  <c r="F714" i="5"/>
  <c r="E714" i="5"/>
  <c r="C714" i="5"/>
  <c r="B714" i="5"/>
  <c r="A714" i="5"/>
  <c r="J713" i="5"/>
  <c r="G713" i="5"/>
  <c r="F713" i="5"/>
  <c r="E713" i="5"/>
  <c r="C713" i="5"/>
  <c r="B713" i="5"/>
  <c r="A713" i="5"/>
  <c r="J712" i="5"/>
  <c r="G712" i="5"/>
  <c r="F712" i="5"/>
  <c r="E712" i="5"/>
  <c r="C712" i="5"/>
  <c r="B712" i="5"/>
  <c r="A712" i="5"/>
  <c r="J711" i="5"/>
  <c r="G711" i="5"/>
  <c r="E711" i="5"/>
  <c r="C711" i="5"/>
  <c r="B711" i="5"/>
  <c r="A711" i="5"/>
  <c r="J710" i="5"/>
  <c r="G710" i="5"/>
  <c r="E710" i="5"/>
  <c r="C710" i="5"/>
  <c r="B710" i="5"/>
  <c r="A710" i="5"/>
  <c r="J709" i="5"/>
  <c r="G709" i="5"/>
  <c r="E709" i="5"/>
  <c r="C709" i="5"/>
  <c r="B709" i="5"/>
  <c r="A709" i="5"/>
  <c r="J708" i="5"/>
  <c r="G708" i="5"/>
  <c r="E708" i="5"/>
  <c r="C708" i="5"/>
  <c r="B708" i="5"/>
  <c r="A708" i="5"/>
  <c r="J707" i="5"/>
  <c r="G707" i="5"/>
  <c r="E707" i="5"/>
  <c r="B707" i="5"/>
  <c r="A707" i="5"/>
  <c r="J706" i="5"/>
  <c r="G706" i="5"/>
  <c r="E706" i="5"/>
  <c r="B706" i="5"/>
  <c r="A706" i="5"/>
  <c r="J705" i="5"/>
  <c r="G705" i="5"/>
  <c r="E705" i="5"/>
  <c r="B705" i="5"/>
  <c r="A705" i="5"/>
  <c r="J704" i="5"/>
  <c r="G704" i="5"/>
  <c r="E704" i="5"/>
  <c r="B704" i="5"/>
  <c r="A704" i="5"/>
  <c r="J703" i="5"/>
  <c r="G703" i="5"/>
  <c r="E703" i="5"/>
  <c r="B703" i="5"/>
  <c r="A703" i="5"/>
  <c r="J702" i="5"/>
  <c r="G702" i="5"/>
  <c r="E702" i="5"/>
  <c r="C702" i="5"/>
  <c r="B702" i="5"/>
  <c r="A702" i="5"/>
  <c r="J701" i="5"/>
  <c r="G701" i="5"/>
  <c r="E701" i="5"/>
  <c r="C701" i="5"/>
  <c r="B701" i="5"/>
  <c r="A701" i="5"/>
  <c r="J700" i="5"/>
  <c r="G700" i="5"/>
  <c r="E700" i="5"/>
  <c r="C700" i="5"/>
  <c r="B700" i="5"/>
  <c r="A700" i="5"/>
  <c r="J699" i="5"/>
  <c r="G699" i="5"/>
  <c r="E699" i="5"/>
  <c r="C699" i="5"/>
  <c r="B699" i="5"/>
  <c r="A699" i="5"/>
  <c r="J698" i="5"/>
  <c r="G698" i="5"/>
  <c r="E698" i="5"/>
  <c r="C698" i="5"/>
  <c r="B698" i="5"/>
  <c r="A698" i="5"/>
  <c r="J697" i="5"/>
  <c r="G697" i="5"/>
  <c r="E697" i="5"/>
  <c r="C697" i="5"/>
  <c r="B697" i="5"/>
  <c r="A697" i="5"/>
  <c r="J696" i="5"/>
  <c r="G696" i="5"/>
  <c r="E696" i="5"/>
  <c r="C696" i="5"/>
  <c r="B696" i="5"/>
  <c r="A696" i="5"/>
  <c r="J695" i="5"/>
  <c r="G695" i="5"/>
  <c r="E695" i="5"/>
  <c r="C695" i="5"/>
  <c r="B695" i="5"/>
  <c r="A695" i="5"/>
  <c r="J694" i="5"/>
  <c r="G694" i="5"/>
  <c r="E694" i="5"/>
  <c r="C694" i="5"/>
  <c r="B694" i="5"/>
  <c r="A694" i="5"/>
  <c r="J693" i="5"/>
  <c r="G693" i="5"/>
  <c r="F693" i="5"/>
  <c r="E693" i="5"/>
  <c r="C693" i="5"/>
  <c r="B693" i="5"/>
  <c r="A693" i="5"/>
  <c r="J692" i="5"/>
  <c r="G692" i="5"/>
  <c r="F692" i="5"/>
  <c r="E692" i="5"/>
  <c r="C692" i="5"/>
  <c r="B692" i="5"/>
  <c r="A692" i="5"/>
  <c r="J691" i="5"/>
  <c r="G691" i="5"/>
  <c r="F691" i="5"/>
  <c r="E691" i="5"/>
  <c r="C691" i="5"/>
  <c r="B691" i="5"/>
  <c r="A691" i="5"/>
  <c r="N690" i="5"/>
  <c r="J690" i="5"/>
  <c r="G690" i="5"/>
  <c r="F690" i="5"/>
  <c r="E690" i="5"/>
  <c r="C690" i="5"/>
  <c r="B690" i="5"/>
  <c r="A690" i="5"/>
  <c r="J689" i="5"/>
  <c r="G689" i="5"/>
  <c r="F689" i="5"/>
  <c r="E689" i="5"/>
  <c r="C689" i="5"/>
  <c r="B689" i="5"/>
  <c r="A689" i="5"/>
  <c r="J688" i="5"/>
  <c r="G688" i="5"/>
  <c r="F688" i="5"/>
  <c r="E688" i="5"/>
  <c r="C688" i="5"/>
  <c r="B688" i="5"/>
  <c r="A688" i="5"/>
  <c r="J687" i="5"/>
  <c r="G687" i="5"/>
  <c r="F687" i="5"/>
  <c r="E687" i="5"/>
  <c r="C687" i="5"/>
  <c r="B687" i="5"/>
  <c r="A687" i="5"/>
  <c r="J686" i="5"/>
  <c r="G686" i="5"/>
  <c r="F686" i="5"/>
  <c r="E686" i="5"/>
  <c r="C686" i="5"/>
  <c r="B686" i="5"/>
  <c r="A686" i="5"/>
  <c r="J685" i="5"/>
  <c r="G685" i="5"/>
  <c r="F685" i="5"/>
  <c r="E685" i="5"/>
  <c r="C685" i="5"/>
  <c r="B685" i="5"/>
  <c r="A685" i="5"/>
  <c r="J684" i="5"/>
  <c r="G684" i="5"/>
  <c r="F684" i="5"/>
  <c r="E684" i="5"/>
  <c r="C684" i="5"/>
  <c r="B684" i="5"/>
  <c r="A684" i="5"/>
  <c r="J683" i="5"/>
  <c r="G683" i="5"/>
  <c r="F683" i="5"/>
  <c r="E683" i="5"/>
  <c r="C683" i="5"/>
  <c r="B683" i="5"/>
  <c r="A683" i="5"/>
  <c r="J682" i="5"/>
  <c r="G682" i="5"/>
  <c r="E682" i="5"/>
  <c r="C682" i="5"/>
  <c r="B682" i="5"/>
  <c r="A682" i="5"/>
  <c r="J681" i="5"/>
  <c r="G681" i="5"/>
  <c r="E681" i="5"/>
  <c r="C681" i="5"/>
  <c r="B681" i="5"/>
  <c r="A681" i="5"/>
  <c r="J680" i="5"/>
  <c r="G680" i="5"/>
  <c r="E680" i="5"/>
  <c r="C680" i="5"/>
  <c r="B680" i="5"/>
  <c r="A680" i="5"/>
  <c r="J679" i="5"/>
  <c r="G679" i="5"/>
  <c r="E679" i="5"/>
  <c r="C679" i="5"/>
  <c r="B679" i="5"/>
  <c r="A679" i="5"/>
  <c r="J678" i="5"/>
  <c r="G678" i="5"/>
  <c r="E678" i="5"/>
  <c r="C678" i="5"/>
  <c r="B678" i="5"/>
  <c r="A678" i="5"/>
  <c r="J677" i="5"/>
  <c r="G677" i="5"/>
  <c r="E677" i="5"/>
  <c r="C677" i="5"/>
  <c r="B677" i="5"/>
  <c r="A677" i="5"/>
  <c r="J676" i="5"/>
  <c r="G676" i="5"/>
  <c r="E676" i="5"/>
  <c r="C676" i="5"/>
  <c r="B676" i="5"/>
  <c r="A676" i="5"/>
  <c r="J675" i="5"/>
  <c r="G675" i="5"/>
  <c r="E675" i="5"/>
  <c r="C675" i="5"/>
  <c r="B675" i="5"/>
  <c r="A675" i="5"/>
  <c r="J674" i="5"/>
  <c r="G674" i="5"/>
  <c r="E674" i="5"/>
  <c r="C674" i="5"/>
  <c r="B674" i="5"/>
  <c r="A674" i="5"/>
  <c r="J673" i="5"/>
  <c r="G673" i="5"/>
  <c r="E673" i="5"/>
  <c r="C673" i="5"/>
  <c r="B673" i="5"/>
  <c r="A673" i="5"/>
  <c r="J672" i="5"/>
  <c r="G672" i="5"/>
  <c r="E672" i="5"/>
  <c r="C672" i="5"/>
  <c r="B672" i="5"/>
  <c r="A672" i="5"/>
  <c r="J671" i="5"/>
  <c r="G671" i="5"/>
  <c r="E671" i="5"/>
  <c r="C671" i="5"/>
  <c r="B671" i="5"/>
  <c r="A671" i="5"/>
  <c r="J670" i="5"/>
  <c r="G670" i="5"/>
  <c r="E670" i="5"/>
  <c r="C670" i="5"/>
  <c r="B670" i="5"/>
  <c r="A670" i="5"/>
  <c r="J669" i="5"/>
  <c r="G669" i="5"/>
  <c r="E669" i="5"/>
  <c r="C669" i="5"/>
  <c r="B669" i="5"/>
  <c r="A669" i="5"/>
  <c r="J668" i="5"/>
  <c r="G668" i="5"/>
  <c r="E668" i="5"/>
  <c r="C668" i="5"/>
  <c r="B668" i="5"/>
  <c r="A668" i="5"/>
  <c r="N667" i="5"/>
  <c r="J667" i="5"/>
  <c r="G667" i="5"/>
  <c r="F667" i="5"/>
  <c r="E667" i="5"/>
  <c r="C667" i="5"/>
  <c r="B667" i="5"/>
  <c r="A667" i="5"/>
  <c r="J666" i="5"/>
  <c r="G666" i="5"/>
  <c r="F666" i="5"/>
  <c r="E666" i="5"/>
  <c r="C666" i="5"/>
  <c r="B666" i="5"/>
  <c r="A666" i="5"/>
  <c r="J665" i="5"/>
  <c r="G665" i="5"/>
  <c r="F665" i="5"/>
  <c r="E665" i="5"/>
  <c r="C665" i="5"/>
  <c r="B665" i="5"/>
  <c r="A665" i="5"/>
  <c r="J664" i="5"/>
  <c r="E664" i="5"/>
  <c r="C664" i="5"/>
  <c r="B664" i="5"/>
  <c r="A664" i="5"/>
  <c r="J663" i="5"/>
  <c r="E663" i="5"/>
  <c r="C663" i="5"/>
  <c r="B663" i="5"/>
  <c r="A663" i="5"/>
  <c r="J662" i="5"/>
  <c r="G662" i="5"/>
  <c r="E662" i="5"/>
  <c r="C662" i="5"/>
  <c r="B662" i="5"/>
  <c r="A662" i="5"/>
  <c r="J661" i="5"/>
  <c r="G661" i="5"/>
  <c r="E661" i="5"/>
  <c r="C661" i="5"/>
  <c r="B661" i="5"/>
  <c r="A661" i="5"/>
  <c r="J660" i="5"/>
  <c r="G660" i="5"/>
  <c r="E660" i="5"/>
  <c r="C660" i="5"/>
  <c r="B660" i="5"/>
  <c r="A660" i="5"/>
  <c r="J659" i="5"/>
  <c r="G659" i="5"/>
  <c r="E659" i="5"/>
  <c r="C659" i="5"/>
  <c r="B659" i="5"/>
  <c r="A659" i="5"/>
  <c r="N658" i="5"/>
  <c r="J658" i="5"/>
  <c r="G658" i="5"/>
  <c r="E658" i="5"/>
  <c r="C658" i="5"/>
  <c r="B658" i="5"/>
  <c r="A658" i="5"/>
  <c r="J657" i="5"/>
  <c r="G657" i="5"/>
  <c r="E657" i="5"/>
  <c r="C657" i="5"/>
  <c r="B657" i="5"/>
  <c r="A657" i="5"/>
  <c r="J656" i="5"/>
  <c r="G656" i="5"/>
  <c r="E656" i="5"/>
  <c r="C656" i="5"/>
  <c r="B656" i="5"/>
  <c r="A656" i="5"/>
  <c r="J655" i="5"/>
  <c r="G655" i="5"/>
  <c r="E655" i="5"/>
  <c r="C655" i="5"/>
  <c r="B655" i="5"/>
  <c r="A655" i="5"/>
  <c r="J654" i="5"/>
  <c r="G654" i="5"/>
  <c r="E654" i="5"/>
  <c r="C654" i="5"/>
  <c r="B654" i="5"/>
  <c r="A654" i="5"/>
  <c r="J653" i="5"/>
  <c r="G653" i="5"/>
  <c r="E653" i="5"/>
  <c r="C653" i="5"/>
  <c r="B653" i="5"/>
  <c r="A653" i="5"/>
  <c r="J652" i="5"/>
  <c r="G652" i="5"/>
  <c r="E652" i="5"/>
  <c r="C652" i="5"/>
  <c r="B652" i="5"/>
  <c r="A652" i="5"/>
  <c r="J651" i="5"/>
  <c r="G651" i="5"/>
  <c r="C651" i="5"/>
  <c r="B651" i="5"/>
  <c r="A651" i="5"/>
  <c r="J650" i="5"/>
  <c r="G650" i="5"/>
  <c r="C650" i="5"/>
  <c r="B650" i="5"/>
  <c r="A650" i="5"/>
  <c r="J649" i="5"/>
  <c r="G649" i="5"/>
  <c r="E649" i="5"/>
  <c r="C649" i="5"/>
  <c r="B649" i="5"/>
  <c r="A649" i="5"/>
  <c r="J648" i="5"/>
  <c r="G648" i="5"/>
  <c r="E648" i="5"/>
  <c r="B648" i="5"/>
  <c r="A648" i="5"/>
  <c r="J647" i="5"/>
  <c r="G647" i="5"/>
  <c r="E647" i="5"/>
  <c r="C647" i="5"/>
  <c r="B647" i="5"/>
  <c r="A647" i="5"/>
  <c r="J646" i="5"/>
  <c r="G646" i="5"/>
  <c r="E646" i="5"/>
  <c r="B646" i="5"/>
  <c r="A646" i="5"/>
  <c r="J645" i="5"/>
  <c r="G645" i="5"/>
  <c r="E645" i="5"/>
  <c r="C645" i="5"/>
  <c r="B645" i="5"/>
  <c r="A645" i="5"/>
  <c r="J644" i="5"/>
  <c r="G644" i="5"/>
  <c r="E644" i="5"/>
  <c r="C644" i="5"/>
  <c r="B644" i="5"/>
  <c r="A644" i="5"/>
  <c r="J643" i="5"/>
  <c r="G643" i="5"/>
  <c r="E643" i="5"/>
  <c r="C643" i="5"/>
  <c r="B643" i="5"/>
  <c r="A643" i="5"/>
  <c r="J642" i="5"/>
  <c r="G642" i="5"/>
  <c r="E642" i="5"/>
  <c r="C642" i="5"/>
  <c r="B642" i="5"/>
  <c r="A642" i="5"/>
  <c r="J641" i="5"/>
  <c r="G641" i="5"/>
  <c r="E641" i="5"/>
  <c r="C641" i="5"/>
  <c r="B641" i="5"/>
  <c r="A641" i="5"/>
  <c r="J640" i="5"/>
  <c r="G640" i="5"/>
  <c r="E640" i="5"/>
  <c r="C640" i="5"/>
  <c r="B640" i="5"/>
  <c r="A640" i="5"/>
  <c r="J639" i="5"/>
  <c r="G639" i="5"/>
  <c r="E639" i="5"/>
  <c r="C639" i="5"/>
  <c r="B639" i="5"/>
  <c r="A639" i="5"/>
  <c r="J638" i="5"/>
  <c r="G638" i="5"/>
  <c r="F638" i="5"/>
  <c r="E638" i="5"/>
  <c r="B638" i="5"/>
  <c r="A638" i="5"/>
  <c r="J637" i="5"/>
  <c r="G637" i="5"/>
  <c r="F637" i="5"/>
  <c r="E637" i="5"/>
  <c r="B637" i="5"/>
  <c r="A637" i="5"/>
  <c r="J636" i="5"/>
  <c r="G636" i="5"/>
  <c r="E636" i="5"/>
  <c r="C636" i="5"/>
  <c r="B636" i="5"/>
  <c r="A636" i="5"/>
  <c r="J635" i="5"/>
  <c r="G635" i="5"/>
  <c r="E635" i="5"/>
  <c r="C635" i="5"/>
  <c r="B635" i="5"/>
  <c r="A635" i="5"/>
  <c r="J634" i="5"/>
  <c r="G634" i="5"/>
  <c r="E634" i="5"/>
  <c r="C634" i="5"/>
  <c r="B634" i="5"/>
  <c r="A634" i="5"/>
  <c r="J633" i="5"/>
  <c r="G633" i="5"/>
  <c r="E633" i="5"/>
  <c r="C633" i="5"/>
  <c r="B633" i="5"/>
  <c r="A633" i="5"/>
  <c r="J632" i="5"/>
  <c r="G632" i="5"/>
  <c r="E632" i="5"/>
  <c r="C632" i="5"/>
  <c r="B632" i="5"/>
  <c r="A632" i="5"/>
  <c r="J631" i="5"/>
  <c r="G631" i="5"/>
  <c r="E631" i="5"/>
  <c r="C631" i="5"/>
  <c r="B631" i="5"/>
  <c r="A631" i="5"/>
  <c r="J630" i="5"/>
  <c r="G630" i="5"/>
  <c r="E630" i="5"/>
  <c r="C630" i="5"/>
  <c r="B630" i="5"/>
  <c r="A630" i="5"/>
  <c r="N629" i="5"/>
  <c r="J629" i="5"/>
  <c r="G629" i="5"/>
  <c r="E629" i="5"/>
  <c r="C629" i="5"/>
  <c r="B629" i="5"/>
  <c r="A629" i="5"/>
  <c r="J628" i="5"/>
  <c r="G628" i="5"/>
  <c r="E628" i="5"/>
  <c r="C628" i="5"/>
  <c r="B628" i="5"/>
  <c r="A628" i="5"/>
  <c r="J627" i="5"/>
  <c r="G627" i="5"/>
  <c r="E627" i="5"/>
  <c r="C627" i="5"/>
  <c r="B627" i="5"/>
  <c r="A627" i="5"/>
  <c r="J626" i="5"/>
  <c r="G626" i="5"/>
  <c r="E626" i="5"/>
  <c r="C626" i="5"/>
  <c r="B626" i="5"/>
  <c r="A626" i="5"/>
  <c r="N625" i="5"/>
  <c r="J625" i="5"/>
  <c r="G625" i="5"/>
  <c r="E625" i="5"/>
  <c r="C625" i="5"/>
  <c r="B625" i="5"/>
  <c r="A625" i="5"/>
  <c r="J624" i="5"/>
  <c r="G624" i="5"/>
  <c r="E624" i="5"/>
  <c r="C624" i="5"/>
  <c r="B624" i="5"/>
  <c r="A624" i="5"/>
  <c r="J623" i="5"/>
  <c r="G623" i="5"/>
  <c r="E623" i="5"/>
  <c r="C623" i="5"/>
  <c r="B623" i="5"/>
  <c r="A623" i="5"/>
  <c r="J622" i="5"/>
  <c r="G622" i="5"/>
  <c r="E622" i="5"/>
  <c r="C622" i="5"/>
  <c r="B622" i="5"/>
  <c r="A622" i="5"/>
  <c r="N621" i="5"/>
  <c r="J621" i="5"/>
  <c r="G621" i="5"/>
  <c r="E621" i="5"/>
  <c r="C621" i="5"/>
  <c r="B621" i="5"/>
  <c r="A621" i="5"/>
  <c r="J620" i="5"/>
  <c r="G620" i="5"/>
  <c r="E620" i="5"/>
  <c r="C620" i="5"/>
  <c r="B620" i="5"/>
  <c r="A620" i="5"/>
  <c r="J619" i="5"/>
  <c r="G619" i="5"/>
  <c r="E619" i="5"/>
  <c r="C619" i="5"/>
  <c r="B619" i="5"/>
  <c r="A619" i="5"/>
  <c r="J618" i="5"/>
  <c r="G618" i="5"/>
  <c r="E618" i="5"/>
  <c r="C618" i="5"/>
  <c r="B618" i="5"/>
  <c r="A618" i="5"/>
  <c r="J617" i="5"/>
  <c r="G617" i="5"/>
  <c r="E617" i="5"/>
  <c r="C617" i="5"/>
  <c r="B617" i="5"/>
  <c r="A617" i="5"/>
  <c r="J616" i="5"/>
  <c r="E616" i="5"/>
  <c r="C616" i="5"/>
  <c r="B616" i="5"/>
  <c r="A616" i="5"/>
  <c r="J615" i="5"/>
  <c r="G615" i="5"/>
  <c r="E615" i="5"/>
  <c r="C615" i="5"/>
  <c r="B615" i="5"/>
  <c r="A615" i="5"/>
  <c r="J614" i="5"/>
  <c r="G614" i="5"/>
  <c r="E614" i="5"/>
  <c r="C614" i="5"/>
  <c r="B614" i="5"/>
  <c r="A614" i="5"/>
  <c r="J613" i="5"/>
  <c r="G613" i="5"/>
  <c r="E613" i="5"/>
  <c r="C613" i="5"/>
  <c r="B613" i="5"/>
  <c r="A613" i="5"/>
  <c r="J612" i="5"/>
  <c r="G612" i="5"/>
  <c r="E612" i="5"/>
  <c r="C612" i="5"/>
  <c r="B612" i="5"/>
  <c r="A612" i="5"/>
  <c r="J611" i="5"/>
  <c r="G611" i="5"/>
  <c r="E611" i="5"/>
  <c r="B611" i="5"/>
  <c r="A611" i="5"/>
  <c r="J610" i="5"/>
  <c r="G610" i="5"/>
  <c r="E610" i="5"/>
  <c r="C610" i="5"/>
  <c r="B610" i="5"/>
  <c r="A610" i="5"/>
  <c r="J609" i="5"/>
  <c r="G609" i="5"/>
  <c r="F609" i="5"/>
  <c r="E609" i="5"/>
  <c r="C609" i="5"/>
  <c r="B609" i="5"/>
  <c r="A609" i="5"/>
  <c r="J608" i="5"/>
  <c r="E608" i="5"/>
  <c r="C608" i="5"/>
  <c r="B608" i="5"/>
  <c r="A608" i="5"/>
  <c r="J607" i="5"/>
  <c r="G607" i="5"/>
  <c r="F607" i="5"/>
  <c r="E607" i="5"/>
  <c r="C607" i="5"/>
  <c r="B607" i="5"/>
  <c r="A607" i="5"/>
  <c r="J606" i="5"/>
  <c r="G606" i="5"/>
  <c r="F606" i="5"/>
  <c r="E606" i="5"/>
  <c r="C606" i="5"/>
  <c r="B606" i="5"/>
  <c r="A606" i="5"/>
  <c r="J605" i="5"/>
  <c r="G605" i="5"/>
  <c r="E605" i="5"/>
  <c r="C605" i="5"/>
  <c r="B605" i="5"/>
  <c r="A605" i="5"/>
  <c r="J604" i="5"/>
  <c r="G604" i="5"/>
  <c r="E604" i="5"/>
  <c r="C604" i="5"/>
  <c r="B604" i="5"/>
  <c r="A604" i="5"/>
  <c r="J603" i="5"/>
  <c r="G603" i="5"/>
  <c r="E603" i="5"/>
  <c r="C603" i="5"/>
  <c r="B603" i="5"/>
  <c r="A603" i="5"/>
  <c r="J602" i="5"/>
  <c r="G602" i="5"/>
  <c r="E602" i="5"/>
  <c r="C602" i="5"/>
  <c r="B602" i="5"/>
  <c r="A602" i="5"/>
  <c r="J601" i="5"/>
  <c r="G601" i="5"/>
  <c r="E601" i="5"/>
  <c r="C601" i="5"/>
  <c r="B601" i="5"/>
  <c r="A601" i="5"/>
  <c r="J600" i="5"/>
  <c r="G600" i="5"/>
  <c r="E600" i="5"/>
  <c r="C600" i="5"/>
  <c r="B600" i="5"/>
  <c r="A600" i="5"/>
  <c r="J599" i="5"/>
  <c r="G599" i="5"/>
  <c r="F599" i="5"/>
  <c r="E599" i="5"/>
  <c r="C599" i="5"/>
  <c r="B599" i="5"/>
  <c r="A599" i="5"/>
  <c r="J598" i="5"/>
  <c r="G598" i="5"/>
  <c r="E598" i="5"/>
  <c r="C598" i="5"/>
  <c r="B598" i="5"/>
  <c r="A598" i="5"/>
  <c r="J597" i="5"/>
  <c r="G597" i="5"/>
  <c r="E597" i="5"/>
  <c r="C597" i="5"/>
  <c r="B597" i="5"/>
  <c r="A597" i="5"/>
  <c r="J596" i="5"/>
  <c r="G596" i="5"/>
  <c r="E596" i="5"/>
  <c r="C596" i="5"/>
  <c r="B596" i="5"/>
  <c r="A596" i="5"/>
  <c r="J595" i="5"/>
  <c r="G595" i="5"/>
  <c r="E595" i="5"/>
  <c r="C595" i="5"/>
  <c r="B595" i="5"/>
  <c r="A595" i="5"/>
  <c r="J594" i="5"/>
  <c r="G594" i="5"/>
  <c r="E594" i="5"/>
  <c r="C594" i="5"/>
  <c r="B594" i="5"/>
  <c r="A594" i="5"/>
  <c r="J593" i="5"/>
  <c r="G593" i="5"/>
  <c r="E593" i="5"/>
  <c r="B593" i="5"/>
  <c r="A593" i="5"/>
  <c r="J592" i="5"/>
  <c r="G592" i="5"/>
  <c r="E592" i="5"/>
  <c r="C592" i="5"/>
  <c r="B592" i="5"/>
  <c r="A592" i="5"/>
  <c r="J591" i="5"/>
  <c r="G591" i="5"/>
  <c r="E591" i="5"/>
  <c r="C591" i="5"/>
  <c r="B591" i="5"/>
  <c r="A591" i="5"/>
  <c r="J590" i="5"/>
  <c r="G590" i="5"/>
  <c r="E590" i="5"/>
  <c r="C590" i="5"/>
  <c r="B590" i="5"/>
  <c r="A590" i="5"/>
  <c r="J589" i="5"/>
  <c r="G589" i="5"/>
  <c r="E589" i="5"/>
  <c r="C589" i="5"/>
  <c r="B589" i="5"/>
  <c r="A589" i="5"/>
  <c r="J588" i="5"/>
  <c r="G588" i="5"/>
  <c r="E588" i="5"/>
  <c r="C588" i="5"/>
  <c r="B588" i="5"/>
  <c r="A588" i="5"/>
  <c r="J587" i="5"/>
  <c r="G587" i="5"/>
  <c r="E587" i="5"/>
  <c r="C587" i="5"/>
  <c r="B587" i="5"/>
  <c r="A587" i="5"/>
  <c r="J586" i="5"/>
  <c r="G586" i="5"/>
  <c r="E586" i="5"/>
  <c r="C586" i="5"/>
  <c r="B586" i="5"/>
  <c r="A586" i="5"/>
  <c r="J585" i="5"/>
  <c r="G585" i="5"/>
  <c r="E585" i="5"/>
  <c r="C585" i="5"/>
  <c r="B585" i="5"/>
  <c r="A585" i="5"/>
  <c r="J584" i="5"/>
  <c r="G584" i="5"/>
  <c r="E584" i="5"/>
  <c r="C584" i="5"/>
  <c r="B584" i="5"/>
  <c r="A584" i="5"/>
  <c r="J583" i="5"/>
  <c r="G583" i="5"/>
  <c r="E583" i="5"/>
  <c r="C583" i="5"/>
  <c r="B583" i="5"/>
  <c r="A583" i="5"/>
  <c r="J582" i="5"/>
  <c r="G582" i="5"/>
  <c r="E582" i="5"/>
  <c r="C582" i="5"/>
  <c r="B582" i="5"/>
  <c r="A582" i="5"/>
  <c r="J581" i="5"/>
  <c r="G581" i="5"/>
  <c r="E581" i="5"/>
  <c r="C581" i="5"/>
  <c r="B581" i="5"/>
  <c r="A581" i="5"/>
  <c r="J580" i="5"/>
  <c r="G580" i="5"/>
  <c r="E580" i="5"/>
  <c r="C580" i="5"/>
  <c r="B580" i="5"/>
  <c r="A580" i="5"/>
  <c r="J579" i="5"/>
  <c r="G579" i="5"/>
  <c r="E579" i="5"/>
  <c r="C579" i="5"/>
  <c r="B579" i="5"/>
  <c r="A579" i="5"/>
  <c r="J578" i="5"/>
  <c r="E578" i="5"/>
  <c r="C578" i="5"/>
  <c r="B578" i="5"/>
  <c r="A578" i="5"/>
  <c r="J577" i="5"/>
  <c r="G577" i="5"/>
  <c r="F577" i="5"/>
  <c r="E577" i="5"/>
  <c r="C577" i="5"/>
  <c r="B577" i="5"/>
  <c r="A577" i="5"/>
  <c r="J576" i="5"/>
  <c r="F576" i="5"/>
  <c r="E576" i="5"/>
  <c r="C576" i="5"/>
  <c r="B576" i="5"/>
  <c r="A576" i="5"/>
  <c r="J575" i="5"/>
  <c r="F575" i="5"/>
  <c r="E575" i="5"/>
  <c r="C575" i="5"/>
  <c r="B575" i="5"/>
  <c r="A575" i="5"/>
  <c r="J574" i="5"/>
  <c r="G574" i="5"/>
  <c r="E574" i="5"/>
  <c r="C574" i="5"/>
  <c r="B574" i="5"/>
  <c r="A574" i="5"/>
  <c r="J573" i="5"/>
  <c r="F573" i="5"/>
  <c r="E573" i="5"/>
  <c r="C573" i="5"/>
  <c r="B573" i="5"/>
  <c r="A573" i="5"/>
  <c r="J572" i="5"/>
  <c r="G572" i="5"/>
  <c r="E572" i="5"/>
  <c r="C572" i="5"/>
  <c r="B572" i="5"/>
  <c r="A572" i="5"/>
  <c r="J571" i="5"/>
  <c r="G571" i="5"/>
  <c r="E571" i="5"/>
  <c r="C571" i="5"/>
  <c r="B571" i="5"/>
  <c r="A571" i="5"/>
  <c r="J570" i="5"/>
  <c r="G570" i="5"/>
  <c r="E570" i="5"/>
  <c r="C570" i="5"/>
  <c r="B570" i="5"/>
  <c r="A570" i="5"/>
  <c r="J569" i="5"/>
  <c r="F569" i="5"/>
  <c r="E569" i="5"/>
  <c r="C569" i="5"/>
  <c r="B569" i="5"/>
  <c r="A569" i="5"/>
  <c r="J568" i="5"/>
  <c r="G568" i="5"/>
  <c r="E568" i="5"/>
  <c r="C568" i="5"/>
  <c r="B568" i="5"/>
  <c r="A568" i="5"/>
  <c r="J567" i="5"/>
  <c r="G567" i="5"/>
  <c r="E567" i="5"/>
  <c r="C567" i="5"/>
  <c r="B567" i="5"/>
  <c r="A567" i="5"/>
  <c r="J566" i="5"/>
  <c r="G566" i="5"/>
  <c r="E566" i="5"/>
  <c r="B566" i="5"/>
  <c r="A566" i="5"/>
  <c r="J565" i="5"/>
  <c r="G565" i="5"/>
  <c r="E565" i="5"/>
  <c r="C565" i="5"/>
  <c r="B565" i="5"/>
  <c r="A565" i="5"/>
  <c r="J564" i="5"/>
  <c r="G564" i="5"/>
  <c r="E564" i="5"/>
  <c r="C564" i="5"/>
  <c r="B564" i="5"/>
  <c r="A564" i="5"/>
  <c r="J563" i="5"/>
  <c r="G563" i="5"/>
  <c r="E563" i="5"/>
  <c r="C563" i="5"/>
  <c r="B563" i="5"/>
  <c r="A563" i="5"/>
  <c r="J562" i="5"/>
  <c r="G562" i="5"/>
  <c r="E562" i="5"/>
  <c r="C562" i="5"/>
  <c r="B562" i="5"/>
  <c r="A562" i="5"/>
  <c r="J561" i="5"/>
  <c r="G561" i="5"/>
  <c r="E561" i="5"/>
  <c r="C561" i="5"/>
  <c r="B561" i="5"/>
  <c r="A561" i="5"/>
  <c r="J560" i="5"/>
  <c r="G560" i="5"/>
  <c r="E560" i="5"/>
  <c r="C560" i="5"/>
  <c r="B560" i="5"/>
  <c r="A560" i="5"/>
  <c r="J559" i="5"/>
  <c r="G559" i="5"/>
  <c r="E559" i="5"/>
  <c r="C559" i="5"/>
  <c r="B559" i="5"/>
  <c r="A559" i="5"/>
  <c r="J558" i="5"/>
  <c r="G558" i="5"/>
  <c r="E558" i="5"/>
  <c r="C558" i="5"/>
  <c r="B558" i="5"/>
  <c r="A558" i="5"/>
  <c r="J557" i="5"/>
  <c r="G557" i="5"/>
  <c r="E557" i="5"/>
  <c r="C557" i="5"/>
  <c r="B557" i="5"/>
  <c r="A557" i="5"/>
  <c r="J556" i="5"/>
  <c r="G556" i="5"/>
  <c r="E556" i="5"/>
  <c r="C556" i="5"/>
  <c r="B556" i="5"/>
  <c r="A556" i="5"/>
  <c r="J555" i="5"/>
  <c r="G555" i="5"/>
  <c r="E555" i="5"/>
  <c r="C555" i="5"/>
  <c r="B555" i="5"/>
  <c r="A555" i="5"/>
  <c r="J554" i="5"/>
  <c r="G554" i="5"/>
  <c r="E554" i="5"/>
  <c r="C554" i="5"/>
  <c r="B554" i="5"/>
  <c r="A554" i="5"/>
  <c r="J553" i="5"/>
  <c r="G553" i="5"/>
  <c r="E553" i="5"/>
  <c r="C553" i="5"/>
  <c r="B553" i="5"/>
  <c r="A553" i="5"/>
  <c r="J552" i="5"/>
  <c r="G552" i="5"/>
  <c r="E552" i="5"/>
  <c r="C552" i="5"/>
  <c r="B552" i="5"/>
  <c r="A552" i="5"/>
  <c r="J551" i="5"/>
  <c r="G551" i="5"/>
  <c r="E551" i="5"/>
  <c r="C551" i="5"/>
  <c r="B551" i="5"/>
  <c r="A551" i="5"/>
  <c r="J550" i="5"/>
  <c r="G550" i="5"/>
  <c r="F550" i="5"/>
  <c r="E550" i="5"/>
  <c r="C550" i="5"/>
  <c r="B550" i="5"/>
  <c r="A550" i="5"/>
  <c r="J549" i="5"/>
  <c r="E549" i="5"/>
  <c r="C549" i="5"/>
  <c r="B549" i="5"/>
  <c r="A549" i="5"/>
  <c r="J548" i="5"/>
  <c r="G548" i="5"/>
  <c r="E548" i="5"/>
  <c r="C548" i="5"/>
  <c r="B548" i="5"/>
  <c r="A548" i="5"/>
  <c r="J547" i="5"/>
  <c r="G547" i="5"/>
  <c r="F547" i="5"/>
  <c r="E547" i="5"/>
  <c r="C547" i="5"/>
  <c r="B547" i="5"/>
  <c r="A547" i="5"/>
  <c r="J546" i="5"/>
  <c r="G546" i="5"/>
  <c r="E546" i="5"/>
  <c r="C546" i="5"/>
  <c r="B546" i="5"/>
  <c r="A546" i="5"/>
  <c r="J545" i="5"/>
  <c r="G545" i="5"/>
  <c r="E545" i="5"/>
  <c r="C545" i="5"/>
  <c r="B545" i="5"/>
  <c r="A545" i="5"/>
  <c r="J544" i="5"/>
  <c r="G544" i="5"/>
  <c r="E544" i="5"/>
  <c r="C544" i="5"/>
  <c r="B544" i="5"/>
  <c r="A544" i="5"/>
  <c r="J543" i="5"/>
  <c r="G543" i="5"/>
  <c r="E543" i="5"/>
  <c r="C543" i="5"/>
  <c r="B543" i="5"/>
  <c r="A543" i="5"/>
  <c r="J542" i="5"/>
  <c r="G542" i="5"/>
  <c r="F542" i="5"/>
  <c r="E542" i="5"/>
  <c r="C542" i="5"/>
  <c r="B542" i="5"/>
  <c r="A542" i="5"/>
  <c r="J541" i="5"/>
  <c r="G541" i="5"/>
  <c r="F541" i="5"/>
  <c r="E541" i="5"/>
  <c r="C541" i="5"/>
  <c r="B541" i="5"/>
  <c r="A541" i="5"/>
  <c r="J540" i="5"/>
  <c r="G540" i="5"/>
  <c r="F540" i="5"/>
  <c r="E540" i="5"/>
  <c r="C540" i="5"/>
  <c r="B540" i="5"/>
  <c r="A540" i="5"/>
  <c r="J539" i="5"/>
  <c r="G539" i="5"/>
  <c r="F539" i="5"/>
  <c r="E539" i="5"/>
  <c r="C539" i="5"/>
  <c r="B539" i="5"/>
  <c r="A539" i="5"/>
  <c r="J538" i="5"/>
  <c r="G538" i="5"/>
  <c r="E538" i="5"/>
  <c r="C538" i="5"/>
  <c r="B538" i="5"/>
  <c r="A538" i="5"/>
  <c r="J537" i="5"/>
  <c r="G537" i="5"/>
  <c r="E537" i="5"/>
  <c r="C537" i="5"/>
  <c r="B537" i="5"/>
  <c r="A537" i="5"/>
  <c r="J536" i="5"/>
  <c r="G536" i="5"/>
  <c r="E536" i="5"/>
  <c r="C536" i="5"/>
  <c r="B536" i="5"/>
  <c r="A536" i="5"/>
  <c r="J535" i="5"/>
  <c r="G535" i="5"/>
  <c r="E535" i="5"/>
  <c r="C535" i="5"/>
  <c r="B535" i="5"/>
  <c r="A535" i="5"/>
  <c r="J534" i="5"/>
  <c r="G534" i="5"/>
  <c r="E534" i="5"/>
  <c r="C534" i="5"/>
  <c r="B534" i="5"/>
  <c r="A534" i="5"/>
  <c r="J533" i="5"/>
  <c r="G533" i="5"/>
  <c r="E533" i="5"/>
  <c r="C533" i="5"/>
  <c r="B533" i="5"/>
  <c r="A533" i="5"/>
  <c r="J532" i="5"/>
  <c r="G532" i="5"/>
  <c r="F532" i="5"/>
  <c r="E532" i="5"/>
  <c r="C532" i="5"/>
  <c r="B532" i="5"/>
  <c r="A532" i="5"/>
  <c r="J531" i="5"/>
  <c r="G531" i="5"/>
  <c r="F531" i="5"/>
  <c r="E531" i="5"/>
  <c r="C531" i="5"/>
  <c r="B531" i="5"/>
  <c r="A531" i="5"/>
  <c r="J530" i="5"/>
  <c r="G530" i="5"/>
  <c r="F530" i="5"/>
  <c r="E530" i="5"/>
  <c r="C530" i="5"/>
  <c r="B530" i="5"/>
  <c r="A530" i="5"/>
  <c r="J529" i="5"/>
  <c r="G529" i="5"/>
  <c r="F529" i="5"/>
  <c r="E529" i="5"/>
  <c r="C529" i="5"/>
  <c r="B529" i="5"/>
  <c r="A529" i="5"/>
  <c r="J528" i="5"/>
  <c r="G528" i="5"/>
  <c r="E528" i="5"/>
  <c r="C528" i="5"/>
  <c r="B528" i="5"/>
  <c r="A528" i="5"/>
  <c r="J527" i="5"/>
  <c r="G527" i="5"/>
  <c r="E527" i="5"/>
  <c r="C527" i="5"/>
  <c r="B527" i="5"/>
  <c r="A527" i="5"/>
  <c r="N526" i="5"/>
  <c r="J526" i="5"/>
  <c r="G526" i="5"/>
  <c r="E526" i="5"/>
  <c r="C526" i="5"/>
  <c r="B526" i="5"/>
  <c r="A526" i="5"/>
  <c r="N525" i="5"/>
  <c r="J525" i="5"/>
  <c r="G525" i="5"/>
  <c r="E525" i="5"/>
  <c r="C525" i="5"/>
  <c r="B525" i="5"/>
  <c r="A525" i="5"/>
  <c r="J524" i="5"/>
  <c r="G524" i="5"/>
  <c r="E524" i="5"/>
  <c r="C524" i="5"/>
  <c r="B524" i="5"/>
  <c r="A524" i="5"/>
  <c r="J523" i="5"/>
  <c r="G523" i="5"/>
  <c r="F523" i="5"/>
  <c r="E523" i="5"/>
  <c r="C523" i="5"/>
  <c r="B523" i="5"/>
  <c r="A523" i="5"/>
  <c r="J522" i="5"/>
  <c r="G522" i="5"/>
  <c r="F522" i="5"/>
  <c r="E522" i="5"/>
  <c r="C522" i="5"/>
  <c r="B522" i="5"/>
  <c r="A522" i="5"/>
  <c r="J521" i="5"/>
  <c r="G521" i="5"/>
  <c r="F521" i="5"/>
  <c r="E521" i="5"/>
  <c r="C521" i="5"/>
  <c r="B521" i="5"/>
  <c r="A521" i="5"/>
  <c r="J520" i="5"/>
  <c r="G520" i="5"/>
  <c r="E520" i="5"/>
  <c r="C520" i="5"/>
  <c r="B520" i="5"/>
  <c r="A520" i="5"/>
  <c r="J519" i="5"/>
  <c r="G519" i="5"/>
  <c r="E519" i="5"/>
  <c r="C519" i="5"/>
  <c r="B519" i="5"/>
  <c r="A519" i="5"/>
  <c r="J518" i="5"/>
  <c r="G518" i="5"/>
  <c r="F518" i="5"/>
  <c r="E518" i="5"/>
  <c r="C518" i="5"/>
  <c r="B518" i="5"/>
  <c r="A518" i="5"/>
  <c r="J517" i="5"/>
  <c r="G517" i="5"/>
  <c r="E517" i="5"/>
  <c r="C517" i="5"/>
  <c r="B517" i="5"/>
  <c r="A517" i="5"/>
  <c r="J516" i="5"/>
  <c r="G516" i="5"/>
  <c r="E516" i="5"/>
  <c r="C516" i="5"/>
  <c r="B516" i="5"/>
  <c r="A516" i="5"/>
  <c r="J515" i="5"/>
  <c r="G515" i="5"/>
  <c r="F515" i="5"/>
  <c r="E515" i="5"/>
  <c r="C515" i="5"/>
  <c r="B515" i="5"/>
  <c r="A515" i="5"/>
  <c r="J514" i="5"/>
  <c r="G514" i="5"/>
  <c r="F514" i="5"/>
  <c r="E514" i="5"/>
  <c r="C514" i="5"/>
  <c r="B514" i="5"/>
  <c r="A514" i="5"/>
  <c r="J513" i="5"/>
  <c r="G513" i="5"/>
  <c r="F513" i="5"/>
  <c r="E513" i="5"/>
  <c r="C513" i="5"/>
  <c r="B513" i="5"/>
  <c r="A513" i="5"/>
  <c r="J512" i="5"/>
  <c r="G512" i="5"/>
  <c r="F512" i="5"/>
  <c r="E512" i="5"/>
  <c r="C512" i="5"/>
  <c r="B512" i="5"/>
  <c r="A512" i="5"/>
  <c r="J511" i="5"/>
  <c r="G511" i="5"/>
  <c r="F511" i="5"/>
  <c r="E511" i="5"/>
  <c r="C511" i="5"/>
  <c r="B511" i="5"/>
  <c r="A511" i="5"/>
  <c r="J510" i="5"/>
  <c r="G510" i="5"/>
  <c r="E510" i="5"/>
  <c r="C510" i="5"/>
  <c r="B510" i="5"/>
  <c r="A510" i="5"/>
  <c r="J509" i="5"/>
  <c r="G509" i="5"/>
  <c r="E509" i="5"/>
  <c r="C509" i="5"/>
  <c r="B509" i="5"/>
  <c r="A509" i="5"/>
  <c r="J508" i="5"/>
  <c r="G508" i="5"/>
  <c r="E508" i="5"/>
  <c r="C508" i="5"/>
  <c r="B508" i="5"/>
  <c r="A508" i="5"/>
  <c r="J507" i="5"/>
  <c r="G507" i="5"/>
  <c r="E507" i="5"/>
  <c r="C507" i="5"/>
  <c r="B507" i="5"/>
  <c r="A507" i="5"/>
  <c r="J506" i="5"/>
  <c r="G506" i="5"/>
  <c r="E506" i="5"/>
  <c r="C506" i="5"/>
  <c r="B506" i="5"/>
  <c r="A506" i="5"/>
  <c r="J505" i="5"/>
  <c r="G505" i="5"/>
  <c r="E505" i="5"/>
  <c r="C505" i="5"/>
  <c r="B505" i="5"/>
  <c r="A505" i="5"/>
  <c r="J504" i="5"/>
  <c r="G504" i="5"/>
  <c r="E504" i="5"/>
  <c r="C504" i="5"/>
  <c r="B504" i="5"/>
  <c r="A504" i="5"/>
  <c r="J503" i="5"/>
  <c r="G503" i="5"/>
  <c r="E503" i="5"/>
  <c r="C503" i="5"/>
  <c r="B503" i="5"/>
  <c r="A503" i="5"/>
  <c r="J502" i="5"/>
  <c r="G502" i="5"/>
  <c r="E502" i="5"/>
  <c r="C502" i="5"/>
  <c r="B502" i="5"/>
  <c r="A502" i="5"/>
  <c r="J501" i="5"/>
  <c r="G501" i="5"/>
  <c r="E501" i="5"/>
  <c r="C501" i="5"/>
  <c r="B501" i="5"/>
  <c r="A501" i="5"/>
  <c r="J500" i="5"/>
  <c r="G500" i="5"/>
  <c r="E500" i="5"/>
  <c r="C500" i="5"/>
  <c r="B500" i="5"/>
  <c r="A500" i="5"/>
  <c r="J499" i="5"/>
  <c r="G499" i="5"/>
  <c r="E499" i="5"/>
  <c r="C499" i="5"/>
  <c r="B499" i="5"/>
  <c r="A499" i="5"/>
  <c r="J498" i="5"/>
  <c r="G498" i="5"/>
  <c r="E498" i="5"/>
  <c r="C498" i="5"/>
  <c r="B498" i="5"/>
  <c r="A498" i="5"/>
  <c r="J497" i="5"/>
  <c r="G497" i="5"/>
  <c r="F497" i="5"/>
  <c r="E497" i="5"/>
  <c r="C497" i="5"/>
  <c r="B497" i="5"/>
  <c r="A497" i="5"/>
  <c r="J496" i="5"/>
  <c r="G496" i="5"/>
  <c r="E496" i="5"/>
  <c r="C496" i="5"/>
  <c r="B496" i="5"/>
  <c r="A496" i="5"/>
  <c r="J495" i="5"/>
  <c r="G495" i="5"/>
  <c r="E495" i="5"/>
  <c r="C495" i="5"/>
  <c r="B495" i="5"/>
  <c r="A495" i="5"/>
  <c r="J494" i="5"/>
  <c r="G494" i="5"/>
  <c r="E494" i="5"/>
  <c r="C494" i="5"/>
  <c r="B494" i="5"/>
  <c r="A494" i="5"/>
  <c r="J493" i="5"/>
  <c r="G493" i="5"/>
  <c r="E493" i="5"/>
  <c r="C493" i="5"/>
  <c r="B493" i="5"/>
  <c r="A493" i="5"/>
  <c r="J492" i="5"/>
  <c r="G492" i="5"/>
  <c r="E492" i="5"/>
  <c r="C492" i="5"/>
  <c r="B492" i="5"/>
  <c r="A492" i="5"/>
  <c r="J491" i="5"/>
  <c r="G491" i="5"/>
  <c r="E491" i="5"/>
  <c r="C491" i="5"/>
  <c r="B491" i="5"/>
  <c r="A491" i="5"/>
  <c r="J490" i="5"/>
  <c r="G490" i="5"/>
  <c r="E490" i="5"/>
  <c r="C490" i="5"/>
  <c r="B490" i="5"/>
  <c r="A490" i="5"/>
  <c r="J489" i="5"/>
  <c r="G489" i="5"/>
  <c r="E489" i="5"/>
  <c r="C489" i="5"/>
  <c r="B489" i="5"/>
  <c r="A489" i="5"/>
  <c r="J488" i="5"/>
  <c r="G488" i="5"/>
  <c r="E488" i="5"/>
  <c r="C488" i="5"/>
  <c r="B488" i="5"/>
  <c r="A488" i="5"/>
  <c r="J487" i="5"/>
  <c r="G487" i="5"/>
  <c r="E487" i="5"/>
  <c r="C487" i="5"/>
  <c r="B487" i="5"/>
  <c r="A487" i="5"/>
  <c r="J486" i="5"/>
  <c r="G486" i="5"/>
  <c r="F486" i="5"/>
  <c r="E486" i="5"/>
  <c r="C486" i="5"/>
  <c r="B486" i="5"/>
  <c r="A486" i="5"/>
  <c r="J485" i="5"/>
  <c r="G485" i="5"/>
  <c r="F485" i="5"/>
  <c r="E485" i="5"/>
  <c r="B485" i="5"/>
  <c r="A485" i="5"/>
  <c r="N484" i="5"/>
  <c r="J484" i="5"/>
  <c r="G484" i="5"/>
  <c r="F484" i="5"/>
  <c r="E484" i="5"/>
  <c r="B484" i="5"/>
  <c r="A484" i="5"/>
  <c r="J483" i="5"/>
  <c r="G483" i="5"/>
  <c r="F483" i="5"/>
  <c r="E483" i="5"/>
  <c r="B483" i="5"/>
  <c r="A483" i="5"/>
  <c r="J482" i="5"/>
  <c r="G482" i="5"/>
  <c r="F482" i="5"/>
  <c r="E482" i="5"/>
  <c r="B482" i="5"/>
  <c r="A482" i="5"/>
  <c r="J481" i="5"/>
  <c r="G481" i="5"/>
  <c r="F481" i="5"/>
  <c r="E481" i="5"/>
  <c r="B481" i="5"/>
  <c r="A481" i="5"/>
  <c r="J480" i="5"/>
  <c r="G480" i="5"/>
  <c r="E480" i="5"/>
  <c r="C480" i="5"/>
  <c r="B480" i="5"/>
  <c r="A480" i="5"/>
  <c r="J479" i="5"/>
  <c r="G479" i="5"/>
  <c r="E479" i="5"/>
  <c r="C479" i="5"/>
  <c r="B479" i="5"/>
  <c r="A479" i="5"/>
  <c r="J478" i="5"/>
  <c r="G478" i="5"/>
  <c r="E478" i="5"/>
  <c r="C478" i="5"/>
  <c r="B478" i="5"/>
  <c r="A478" i="5"/>
  <c r="J477" i="5"/>
  <c r="G477" i="5"/>
  <c r="E477" i="5"/>
  <c r="C477" i="5"/>
  <c r="B477" i="5"/>
  <c r="A477" i="5"/>
  <c r="J476" i="5"/>
  <c r="G476" i="5"/>
  <c r="E476" i="5"/>
  <c r="C476" i="5"/>
  <c r="B476" i="5"/>
  <c r="A476" i="5"/>
  <c r="J475" i="5"/>
  <c r="G475" i="5"/>
  <c r="F475" i="5"/>
  <c r="E475" i="5"/>
  <c r="C475" i="5"/>
  <c r="B475" i="5"/>
  <c r="A475" i="5"/>
  <c r="J474" i="5"/>
  <c r="G474" i="5"/>
  <c r="F474" i="5"/>
  <c r="E474" i="5"/>
  <c r="C474" i="5"/>
  <c r="B474" i="5"/>
  <c r="A474" i="5"/>
  <c r="J473" i="5"/>
  <c r="G473" i="5"/>
  <c r="F473" i="5"/>
  <c r="E473" i="5"/>
  <c r="C473" i="5"/>
  <c r="B473" i="5"/>
  <c r="A473" i="5"/>
  <c r="J472" i="5"/>
  <c r="G472" i="5"/>
  <c r="F472" i="5"/>
  <c r="E472" i="5"/>
  <c r="C472" i="5"/>
  <c r="B472" i="5"/>
  <c r="A472" i="5"/>
  <c r="J471" i="5"/>
  <c r="G471" i="5"/>
  <c r="E471" i="5"/>
  <c r="B471" i="5"/>
  <c r="A471" i="5"/>
  <c r="J470" i="5"/>
  <c r="G470" i="5"/>
  <c r="E470" i="5"/>
  <c r="C470" i="5"/>
  <c r="B470" i="5"/>
  <c r="A470" i="5"/>
  <c r="J469" i="5"/>
  <c r="G469" i="5"/>
  <c r="E469" i="5"/>
  <c r="C469" i="5"/>
  <c r="B469" i="5"/>
  <c r="A469" i="5"/>
  <c r="J468" i="5"/>
  <c r="G468" i="5"/>
  <c r="E468" i="5"/>
  <c r="B468" i="5"/>
  <c r="A468" i="5"/>
  <c r="J467" i="5"/>
  <c r="G467" i="5"/>
  <c r="E467" i="5"/>
  <c r="C467" i="5"/>
  <c r="B467" i="5"/>
  <c r="A467" i="5"/>
  <c r="J466" i="5"/>
  <c r="G466" i="5"/>
  <c r="E466" i="5"/>
  <c r="C466" i="5"/>
  <c r="B466" i="5"/>
  <c r="A466" i="5"/>
  <c r="J465" i="5"/>
  <c r="G465" i="5"/>
  <c r="E465" i="5"/>
  <c r="C465" i="5"/>
  <c r="B465" i="5"/>
  <c r="A465" i="5"/>
  <c r="J464" i="5"/>
  <c r="G464" i="5"/>
  <c r="E464" i="5"/>
  <c r="C464" i="5"/>
  <c r="B464" i="5"/>
  <c r="A464" i="5"/>
  <c r="J463" i="5"/>
  <c r="G463" i="5"/>
  <c r="E463" i="5"/>
  <c r="C463" i="5"/>
  <c r="B463" i="5"/>
  <c r="A463" i="5"/>
  <c r="J462" i="5"/>
  <c r="G462" i="5"/>
  <c r="E462" i="5"/>
  <c r="C462" i="5"/>
  <c r="B462" i="5"/>
  <c r="A462" i="5"/>
  <c r="J461" i="5"/>
  <c r="G461" i="5"/>
  <c r="E461" i="5"/>
  <c r="C461" i="5"/>
  <c r="B461" i="5"/>
  <c r="A461" i="5"/>
  <c r="J460" i="5"/>
  <c r="G460" i="5"/>
  <c r="E460" i="5"/>
  <c r="B460" i="5"/>
  <c r="A460" i="5"/>
  <c r="J459" i="5"/>
  <c r="G459" i="5"/>
  <c r="F459" i="5"/>
  <c r="E459" i="5"/>
  <c r="C459" i="5"/>
  <c r="B459" i="5"/>
  <c r="A459" i="5"/>
  <c r="J458" i="5"/>
  <c r="G458" i="5"/>
  <c r="F458" i="5"/>
  <c r="E458" i="5"/>
  <c r="C458" i="5"/>
  <c r="B458" i="5"/>
  <c r="A458" i="5"/>
  <c r="J457" i="5"/>
  <c r="G457" i="5"/>
  <c r="F457" i="5"/>
  <c r="E457" i="5"/>
  <c r="C457" i="5"/>
  <c r="B457" i="5"/>
  <c r="A457" i="5"/>
  <c r="J456" i="5"/>
  <c r="G456" i="5"/>
  <c r="F456" i="5"/>
  <c r="E456" i="5"/>
  <c r="C456" i="5"/>
  <c r="B456" i="5"/>
  <c r="A456" i="5"/>
  <c r="J455" i="5"/>
  <c r="G455" i="5"/>
  <c r="F455" i="5"/>
  <c r="E455" i="5"/>
  <c r="C455" i="5"/>
  <c r="B455" i="5"/>
  <c r="A455" i="5"/>
  <c r="N454" i="5"/>
  <c r="J454" i="5"/>
  <c r="G454" i="5"/>
  <c r="E454" i="5"/>
  <c r="C454" i="5"/>
  <c r="B454" i="5"/>
  <c r="A454" i="5"/>
  <c r="J453" i="5"/>
  <c r="F453" i="5"/>
  <c r="E453" i="5"/>
  <c r="C453" i="5"/>
  <c r="B453" i="5"/>
  <c r="A453" i="5"/>
  <c r="J452" i="5"/>
  <c r="F452" i="5"/>
  <c r="E452" i="5"/>
  <c r="C452" i="5"/>
  <c r="B452" i="5"/>
  <c r="A452" i="5"/>
  <c r="J451" i="5"/>
  <c r="G451" i="5"/>
  <c r="E451" i="5"/>
  <c r="C451" i="5"/>
  <c r="B451" i="5"/>
  <c r="A451" i="5"/>
  <c r="J450" i="5"/>
  <c r="G450" i="5"/>
  <c r="E450" i="5"/>
  <c r="C450" i="5"/>
  <c r="B450" i="5"/>
  <c r="A450" i="5"/>
  <c r="J449" i="5"/>
  <c r="G449" i="5"/>
  <c r="E449" i="5"/>
  <c r="C449" i="5"/>
  <c r="B449" i="5"/>
  <c r="A449" i="5"/>
  <c r="J448" i="5"/>
  <c r="G448" i="5"/>
  <c r="E448" i="5"/>
  <c r="C448" i="5"/>
  <c r="B448" i="5"/>
  <c r="A448" i="5"/>
  <c r="J447" i="5"/>
  <c r="G447" i="5"/>
  <c r="E447" i="5"/>
  <c r="C447" i="5"/>
  <c r="B447" i="5"/>
  <c r="A447" i="5"/>
  <c r="J446" i="5"/>
  <c r="G446" i="5"/>
  <c r="E446" i="5"/>
  <c r="C446" i="5"/>
  <c r="B446" i="5"/>
  <c r="A446" i="5"/>
  <c r="J445" i="5"/>
  <c r="G445" i="5"/>
  <c r="F445" i="5"/>
  <c r="E445" i="5"/>
  <c r="C445" i="5"/>
  <c r="B445" i="5"/>
  <c r="A445" i="5"/>
  <c r="J444" i="5"/>
  <c r="G444" i="5"/>
  <c r="F444" i="5"/>
  <c r="E444" i="5"/>
  <c r="C444" i="5"/>
  <c r="B444" i="5"/>
  <c r="A444" i="5"/>
  <c r="J443" i="5"/>
  <c r="G443" i="5"/>
  <c r="F443" i="5"/>
  <c r="E443" i="5"/>
  <c r="C443" i="5"/>
  <c r="B443" i="5"/>
  <c r="A443" i="5"/>
  <c r="J442" i="5"/>
  <c r="G442" i="5"/>
  <c r="E442" i="5"/>
  <c r="C442" i="5"/>
  <c r="B442" i="5"/>
  <c r="A442" i="5"/>
  <c r="J441" i="5"/>
  <c r="G441" i="5"/>
  <c r="E441" i="5"/>
  <c r="C441" i="5"/>
  <c r="B441" i="5"/>
  <c r="A441" i="5"/>
  <c r="J440" i="5"/>
  <c r="G440" i="5"/>
  <c r="E440" i="5"/>
  <c r="C440" i="5"/>
  <c r="B440" i="5"/>
  <c r="A440" i="5"/>
  <c r="J439" i="5"/>
  <c r="G439" i="5"/>
  <c r="E439" i="5"/>
  <c r="C439" i="5"/>
  <c r="B439" i="5"/>
  <c r="A439" i="5"/>
  <c r="J438" i="5"/>
  <c r="G438" i="5"/>
  <c r="E438" i="5"/>
  <c r="C438" i="5"/>
  <c r="B438" i="5"/>
  <c r="A438" i="5"/>
  <c r="J437" i="5"/>
  <c r="G437" i="5"/>
  <c r="F437" i="5"/>
  <c r="E437" i="5"/>
  <c r="C437" i="5"/>
  <c r="B437" i="5"/>
  <c r="A437" i="5"/>
  <c r="J436" i="5"/>
  <c r="G436" i="5"/>
  <c r="E436" i="5"/>
  <c r="C436" i="5"/>
  <c r="B436" i="5"/>
  <c r="A436" i="5"/>
  <c r="J435" i="5"/>
  <c r="G435" i="5"/>
  <c r="F435" i="5"/>
  <c r="E435" i="5"/>
  <c r="C435" i="5"/>
  <c r="B435" i="5"/>
  <c r="A435" i="5"/>
  <c r="J434" i="5"/>
  <c r="G434" i="5"/>
  <c r="F434" i="5"/>
  <c r="E434" i="5"/>
  <c r="C434" i="5"/>
  <c r="B434" i="5"/>
  <c r="A434" i="5"/>
  <c r="J433" i="5"/>
  <c r="G433" i="5"/>
  <c r="E433" i="5"/>
  <c r="C433" i="5"/>
  <c r="B433" i="5"/>
  <c r="A433" i="5"/>
  <c r="J432" i="5"/>
  <c r="G432" i="5"/>
  <c r="E432" i="5"/>
  <c r="C432" i="5"/>
  <c r="B432" i="5"/>
  <c r="A432" i="5"/>
  <c r="J431" i="5"/>
  <c r="G431" i="5"/>
  <c r="E431" i="5"/>
  <c r="C431" i="5"/>
  <c r="B431" i="5"/>
  <c r="A431" i="5"/>
  <c r="J430" i="5"/>
  <c r="G430" i="5"/>
  <c r="E430" i="5"/>
  <c r="C430" i="5"/>
  <c r="B430" i="5"/>
  <c r="A430" i="5"/>
  <c r="J429" i="5"/>
  <c r="G429" i="5"/>
  <c r="E429" i="5"/>
  <c r="C429" i="5"/>
  <c r="B429" i="5"/>
  <c r="A429" i="5"/>
  <c r="J428" i="5"/>
  <c r="G428" i="5"/>
  <c r="E428" i="5"/>
  <c r="C428" i="5"/>
  <c r="B428" i="5"/>
  <c r="A428" i="5"/>
  <c r="J427" i="5"/>
  <c r="G427" i="5"/>
  <c r="E427" i="5"/>
  <c r="C427" i="5"/>
  <c r="B427" i="5"/>
  <c r="A427" i="5"/>
  <c r="J426" i="5"/>
  <c r="G426" i="5"/>
  <c r="E426" i="5"/>
  <c r="C426" i="5"/>
  <c r="B426" i="5"/>
  <c r="A426" i="5"/>
  <c r="J425" i="5"/>
  <c r="G425" i="5"/>
  <c r="E425" i="5"/>
  <c r="C425" i="5"/>
  <c r="B425" i="5"/>
  <c r="A425" i="5"/>
  <c r="J424" i="5"/>
  <c r="G424" i="5"/>
  <c r="E424" i="5"/>
  <c r="C424" i="5"/>
  <c r="B424" i="5"/>
  <c r="A424" i="5"/>
  <c r="J423" i="5"/>
  <c r="G423" i="5"/>
  <c r="E423" i="5"/>
  <c r="C423" i="5"/>
  <c r="B423" i="5"/>
  <c r="A423" i="5"/>
  <c r="J422" i="5"/>
  <c r="G422" i="5"/>
  <c r="E422" i="5"/>
  <c r="C422" i="5"/>
  <c r="B422" i="5"/>
  <c r="A422" i="5"/>
  <c r="J421" i="5"/>
  <c r="G421" i="5"/>
  <c r="E421" i="5"/>
  <c r="C421" i="5"/>
  <c r="B421" i="5"/>
  <c r="A421" i="5"/>
  <c r="J420" i="5"/>
  <c r="G420" i="5"/>
  <c r="E420" i="5"/>
  <c r="C420" i="5"/>
  <c r="B420" i="5"/>
  <c r="A420" i="5"/>
  <c r="J419" i="5"/>
  <c r="G419" i="5"/>
  <c r="E419" i="5"/>
  <c r="C419" i="5"/>
  <c r="B419" i="5"/>
  <c r="A419" i="5"/>
  <c r="J418" i="5"/>
  <c r="G418" i="5"/>
  <c r="E418" i="5"/>
  <c r="C418" i="5"/>
  <c r="B418" i="5"/>
  <c r="A418" i="5"/>
  <c r="J417" i="5"/>
  <c r="G417" i="5"/>
  <c r="E417" i="5"/>
  <c r="C417" i="5"/>
  <c r="B417" i="5"/>
  <c r="A417" i="5"/>
  <c r="J416" i="5"/>
  <c r="G416" i="5"/>
  <c r="E416" i="5"/>
  <c r="C416" i="5"/>
  <c r="B416" i="5"/>
  <c r="A416" i="5"/>
  <c r="N415" i="5"/>
  <c r="J415" i="5"/>
  <c r="G415" i="5"/>
  <c r="F415" i="5"/>
  <c r="E415" i="5"/>
  <c r="C415" i="5"/>
  <c r="B415" i="5"/>
  <c r="A415" i="5"/>
  <c r="J414" i="5"/>
  <c r="G414" i="5"/>
  <c r="F414" i="5"/>
  <c r="E414" i="5"/>
  <c r="C414" i="5"/>
  <c r="B414" i="5"/>
  <c r="A414" i="5"/>
  <c r="J413" i="5"/>
  <c r="G413" i="5"/>
  <c r="F413" i="5"/>
  <c r="E413" i="5"/>
  <c r="C413" i="5"/>
  <c r="B413" i="5"/>
  <c r="A413" i="5"/>
  <c r="J412" i="5"/>
  <c r="G412" i="5"/>
  <c r="F412" i="5"/>
  <c r="E412" i="5"/>
  <c r="C412" i="5"/>
  <c r="B412" i="5"/>
  <c r="A412" i="5"/>
  <c r="J411" i="5"/>
  <c r="B411" i="5"/>
  <c r="A411" i="5"/>
  <c r="J410" i="5"/>
  <c r="G410" i="5"/>
  <c r="E410" i="5"/>
  <c r="C410" i="5"/>
  <c r="B410" i="5"/>
  <c r="A410" i="5"/>
  <c r="J409" i="5"/>
  <c r="G409" i="5"/>
  <c r="E409" i="5"/>
  <c r="C409" i="5"/>
  <c r="B409" i="5"/>
  <c r="A409" i="5"/>
  <c r="J408" i="5"/>
  <c r="G408" i="5"/>
  <c r="E408" i="5"/>
  <c r="C408" i="5"/>
  <c r="B408" i="5"/>
  <c r="A408" i="5"/>
  <c r="J407" i="5"/>
  <c r="G407" i="5"/>
  <c r="F407" i="5"/>
  <c r="E407" i="5"/>
  <c r="C407" i="5"/>
  <c r="B407" i="5"/>
  <c r="A407" i="5"/>
  <c r="J406" i="5"/>
  <c r="G406" i="5"/>
  <c r="E406" i="5"/>
  <c r="C406" i="5"/>
  <c r="B406" i="5"/>
  <c r="A406" i="5"/>
  <c r="J405" i="5"/>
  <c r="G405" i="5"/>
  <c r="E405" i="5"/>
  <c r="C405" i="5"/>
  <c r="B405" i="5"/>
  <c r="A405" i="5"/>
  <c r="J404" i="5"/>
  <c r="G404" i="5"/>
  <c r="F404" i="5"/>
  <c r="E404" i="5"/>
  <c r="C404" i="5"/>
  <c r="B404" i="5"/>
  <c r="A404" i="5"/>
  <c r="J403" i="5"/>
  <c r="G403" i="5"/>
  <c r="E403" i="5"/>
  <c r="C403" i="5"/>
  <c r="B403" i="5"/>
  <c r="A403" i="5"/>
  <c r="J402" i="5"/>
  <c r="G402" i="5"/>
  <c r="E402" i="5"/>
  <c r="C402" i="5"/>
  <c r="B402" i="5"/>
  <c r="A402" i="5"/>
  <c r="J401" i="5"/>
  <c r="G401" i="5"/>
  <c r="E401" i="5"/>
  <c r="C401" i="5"/>
  <c r="B401" i="5"/>
  <c r="A401" i="5"/>
  <c r="J400" i="5"/>
  <c r="G400" i="5"/>
  <c r="E400" i="5"/>
  <c r="C400" i="5"/>
  <c r="B400" i="5"/>
  <c r="A400" i="5"/>
  <c r="J399" i="5"/>
  <c r="G399" i="5"/>
  <c r="E399" i="5"/>
  <c r="B399" i="5"/>
  <c r="A399" i="5"/>
  <c r="J398" i="5"/>
  <c r="G398" i="5"/>
  <c r="E398" i="5"/>
  <c r="C398" i="5"/>
  <c r="B398" i="5"/>
  <c r="A398" i="5"/>
  <c r="J397" i="5"/>
  <c r="G397" i="5"/>
  <c r="E397" i="5"/>
  <c r="C397" i="5"/>
  <c r="B397" i="5"/>
  <c r="A397" i="5"/>
  <c r="J396" i="5"/>
  <c r="G396" i="5"/>
  <c r="E396" i="5"/>
  <c r="C396" i="5"/>
  <c r="B396" i="5"/>
  <c r="A396" i="5"/>
  <c r="J395" i="5"/>
  <c r="G395" i="5"/>
  <c r="E395" i="5"/>
  <c r="C395" i="5"/>
  <c r="B395" i="5"/>
  <c r="A395" i="5"/>
  <c r="J394" i="5"/>
  <c r="G394" i="5"/>
  <c r="E394" i="5"/>
  <c r="C394" i="5"/>
  <c r="B394" i="5"/>
  <c r="A394" i="5"/>
  <c r="J393" i="5"/>
  <c r="G393" i="5"/>
  <c r="E393" i="5"/>
  <c r="C393" i="5"/>
  <c r="B393" i="5"/>
  <c r="A393" i="5"/>
  <c r="J392" i="5"/>
  <c r="G392" i="5"/>
  <c r="E392" i="5"/>
  <c r="C392" i="5"/>
  <c r="B392" i="5"/>
  <c r="A392" i="5"/>
  <c r="J391" i="5"/>
  <c r="G391" i="5"/>
  <c r="E391" i="5"/>
  <c r="C391" i="5"/>
  <c r="B391" i="5"/>
  <c r="A391" i="5"/>
  <c r="J390" i="5"/>
  <c r="G390" i="5"/>
  <c r="E390" i="5"/>
  <c r="C390" i="5"/>
  <c r="B390" i="5"/>
  <c r="A390" i="5"/>
  <c r="J389" i="5"/>
  <c r="G389" i="5"/>
  <c r="E389" i="5"/>
  <c r="C389" i="5"/>
  <c r="B389" i="5"/>
  <c r="A389" i="5"/>
  <c r="J388" i="5"/>
  <c r="G388" i="5"/>
  <c r="E388" i="5"/>
  <c r="C388" i="5"/>
  <c r="B388" i="5"/>
  <c r="A388" i="5"/>
  <c r="J387" i="5"/>
  <c r="G387" i="5"/>
  <c r="E387" i="5"/>
  <c r="C387" i="5"/>
  <c r="B387" i="5"/>
  <c r="A387" i="5"/>
  <c r="J386" i="5"/>
  <c r="G386" i="5"/>
  <c r="E386" i="5"/>
  <c r="C386" i="5"/>
  <c r="B386" i="5"/>
  <c r="A386" i="5"/>
  <c r="J385" i="5"/>
  <c r="G385" i="5"/>
  <c r="E385" i="5"/>
  <c r="C385" i="5"/>
  <c r="B385" i="5"/>
  <c r="A385" i="5"/>
  <c r="J384" i="5"/>
  <c r="G384" i="5"/>
  <c r="E384" i="5"/>
  <c r="C384" i="5"/>
  <c r="B384" i="5"/>
  <c r="A384" i="5"/>
  <c r="J383" i="5"/>
  <c r="G383" i="5"/>
  <c r="E383" i="5"/>
  <c r="C383" i="5"/>
  <c r="B383" i="5"/>
  <c r="A383" i="5"/>
  <c r="J382" i="5"/>
  <c r="G382" i="5"/>
  <c r="E382" i="5"/>
  <c r="C382" i="5"/>
  <c r="B382" i="5"/>
  <c r="A382" i="5"/>
  <c r="J381" i="5"/>
  <c r="G381" i="5"/>
  <c r="E381" i="5"/>
  <c r="C381" i="5"/>
  <c r="B381" i="5"/>
  <c r="A381" i="5"/>
  <c r="J380" i="5"/>
  <c r="G380" i="5"/>
  <c r="F380" i="5"/>
  <c r="E380" i="5"/>
  <c r="C380" i="5"/>
  <c r="B380" i="5"/>
  <c r="A380" i="5"/>
  <c r="J379" i="5"/>
  <c r="G379" i="5"/>
  <c r="F379" i="5"/>
  <c r="E379" i="5"/>
  <c r="C379" i="5"/>
  <c r="B379" i="5"/>
  <c r="A379" i="5"/>
  <c r="J378" i="5"/>
  <c r="G378" i="5"/>
  <c r="E378" i="5"/>
  <c r="C378" i="5"/>
  <c r="B378" i="5"/>
  <c r="A378" i="5"/>
  <c r="J377" i="5"/>
  <c r="G377" i="5"/>
  <c r="F377" i="5"/>
  <c r="E377" i="5"/>
  <c r="B377" i="5"/>
  <c r="A377" i="5"/>
  <c r="J376" i="5"/>
  <c r="G376" i="5"/>
  <c r="F376" i="5"/>
  <c r="E376" i="5"/>
  <c r="B376" i="5"/>
  <c r="A376" i="5"/>
  <c r="J375" i="5"/>
  <c r="G375" i="5"/>
  <c r="E375" i="5"/>
  <c r="C375" i="5"/>
  <c r="B375" i="5"/>
  <c r="A375" i="5"/>
  <c r="J374" i="5"/>
  <c r="G374" i="5"/>
  <c r="E374" i="5"/>
  <c r="C374" i="5"/>
  <c r="B374" i="5"/>
  <c r="A374" i="5"/>
  <c r="J373" i="5"/>
  <c r="G373" i="5"/>
  <c r="E373" i="5"/>
  <c r="B373" i="5"/>
  <c r="A373" i="5"/>
  <c r="J372" i="5"/>
  <c r="E372" i="5"/>
  <c r="C372" i="5"/>
  <c r="B372" i="5"/>
  <c r="A372" i="5"/>
  <c r="J371" i="5"/>
  <c r="G371" i="5"/>
  <c r="E371" i="5"/>
  <c r="C371" i="5"/>
  <c r="B371" i="5"/>
  <c r="A371" i="5"/>
  <c r="J370" i="5"/>
  <c r="G370" i="5"/>
  <c r="F370" i="5"/>
  <c r="E370" i="5"/>
  <c r="C370" i="5"/>
  <c r="B370" i="5"/>
  <c r="A370" i="5"/>
  <c r="J369" i="5"/>
  <c r="G369" i="5"/>
  <c r="F369" i="5"/>
  <c r="E369" i="5"/>
  <c r="C369" i="5"/>
  <c r="B369" i="5"/>
  <c r="A369" i="5"/>
  <c r="J368" i="5"/>
  <c r="G368" i="5"/>
  <c r="F368" i="5"/>
  <c r="E368" i="5"/>
  <c r="C368" i="5"/>
  <c r="B368" i="5"/>
  <c r="A368" i="5"/>
  <c r="J367" i="5"/>
  <c r="G367" i="5"/>
  <c r="F367" i="5"/>
  <c r="E367" i="5"/>
  <c r="C367" i="5"/>
  <c r="B367" i="5"/>
  <c r="A367" i="5"/>
  <c r="J366" i="5"/>
  <c r="G366" i="5"/>
  <c r="E366" i="5"/>
  <c r="C366" i="5"/>
  <c r="B366" i="5"/>
  <c r="A366" i="5"/>
  <c r="J365" i="5"/>
  <c r="G365" i="5"/>
  <c r="F365" i="5"/>
  <c r="E365" i="5"/>
  <c r="C365" i="5"/>
  <c r="B365" i="5"/>
  <c r="A365" i="5"/>
  <c r="J364" i="5"/>
  <c r="G364" i="5"/>
  <c r="F364" i="5"/>
  <c r="E364" i="5"/>
  <c r="C364" i="5"/>
  <c r="B364" i="5"/>
  <c r="A364" i="5"/>
  <c r="J363" i="5"/>
  <c r="G363" i="5"/>
  <c r="E363" i="5"/>
  <c r="C363" i="5"/>
  <c r="B363" i="5"/>
  <c r="A363" i="5"/>
  <c r="J362" i="5"/>
  <c r="G362" i="5"/>
  <c r="E362" i="5"/>
  <c r="C362" i="5"/>
  <c r="B362" i="5"/>
  <c r="A362" i="5"/>
  <c r="J361" i="5"/>
  <c r="G361" i="5"/>
  <c r="E361" i="5"/>
  <c r="C361" i="5"/>
  <c r="B361" i="5"/>
  <c r="A361" i="5"/>
  <c r="J360" i="5"/>
  <c r="G360" i="5"/>
  <c r="E360" i="5"/>
  <c r="C360" i="5"/>
  <c r="B360" i="5"/>
  <c r="A360" i="5"/>
  <c r="J359" i="5"/>
  <c r="G359" i="5"/>
  <c r="E359" i="5"/>
  <c r="C359" i="5"/>
  <c r="B359" i="5"/>
  <c r="A359" i="5"/>
  <c r="J358" i="5"/>
  <c r="G358" i="5"/>
  <c r="E358" i="5"/>
  <c r="C358" i="5"/>
  <c r="B358" i="5"/>
  <c r="A358" i="5"/>
  <c r="J357" i="5"/>
  <c r="G357" i="5"/>
  <c r="F357" i="5"/>
  <c r="E357" i="5"/>
  <c r="B357" i="5"/>
  <c r="A357" i="5"/>
  <c r="J356" i="5"/>
  <c r="G356" i="5"/>
  <c r="E356" i="5"/>
  <c r="C356" i="5"/>
  <c r="B356" i="5"/>
  <c r="A356" i="5"/>
  <c r="J355" i="5"/>
  <c r="G355" i="5"/>
  <c r="E355" i="5"/>
  <c r="C355" i="5"/>
  <c r="B355" i="5"/>
  <c r="A355" i="5"/>
  <c r="J354" i="5"/>
  <c r="G354" i="5"/>
  <c r="E354" i="5"/>
  <c r="C354" i="5"/>
  <c r="B354" i="5"/>
  <c r="A354" i="5"/>
  <c r="J353" i="5"/>
  <c r="G353" i="5"/>
  <c r="E353" i="5"/>
  <c r="C353" i="5"/>
  <c r="B353" i="5"/>
  <c r="A353" i="5"/>
  <c r="J352" i="5"/>
  <c r="G352" i="5"/>
  <c r="E352" i="5"/>
  <c r="C352" i="5"/>
  <c r="B352" i="5"/>
  <c r="A352" i="5"/>
  <c r="J351" i="5"/>
  <c r="G351" i="5"/>
  <c r="E351" i="5"/>
  <c r="C351" i="5"/>
  <c r="B351" i="5"/>
  <c r="A351" i="5"/>
  <c r="J350" i="5"/>
  <c r="G350" i="5"/>
  <c r="E350" i="5"/>
  <c r="C350" i="5"/>
  <c r="B350" i="5"/>
  <c r="A350" i="5"/>
  <c r="J349" i="5"/>
  <c r="G349" i="5"/>
  <c r="E349" i="5"/>
  <c r="C349" i="5"/>
  <c r="B349" i="5"/>
  <c r="A349" i="5"/>
  <c r="J348" i="5"/>
  <c r="G348" i="5"/>
  <c r="E348" i="5"/>
  <c r="C348" i="5"/>
  <c r="B348" i="5"/>
  <c r="A348" i="5"/>
  <c r="J347" i="5"/>
  <c r="G347" i="5"/>
  <c r="E347" i="5"/>
  <c r="C347" i="5"/>
  <c r="B347" i="5"/>
  <c r="A347" i="5"/>
  <c r="J346" i="5"/>
  <c r="G346" i="5"/>
  <c r="E346" i="5"/>
  <c r="C346" i="5"/>
  <c r="B346" i="5"/>
  <c r="A346" i="5"/>
  <c r="J345" i="5"/>
  <c r="G345" i="5"/>
  <c r="E345" i="5"/>
  <c r="C345" i="5"/>
  <c r="B345" i="5"/>
  <c r="A345" i="5"/>
  <c r="J344" i="5"/>
  <c r="G344" i="5"/>
  <c r="E344" i="5"/>
  <c r="C344" i="5"/>
  <c r="B344" i="5"/>
  <c r="A344" i="5"/>
  <c r="J343" i="5"/>
  <c r="G343" i="5"/>
  <c r="E343" i="5"/>
  <c r="C343" i="5"/>
  <c r="B343" i="5"/>
  <c r="A343" i="5"/>
  <c r="J342" i="5"/>
  <c r="G342" i="5"/>
  <c r="E342" i="5"/>
  <c r="C342" i="5"/>
  <c r="B342" i="5"/>
  <c r="A342" i="5"/>
  <c r="J341" i="5"/>
  <c r="G341" i="5"/>
  <c r="E341" i="5"/>
  <c r="C341" i="5"/>
  <c r="B341" i="5"/>
  <c r="A341" i="5"/>
  <c r="J340" i="5"/>
  <c r="G340" i="5"/>
  <c r="E340" i="5"/>
  <c r="C340" i="5"/>
  <c r="B340" i="5"/>
  <c r="A340" i="5"/>
  <c r="J339" i="5"/>
  <c r="G339" i="5"/>
  <c r="E339" i="5"/>
  <c r="C339" i="5"/>
  <c r="B339" i="5"/>
  <c r="A339" i="5"/>
  <c r="J338" i="5"/>
  <c r="G338" i="5"/>
  <c r="E338" i="5"/>
  <c r="C338" i="5"/>
  <c r="B338" i="5"/>
  <c r="A338" i="5"/>
  <c r="J337" i="5"/>
  <c r="G337" i="5"/>
  <c r="E337" i="5"/>
  <c r="C337" i="5"/>
  <c r="B337" i="5"/>
  <c r="A337" i="5"/>
  <c r="J336" i="5"/>
  <c r="G336" i="5"/>
  <c r="E336" i="5"/>
  <c r="C336" i="5"/>
  <c r="B336" i="5"/>
  <c r="A336" i="5"/>
  <c r="J335" i="5"/>
  <c r="G335" i="5"/>
  <c r="F335" i="5"/>
  <c r="E335" i="5"/>
  <c r="C335" i="5"/>
  <c r="B335" i="5"/>
  <c r="A335" i="5"/>
  <c r="J334" i="5"/>
  <c r="G334" i="5"/>
  <c r="E334" i="5"/>
  <c r="C334" i="5"/>
  <c r="B334" i="5"/>
  <c r="A334" i="5"/>
  <c r="J333" i="5"/>
  <c r="G333" i="5"/>
  <c r="E333" i="5"/>
  <c r="C333" i="5"/>
  <c r="B333" i="5"/>
  <c r="A333" i="5"/>
  <c r="J332" i="5"/>
  <c r="G332" i="5"/>
  <c r="E332" i="5"/>
  <c r="C332" i="5"/>
  <c r="B332" i="5"/>
  <c r="A332" i="5"/>
  <c r="J331" i="5"/>
  <c r="G331" i="5"/>
  <c r="F331" i="5"/>
  <c r="E331" i="5"/>
  <c r="C331" i="5"/>
  <c r="B331" i="5"/>
  <c r="A331" i="5"/>
  <c r="J330" i="5"/>
  <c r="G330" i="5"/>
  <c r="E330" i="5"/>
  <c r="C330" i="5"/>
  <c r="B330" i="5"/>
  <c r="A330" i="5"/>
  <c r="J329" i="5"/>
  <c r="G329" i="5"/>
  <c r="E329" i="5"/>
  <c r="C329" i="5"/>
  <c r="B329" i="5"/>
  <c r="A329" i="5"/>
  <c r="J328" i="5"/>
  <c r="G328" i="5"/>
  <c r="F328" i="5"/>
  <c r="E328" i="5"/>
  <c r="C328" i="5"/>
  <c r="B328" i="5"/>
  <c r="A328" i="5"/>
  <c r="J327" i="5"/>
  <c r="G327" i="5"/>
  <c r="F327" i="5"/>
  <c r="E327" i="5"/>
  <c r="C327" i="5"/>
  <c r="B327" i="5"/>
  <c r="A327" i="5"/>
  <c r="J326" i="5"/>
  <c r="G326" i="5"/>
  <c r="F326" i="5"/>
  <c r="E326" i="5"/>
  <c r="C326" i="5"/>
  <c r="B326" i="5"/>
  <c r="A326" i="5"/>
  <c r="J325" i="5"/>
  <c r="G325" i="5"/>
  <c r="F325" i="5"/>
  <c r="E325" i="5"/>
  <c r="C325" i="5"/>
  <c r="B325" i="5"/>
  <c r="A325" i="5"/>
  <c r="J324" i="5"/>
  <c r="G324" i="5"/>
  <c r="F324" i="5"/>
  <c r="E324" i="5"/>
  <c r="C324" i="5"/>
  <c r="B324" i="5"/>
  <c r="A324" i="5"/>
  <c r="J323" i="5"/>
  <c r="G323" i="5"/>
  <c r="F323" i="5"/>
  <c r="E323" i="5"/>
  <c r="C323" i="5"/>
  <c r="B323" i="5"/>
  <c r="A323" i="5"/>
  <c r="J322" i="5"/>
  <c r="G322" i="5"/>
  <c r="E322" i="5"/>
  <c r="C322" i="5"/>
  <c r="B322" i="5"/>
  <c r="A322" i="5"/>
  <c r="N321" i="5"/>
  <c r="J321" i="5"/>
  <c r="G321" i="5"/>
  <c r="E321" i="5"/>
  <c r="C321" i="5"/>
  <c r="B321" i="5"/>
  <c r="A321" i="5"/>
  <c r="J320" i="5"/>
  <c r="G320" i="5"/>
  <c r="E320" i="5"/>
  <c r="C320" i="5"/>
  <c r="B320" i="5"/>
  <c r="A320" i="5"/>
  <c r="J319" i="5"/>
  <c r="G319" i="5"/>
  <c r="E319" i="5"/>
  <c r="C319" i="5"/>
  <c r="B319" i="5"/>
  <c r="A319" i="5"/>
  <c r="N318" i="5"/>
  <c r="J318" i="5"/>
  <c r="G318" i="5"/>
  <c r="F318" i="5"/>
  <c r="E318" i="5"/>
  <c r="C318" i="5"/>
  <c r="B318" i="5"/>
  <c r="A318" i="5"/>
  <c r="N317" i="5"/>
  <c r="J317" i="5"/>
  <c r="G317" i="5"/>
  <c r="F317" i="5"/>
  <c r="E317" i="5"/>
  <c r="C317" i="5"/>
  <c r="B317" i="5"/>
  <c r="A317" i="5"/>
  <c r="J316" i="5"/>
  <c r="G316" i="5"/>
  <c r="E316" i="5"/>
  <c r="C316" i="5"/>
  <c r="B316" i="5"/>
  <c r="A316" i="5"/>
  <c r="J315" i="5"/>
  <c r="G315" i="5"/>
  <c r="E315" i="5"/>
  <c r="C315" i="5"/>
  <c r="B315" i="5"/>
  <c r="A315" i="5"/>
  <c r="J314" i="5"/>
  <c r="G314" i="5"/>
  <c r="F314" i="5"/>
  <c r="E314" i="5"/>
  <c r="C314" i="5"/>
  <c r="B314" i="5"/>
  <c r="A314" i="5"/>
  <c r="J313" i="5"/>
  <c r="G313" i="5"/>
  <c r="F313" i="5"/>
  <c r="E313" i="5"/>
  <c r="C313" i="5"/>
  <c r="B313" i="5"/>
  <c r="A313" i="5"/>
  <c r="J312" i="5"/>
  <c r="G312" i="5"/>
  <c r="F312" i="5"/>
  <c r="E312" i="5"/>
  <c r="C312" i="5"/>
  <c r="B312" i="5"/>
  <c r="A312" i="5"/>
  <c r="J311" i="5"/>
  <c r="G311" i="5"/>
  <c r="E311" i="5"/>
  <c r="C311" i="5"/>
  <c r="B311" i="5"/>
  <c r="A311" i="5"/>
  <c r="J310" i="5"/>
  <c r="G310" i="5"/>
  <c r="E310" i="5"/>
  <c r="C310" i="5"/>
  <c r="B310" i="5"/>
  <c r="A310" i="5"/>
  <c r="J309" i="5"/>
  <c r="G309" i="5"/>
  <c r="E309" i="5"/>
  <c r="C309" i="5"/>
  <c r="B309" i="5"/>
  <c r="A309" i="5"/>
  <c r="J308" i="5"/>
  <c r="G308" i="5"/>
  <c r="E308" i="5"/>
  <c r="C308" i="5"/>
  <c r="B308" i="5"/>
  <c r="A308" i="5"/>
  <c r="J307" i="5"/>
  <c r="G307" i="5"/>
  <c r="F307" i="5"/>
  <c r="E307" i="5"/>
  <c r="C307" i="5"/>
  <c r="B307" i="5"/>
  <c r="A307" i="5"/>
  <c r="J306" i="5"/>
  <c r="G306" i="5"/>
  <c r="E306" i="5"/>
  <c r="C306" i="5"/>
  <c r="B306" i="5"/>
  <c r="A306" i="5"/>
  <c r="J305" i="5"/>
  <c r="G305" i="5"/>
  <c r="E305" i="5"/>
  <c r="C305" i="5"/>
  <c r="B305" i="5"/>
  <c r="A305" i="5"/>
  <c r="J304" i="5"/>
  <c r="G304" i="5"/>
  <c r="E304" i="5"/>
  <c r="C304" i="5"/>
  <c r="B304" i="5"/>
  <c r="A304" i="5"/>
  <c r="J303" i="5"/>
  <c r="G303" i="5"/>
  <c r="F303" i="5"/>
  <c r="E303" i="5"/>
  <c r="C303" i="5"/>
  <c r="B303" i="5"/>
  <c r="A303" i="5"/>
  <c r="J302" i="5"/>
  <c r="G302" i="5"/>
  <c r="F302" i="5"/>
  <c r="E302" i="5"/>
  <c r="C302" i="5"/>
  <c r="B302" i="5"/>
  <c r="A302" i="5"/>
  <c r="J301" i="5"/>
  <c r="G301" i="5"/>
  <c r="F301" i="5"/>
  <c r="E301" i="5"/>
  <c r="C301" i="5"/>
  <c r="B301" i="5"/>
  <c r="A301" i="5"/>
  <c r="J300" i="5"/>
  <c r="G300" i="5"/>
  <c r="F300" i="5"/>
  <c r="E300" i="5"/>
  <c r="C300" i="5"/>
  <c r="B300" i="5"/>
  <c r="A300" i="5"/>
  <c r="J299" i="5"/>
  <c r="G299" i="5"/>
  <c r="F299" i="5"/>
  <c r="E299" i="5"/>
  <c r="C299" i="5"/>
  <c r="B299" i="5"/>
  <c r="A299" i="5"/>
  <c r="J298" i="5"/>
  <c r="G298" i="5"/>
  <c r="F298" i="5"/>
  <c r="E298" i="5"/>
  <c r="C298" i="5"/>
  <c r="B298" i="5"/>
  <c r="A298" i="5"/>
  <c r="J297" i="5"/>
  <c r="G297" i="5"/>
  <c r="E297" i="5"/>
  <c r="C297" i="5"/>
  <c r="B297" i="5"/>
  <c r="A297" i="5"/>
  <c r="J296" i="5"/>
  <c r="E296" i="5"/>
  <c r="C296" i="5"/>
  <c r="B296" i="5"/>
  <c r="A296" i="5"/>
  <c r="J295" i="5"/>
  <c r="G295" i="5"/>
  <c r="E295" i="5"/>
  <c r="C295" i="5"/>
  <c r="B295" i="5"/>
  <c r="A295" i="5"/>
  <c r="J294" i="5"/>
  <c r="G294" i="5"/>
  <c r="E294" i="5"/>
  <c r="C294" i="5"/>
  <c r="B294" i="5"/>
  <c r="A294" i="5"/>
  <c r="J293" i="5"/>
  <c r="G293" i="5"/>
  <c r="E293" i="5"/>
  <c r="C293" i="5"/>
  <c r="B293" i="5"/>
  <c r="A293" i="5"/>
  <c r="J292" i="5"/>
  <c r="G292" i="5"/>
  <c r="E292" i="5"/>
  <c r="C292" i="5"/>
  <c r="B292" i="5"/>
  <c r="A292" i="5"/>
  <c r="J291" i="5"/>
  <c r="G291" i="5"/>
  <c r="F291" i="5"/>
  <c r="E291" i="5"/>
  <c r="C291" i="5"/>
  <c r="B291" i="5"/>
  <c r="A291" i="5"/>
  <c r="J290" i="5"/>
  <c r="F290" i="5"/>
  <c r="E290" i="5"/>
  <c r="C290" i="5"/>
  <c r="B290" i="5"/>
  <c r="A290" i="5"/>
  <c r="J289" i="5"/>
  <c r="F289" i="5"/>
  <c r="E289" i="5"/>
  <c r="C289" i="5"/>
  <c r="B289" i="5"/>
  <c r="A289" i="5"/>
  <c r="J288" i="5"/>
  <c r="G288" i="5"/>
  <c r="E288" i="5"/>
  <c r="C288" i="5"/>
  <c r="B288" i="5"/>
  <c r="A288" i="5"/>
  <c r="J287" i="5"/>
  <c r="G287" i="5"/>
  <c r="E287" i="5"/>
  <c r="C287" i="5"/>
  <c r="B287" i="5"/>
  <c r="A287" i="5"/>
  <c r="J286" i="5"/>
  <c r="G286" i="5"/>
  <c r="E286" i="5"/>
  <c r="C286" i="5"/>
  <c r="B286" i="5"/>
  <c r="A286" i="5"/>
  <c r="J285" i="5"/>
  <c r="G285" i="5"/>
  <c r="E285" i="5"/>
  <c r="C285" i="5"/>
  <c r="B285" i="5"/>
  <c r="A285" i="5"/>
  <c r="J284" i="5"/>
  <c r="G284" i="5"/>
  <c r="E284" i="5"/>
  <c r="C284" i="5"/>
  <c r="B284" i="5"/>
  <c r="A284" i="5"/>
  <c r="N283" i="5"/>
  <c r="J283" i="5"/>
  <c r="G283" i="5"/>
  <c r="E283" i="5"/>
  <c r="B283" i="5"/>
  <c r="A283" i="5"/>
  <c r="J282" i="5"/>
  <c r="G282" i="5"/>
  <c r="E282" i="5"/>
  <c r="C282" i="5"/>
  <c r="B282" i="5"/>
  <c r="A282" i="5"/>
  <c r="J281" i="5"/>
  <c r="G281" i="5"/>
  <c r="E281" i="5"/>
  <c r="C281" i="5"/>
  <c r="B281" i="5"/>
  <c r="A281" i="5"/>
  <c r="J280" i="5"/>
  <c r="G280" i="5"/>
  <c r="E280" i="5"/>
  <c r="C280" i="5"/>
  <c r="B280" i="5"/>
  <c r="A280" i="5"/>
  <c r="J279" i="5"/>
  <c r="G279" i="5"/>
  <c r="E279" i="5"/>
  <c r="C279" i="5"/>
  <c r="B279" i="5"/>
  <c r="A279" i="5"/>
  <c r="J278" i="5"/>
  <c r="G278" i="5"/>
  <c r="E278" i="5"/>
  <c r="C278" i="5"/>
  <c r="B278" i="5"/>
  <c r="A278" i="5"/>
  <c r="J277" i="5"/>
  <c r="G277" i="5"/>
  <c r="E277" i="5"/>
  <c r="B277" i="5"/>
  <c r="A277" i="5"/>
  <c r="J276" i="5"/>
  <c r="G276" i="5"/>
  <c r="F276" i="5"/>
  <c r="E276" i="5"/>
  <c r="C276" i="5"/>
  <c r="B276" i="5"/>
  <c r="A276" i="5"/>
  <c r="J275" i="5"/>
  <c r="G275" i="5"/>
  <c r="F275" i="5"/>
  <c r="E275" i="5"/>
  <c r="C275" i="5"/>
  <c r="B275" i="5"/>
  <c r="A275" i="5"/>
  <c r="J274" i="5"/>
  <c r="G274" i="5"/>
  <c r="F274" i="5"/>
  <c r="E274" i="5"/>
  <c r="C274" i="5"/>
  <c r="B274" i="5"/>
  <c r="A274" i="5"/>
  <c r="J273" i="5"/>
  <c r="G273" i="5"/>
  <c r="F273" i="5"/>
  <c r="E273" i="5"/>
  <c r="C273" i="5"/>
  <c r="B273" i="5"/>
  <c r="A273" i="5"/>
  <c r="J272" i="5"/>
  <c r="G272" i="5"/>
  <c r="F272" i="5"/>
  <c r="E272" i="5"/>
  <c r="C272" i="5"/>
  <c r="B272" i="5"/>
  <c r="A272" i="5"/>
  <c r="J271" i="5"/>
  <c r="G271" i="5"/>
  <c r="E271" i="5"/>
  <c r="C271" i="5"/>
  <c r="B271" i="5"/>
  <c r="A271" i="5"/>
  <c r="J270" i="5"/>
  <c r="G270" i="5"/>
  <c r="E270" i="5"/>
  <c r="B270" i="5"/>
  <c r="A270" i="5"/>
  <c r="J269" i="5"/>
  <c r="G269" i="5"/>
  <c r="E269" i="5"/>
  <c r="C269" i="5"/>
  <c r="B269" i="5"/>
  <c r="A269" i="5"/>
  <c r="J268" i="5"/>
  <c r="G268" i="5"/>
  <c r="E268" i="5"/>
  <c r="C268" i="5"/>
  <c r="B268" i="5"/>
  <c r="A268" i="5"/>
  <c r="J267" i="5"/>
  <c r="G267" i="5"/>
  <c r="E267" i="5"/>
  <c r="C267" i="5"/>
  <c r="B267" i="5"/>
  <c r="A267" i="5"/>
  <c r="J266" i="5"/>
  <c r="G266" i="5"/>
  <c r="E266" i="5"/>
  <c r="C266" i="5"/>
  <c r="B266" i="5"/>
  <c r="A266" i="5"/>
  <c r="J265" i="5"/>
  <c r="G265" i="5"/>
  <c r="E265" i="5"/>
  <c r="C265" i="5"/>
  <c r="B265" i="5"/>
  <c r="A265" i="5"/>
  <c r="J264" i="5"/>
  <c r="G264" i="5"/>
  <c r="E264" i="5"/>
  <c r="C264" i="5"/>
  <c r="B264" i="5"/>
  <c r="A264" i="5"/>
  <c r="J263" i="5"/>
  <c r="G263" i="5"/>
  <c r="E263" i="5"/>
  <c r="C263" i="5"/>
  <c r="B263" i="5"/>
  <c r="A263" i="5"/>
  <c r="J262" i="5"/>
  <c r="G262" i="5"/>
  <c r="E262" i="5"/>
  <c r="C262" i="5"/>
  <c r="B262" i="5"/>
  <c r="A262" i="5"/>
  <c r="J261" i="5"/>
  <c r="G261" i="5"/>
  <c r="E261" i="5"/>
  <c r="C261" i="5"/>
  <c r="B261" i="5"/>
  <c r="A261" i="5"/>
  <c r="J260" i="5"/>
  <c r="G260" i="5"/>
  <c r="E260" i="5"/>
  <c r="C260" i="5"/>
  <c r="B260" i="5"/>
  <c r="A260" i="5"/>
  <c r="J259" i="5"/>
  <c r="G259" i="5"/>
  <c r="E259" i="5"/>
  <c r="C259" i="5"/>
  <c r="B259" i="5"/>
  <c r="A259" i="5"/>
  <c r="J258" i="5"/>
  <c r="G258" i="5"/>
  <c r="E258" i="5"/>
  <c r="C258" i="5"/>
  <c r="B258" i="5"/>
  <c r="A258" i="5"/>
  <c r="J257" i="5"/>
  <c r="G257" i="5"/>
  <c r="E257" i="5"/>
  <c r="C257" i="5"/>
  <c r="B257" i="5"/>
  <c r="A257" i="5"/>
  <c r="J256" i="5"/>
  <c r="G256" i="5"/>
  <c r="E256" i="5"/>
  <c r="C256" i="5"/>
  <c r="B256" i="5"/>
  <c r="A256" i="5"/>
  <c r="J255" i="5"/>
  <c r="G255" i="5"/>
  <c r="E255" i="5"/>
  <c r="C255" i="5"/>
  <c r="B255" i="5"/>
  <c r="A255" i="5"/>
  <c r="J254" i="5"/>
  <c r="G254" i="5"/>
  <c r="E254" i="5"/>
  <c r="C254" i="5"/>
  <c r="B254" i="5"/>
  <c r="A254" i="5"/>
  <c r="J253" i="5"/>
  <c r="G253" i="5"/>
  <c r="E253" i="5"/>
  <c r="C253" i="5"/>
  <c r="B253" i="5"/>
  <c r="A253" i="5"/>
  <c r="J252" i="5"/>
  <c r="G252" i="5"/>
  <c r="E252" i="5"/>
  <c r="C252" i="5"/>
  <c r="B252" i="5"/>
  <c r="A252" i="5"/>
  <c r="J251" i="5"/>
  <c r="F251" i="5"/>
  <c r="E251" i="5"/>
  <c r="C251" i="5"/>
  <c r="B251" i="5"/>
  <c r="A251" i="5"/>
  <c r="J250" i="5"/>
  <c r="F250" i="5"/>
  <c r="E250" i="5"/>
  <c r="C250" i="5"/>
  <c r="B250" i="5"/>
  <c r="A250" i="5"/>
  <c r="J249" i="5"/>
  <c r="F249" i="5"/>
  <c r="E249" i="5"/>
  <c r="C249" i="5"/>
  <c r="B249" i="5"/>
  <c r="A249" i="5"/>
  <c r="J248" i="5"/>
  <c r="F248" i="5"/>
  <c r="E248" i="5"/>
  <c r="C248" i="5"/>
  <c r="B248" i="5"/>
  <c r="A248" i="5"/>
  <c r="J247" i="5"/>
  <c r="G247" i="5"/>
  <c r="F247" i="5"/>
  <c r="E247" i="5"/>
  <c r="C247" i="5"/>
  <c r="B247" i="5"/>
  <c r="A247" i="5"/>
  <c r="J246" i="5"/>
  <c r="G246" i="5"/>
  <c r="F246" i="5"/>
  <c r="E246" i="5"/>
  <c r="C246" i="5"/>
  <c r="B246" i="5"/>
  <c r="A246" i="5"/>
  <c r="J245" i="5"/>
  <c r="G245" i="5"/>
  <c r="F245" i="5"/>
  <c r="E245" i="5"/>
  <c r="C245" i="5"/>
  <c r="B245" i="5"/>
  <c r="A245" i="5"/>
  <c r="J244" i="5"/>
  <c r="G244" i="5"/>
  <c r="F244" i="5"/>
  <c r="E244" i="5"/>
  <c r="C244" i="5"/>
  <c r="B244" i="5"/>
  <c r="A244" i="5"/>
  <c r="J243" i="5"/>
  <c r="G243" i="5"/>
  <c r="F243" i="5"/>
  <c r="E243" i="5"/>
  <c r="C243" i="5"/>
  <c r="B243" i="5"/>
  <c r="A243" i="5"/>
  <c r="J242" i="5"/>
  <c r="G242" i="5"/>
  <c r="F242" i="5"/>
  <c r="E242" i="5"/>
  <c r="C242" i="5"/>
  <c r="B242" i="5"/>
  <c r="A242" i="5"/>
  <c r="J241" i="5"/>
  <c r="G241" i="5"/>
  <c r="F241" i="5"/>
  <c r="E241" i="5"/>
  <c r="C241" i="5"/>
  <c r="B241" i="5"/>
  <c r="A241" i="5"/>
  <c r="J240" i="5"/>
  <c r="G240" i="5"/>
  <c r="F240" i="5"/>
  <c r="E240" i="5"/>
  <c r="C240" i="5"/>
  <c r="B240" i="5"/>
  <c r="A240" i="5"/>
  <c r="J239" i="5"/>
  <c r="G239" i="5"/>
  <c r="F239" i="5"/>
  <c r="E239" i="5"/>
  <c r="C239" i="5"/>
  <c r="B239" i="5"/>
  <c r="A239" i="5"/>
  <c r="J238" i="5"/>
  <c r="G238" i="5"/>
  <c r="E238" i="5"/>
  <c r="B238" i="5"/>
  <c r="A238" i="5"/>
  <c r="J237" i="5"/>
  <c r="G237" i="5"/>
  <c r="E237" i="5"/>
  <c r="B237" i="5"/>
  <c r="A237" i="5"/>
  <c r="J236" i="5"/>
  <c r="G236" i="5"/>
  <c r="E236" i="5"/>
  <c r="C236" i="5"/>
  <c r="B236" i="5"/>
  <c r="A236" i="5"/>
  <c r="J235" i="5"/>
  <c r="G235" i="5"/>
  <c r="E235" i="5"/>
  <c r="C235" i="5"/>
  <c r="B235" i="5"/>
  <c r="A235" i="5"/>
  <c r="J234" i="5"/>
  <c r="G234" i="5"/>
  <c r="E234" i="5"/>
  <c r="B234" i="5"/>
  <c r="A234" i="5"/>
  <c r="J233" i="5"/>
  <c r="G233" i="5"/>
  <c r="E233" i="5"/>
  <c r="C233" i="5"/>
  <c r="B233" i="5"/>
  <c r="A233" i="5"/>
  <c r="J232" i="5"/>
  <c r="G232" i="5"/>
  <c r="F232" i="5"/>
  <c r="E232" i="5"/>
  <c r="C232" i="5"/>
  <c r="B232" i="5"/>
  <c r="A232" i="5"/>
  <c r="J231" i="5"/>
  <c r="G231" i="5"/>
  <c r="F231" i="5"/>
  <c r="E231" i="5"/>
  <c r="C231" i="5"/>
  <c r="B231" i="5"/>
  <c r="A231" i="5"/>
  <c r="J230" i="5"/>
  <c r="G230" i="5"/>
  <c r="E230" i="5"/>
  <c r="C230" i="5"/>
  <c r="B230" i="5"/>
  <c r="A230" i="5"/>
  <c r="J229" i="5"/>
  <c r="G229" i="5"/>
  <c r="F229" i="5"/>
  <c r="E229" i="5"/>
  <c r="C229" i="5"/>
  <c r="B229" i="5"/>
  <c r="A229" i="5"/>
  <c r="J228" i="5"/>
  <c r="G228" i="5"/>
  <c r="F228" i="5"/>
  <c r="E228" i="5"/>
  <c r="C228" i="5"/>
  <c r="B228" i="5"/>
  <c r="A228" i="5"/>
  <c r="J227" i="5"/>
  <c r="G227" i="5"/>
  <c r="F227" i="5"/>
  <c r="E227" i="5"/>
  <c r="C227" i="5"/>
  <c r="B227" i="5"/>
  <c r="A227" i="5"/>
  <c r="J226" i="5"/>
  <c r="G226" i="5"/>
  <c r="F226" i="5"/>
  <c r="E226" i="5"/>
  <c r="C226" i="5"/>
  <c r="B226" i="5"/>
  <c r="A226" i="5"/>
  <c r="J225" i="5"/>
  <c r="G225" i="5"/>
  <c r="F225" i="5"/>
  <c r="E225" i="5"/>
  <c r="B225" i="5"/>
  <c r="A225" i="5"/>
  <c r="J224" i="5"/>
  <c r="G224" i="5"/>
  <c r="F224" i="5"/>
  <c r="E224" i="5"/>
  <c r="B224" i="5"/>
  <c r="A224" i="5"/>
  <c r="J223" i="5"/>
  <c r="G223" i="5"/>
  <c r="F223" i="5"/>
  <c r="E223" i="5"/>
  <c r="B223" i="5"/>
  <c r="A223" i="5"/>
  <c r="J222" i="5"/>
  <c r="G222" i="5"/>
  <c r="E222" i="5"/>
  <c r="C222" i="5"/>
  <c r="B222" i="5"/>
  <c r="A222" i="5"/>
  <c r="J221" i="5"/>
  <c r="G221" i="5"/>
  <c r="F221" i="5"/>
  <c r="E221" i="5"/>
  <c r="C221" i="5"/>
  <c r="B221" i="5"/>
  <c r="A221" i="5"/>
  <c r="J220" i="5"/>
  <c r="G220" i="5"/>
  <c r="F220" i="5"/>
  <c r="E220" i="5"/>
  <c r="C220" i="5"/>
  <c r="B220" i="5"/>
  <c r="A220" i="5"/>
  <c r="J219" i="5"/>
  <c r="G219" i="5"/>
  <c r="F219" i="5"/>
  <c r="E219" i="5"/>
  <c r="B219" i="5"/>
  <c r="A219" i="5"/>
  <c r="J218" i="5"/>
  <c r="G218" i="5"/>
  <c r="F218" i="5"/>
  <c r="E218" i="5"/>
  <c r="B218" i="5"/>
  <c r="A218" i="5"/>
  <c r="J217" i="5"/>
  <c r="G217" i="5"/>
  <c r="F217" i="5"/>
  <c r="E217" i="5"/>
  <c r="B217" i="5"/>
  <c r="A217" i="5"/>
  <c r="J216" i="5"/>
  <c r="G216" i="5"/>
  <c r="F216" i="5"/>
  <c r="E216" i="5"/>
  <c r="B216" i="5"/>
  <c r="A216" i="5"/>
  <c r="J215" i="5"/>
  <c r="G215" i="5"/>
  <c r="F215" i="5"/>
  <c r="E215" i="5"/>
  <c r="B215" i="5"/>
  <c r="A215" i="5"/>
  <c r="J214" i="5"/>
  <c r="G214" i="5"/>
  <c r="F214" i="5"/>
  <c r="E214" i="5"/>
  <c r="B214" i="5"/>
  <c r="A214" i="5"/>
  <c r="J213" i="5"/>
  <c r="G213" i="5"/>
  <c r="F213" i="5"/>
  <c r="E213" i="5"/>
  <c r="B213" i="5"/>
  <c r="A213" i="5"/>
  <c r="J212" i="5"/>
  <c r="G212" i="5"/>
  <c r="F212" i="5"/>
  <c r="E212" i="5"/>
  <c r="B212" i="5"/>
  <c r="A212" i="5"/>
  <c r="J211" i="5"/>
  <c r="G211" i="5"/>
  <c r="F211" i="5"/>
  <c r="E211" i="5"/>
  <c r="C211" i="5"/>
  <c r="B211" i="5"/>
  <c r="A211" i="5"/>
  <c r="J210" i="5"/>
  <c r="G210" i="5"/>
  <c r="F210" i="5"/>
  <c r="E210" i="5"/>
  <c r="C210" i="5"/>
  <c r="B210" i="5"/>
  <c r="A210" i="5"/>
  <c r="J209" i="5"/>
  <c r="G209" i="5"/>
  <c r="F209" i="5"/>
  <c r="E209" i="5"/>
  <c r="C209" i="5"/>
  <c r="B209" i="5"/>
  <c r="A209" i="5"/>
  <c r="J208" i="5"/>
  <c r="G208" i="5"/>
  <c r="E208" i="5"/>
  <c r="B208" i="5"/>
  <c r="A208" i="5"/>
  <c r="J207" i="5"/>
  <c r="G207" i="5"/>
  <c r="E207" i="5"/>
  <c r="B207" i="5"/>
  <c r="A207" i="5"/>
  <c r="J206" i="5"/>
  <c r="G206" i="5"/>
  <c r="E206" i="5"/>
  <c r="B206" i="5"/>
  <c r="A206" i="5"/>
  <c r="J205" i="5"/>
  <c r="G205" i="5"/>
  <c r="F205" i="5"/>
  <c r="E205" i="5"/>
  <c r="C205" i="5"/>
  <c r="B205" i="5"/>
  <c r="A205" i="5"/>
  <c r="J204" i="5"/>
  <c r="G204" i="5"/>
  <c r="F204" i="5"/>
  <c r="E204" i="5"/>
  <c r="C204" i="5"/>
  <c r="B204" i="5"/>
  <c r="A204" i="5"/>
  <c r="J203" i="5"/>
  <c r="G203" i="5"/>
  <c r="F203" i="5"/>
  <c r="E203" i="5"/>
  <c r="C203" i="5"/>
  <c r="B203" i="5"/>
  <c r="A203" i="5"/>
  <c r="J202" i="5"/>
  <c r="G202" i="5"/>
  <c r="F202" i="5"/>
  <c r="E202" i="5"/>
  <c r="C202" i="5"/>
  <c r="B202" i="5"/>
  <c r="A202" i="5"/>
  <c r="J201" i="5"/>
  <c r="G201" i="5"/>
  <c r="F201" i="5"/>
  <c r="E201" i="5"/>
  <c r="C201" i="5"/>
  <c r="B201" i="5"/>
  <c r="A201" i="5"/>
  <c r="J200" i="5"/>
  <c r="G200" i="5"/>
  <c r="F200" i="5"/>
  <c r="E200" i="5"/>
  <c r="C200" i="5"/>
  <c r="B200" i="5"/>
  <c r="A200" i="5"/>
  <c r="J199" i="5"/>
  <c r="G199" i="5"/>
  <c r="F199" i="5"/>
  <c r="E199" i="5"/>
  <c r="C199" i="5"/>
  <c r="B199" i="5"/>
  <c r="A199" i="5"/>
  <c r="J198" i="5"/>
  <c r="G198" i="5"/>
  <c r="F198" i="5"/>
  <c r="E198" i="5"/>
  <c r="C198" i="5"/>
  <c r="B198" i="5"/>
  <c r="A198" i="5"/>
  <c r="J197" i="5"/>
  <c r="G197" i="5"/>
  <c r="F197" i="5"/>
  <c r="E197" i="5"/>
  <c r="C197" i="5"/>
  <c r="B197" i="5"/>
  <c r="A197" i="5"/>
  <c r="J196" i="5"/>
  <c r="G196" i="5"/>
  <c r="F196" i="5"/>
  <c r="E196" i="5"/>
  <c r="C196" i="5"/>
  <c r="B196" i="5"/>
  <c r="A196" i="5"/>
  <c r="J195" i="5"/>
  <c r="G195" i="5"/>
  <c r="F195" i="5"/>
  <c r="E195" i="5"/>
  <c r="C195" i="5"/>
  <c r="B195" i="5"/>
  <c r="A195" i="5"/>
  <c r="J194" i="5"/>
  <c r="G194" i="5"/>
  <c r="F194" i="5"/>
  <c r="E194" i="5"/>
  <c r="C194" i="5"/>
  <c r="B194" i="5"/>
  <c r="A194" i="5"/>
  <c r="J193" i="5"/>
  <c r="G193" i="5"/>
  <c r="F193" i="5"/>
  <c r="E193" i="5"/>
  <c r="C193" i="5"/>
  <c r="B193" i="5"/>
  <c r="A193" i="5"/>
  <c r="J192" i="5"/>
  <c r="G192" i="5"/>
  <c r="F192" i="5"/>
  <c r="E192" i="5"/>
  <c r="C192" i="5"/>
  <c r="B192" i="5"/>
  <c r="A192" i="5"/>
  <c r="J191" i="5"/>
  <c r="G191" i="5"/>
  <c r="E191" i="5"/>
  <c r="C191" i="5"/>
  <c r="B191" i="5"/>
  <c r="A191" i="5"/>
  <c r="J190" i="5"/>
  <c r="G190" i="5"/>
  <c r="E190" i="5"/>
  <c r="C190" i="5"/>
  <c r="B190" i="5"/>
  <c r="A190" i="5"/>
  <c r="J189" i="5"/>
  <c r="G189" i="5"/>
  <c r="E189" i="5"/>
  <c r="B189" i="5"/>
  <c r="A189" i="5"/>
  <c r="J188" i="5"/>
  <c r="G188" i="5"/>
  <c r="E188" i="5"/>
  <c r="C188" i="5"/>
  <c r="B188" i="5"/>
  <c r="A188" i="5"/>
  <c r="J187" i="5"/>
  <c r="G187" i="5"/>
  <c r="E187" i="5"/>
  <c r="C187" i="5"/>
  <c r="B187" i="5"/>
  <c r="A187" i="5"/>
  <c r="J186" i="5"/>
  <c r="G186" i="5"/>
  <c r="E186" i="5"/>
  <c r="C186" i="5"/>
  <c r="B186" i="5"/>
  <c r="A186" i="5"/>
  <c r="J185" i="5"/>
  <c r="G185" i="5"/>
  <c r="E185" i="5"/>
  <c r="C185" i="5"/>
  <c r="B185" i="5"/>
  <c r="A185" i="5"/>
  <c r="J184" i="5"/>
  <c r="G184" i="5"/>
  <c r="E184" i="5"/>
  <c r="C184" i="5"/>
  <c r="B184" i="5"/>
  <c r="A184" i="5"/>
  <c r="J183" i="5"/>
  <c r="G183" i="5"/>
  <c r="E183" i="5"/>
  <c r="C183" i="5"/>
  <c r="B183" i="5"/>
  <c r="A183" i="5"/>
  <c r="J182" i="5"/>
  <c r="G182" i="5"/>
  <c r="E182" i="5"/>
  <c r="C182" i="5"/>
  <c r="B182" i="5"/>
  <c r="A182" i="5"/>
  <c r="J181" i="5"/>
  <c r="G181" i="5"/>
  <c r="E181" i="5"/>
  <c r="C181" i="5"/>
  <c r="B181" i="5"/>
  <c r="A181" i="5"/>
  <c r="J180" i="5"/>
  <c r="G180" i="5"/>
  <c r="E180" i="5"/>
  <c r="C180" i="5"/>
  <c r="B180" i="5"/>
  <c r="A180" i="5"/>
  <c r="J179" i="5"/>
  <c r="G179" i="5"/>
  <c r="E179" i="5"/>
  <c r="C179" i="5"/>
  <c r="B179" i="5"/>
  <c r="A179" i="5"/>
  <c r="J178" i="5"/>
  <c r="G178" i="5"/>
  <c r="F178" i="5"/>
  <c r="E178" i="5"/>
  <c r="C178" i="5"/>
  <c r="B178" i="5"/>
  <c r="A178" i="5"/>
  <c r="J177" i="5"/>
  <c r="G177" i="5"/>
  <c r="F177" i="5"/>
  <c r="E177" i="5"/>
  <c r="C177" i="5"/>
  <c r="B177" i="5"/>
  <c r="A177" i="5"/>
  <c r="J176" i="5"/>
  <c r="G176" i="5"/>
  <c r="F176" i="5"/>
  <c r="E176" i="5"/>
  <c r="C176" i="5"/>
  <c r="B176" i="5"/>
  <c r="A176" i="5"/>
  <c r="J175" i="5"/>
  <c r="G175" i="5"/>
  <c r="E175" i="5"/>
  <c r="C175" i="5"/>
  <c r="B175" i="5"/>
  <c r="A175" i="5"/>
  <c r="J174" i="5"/>
  <c r="G174" i="5"/>
  <c r="E174" i="5"/>
  <c r="C174" i="5"/>
  <c r="B174" i="5"/>
  <c r="A174" i="5"/>
  <c r="J173" i="5"/>
  <c r="G173" i="5"/>
  <c r="E173" i="5"/>
  <c r="C173" i="5"/>
  <c r="B173" i="5"/>
  <c r="A173" i="5"/>
  <c r="J172" i="5"/>
  <c r="G172" i="5"/>
  <c r="E172" i="5"/>
  <c r="C172" i="5"/>
  <c r="B172" i="5"/>
  <c r="A172" i="5"/>
  <c r="J171" i="5"/>
  <c r="G171" i="5"/>
  <c r="E171" i="5"/>
  <c r="C171" i="5"/>
  <c r="B171" i="5"/>
  <c r="A171" i="5"/>
  <c r="J170" i="5"/>
  <c r="G170" i="5"/>
  <c r="E170" i="5"/>
  <c r="C170" i="5"/>
  <c r="B170" i="5"/>
  <c r="A170" i="5"/>
  <c r="J169" i="5"/>
  <c r="G169" i="5"/>
  <c r="E169" i="5"/>
  <c r="C169" i="5"/>
  <c r="B169" i="5"/>
  <c r="A169" i="5"/>
  <c r="J168" i="5"/>
  <c r="G168" i="5"/>
  <c r="E168" i="5"/>
  <c r="C168" i="5"/>
  <c r="B168" i="5"/>
  <c r="A168" i="5"/>
  <c r="J167" i="5"/>
  <c r="G167" i="5"/>
  <c r="F167" i="5"/>
  <c r="E167" i="5"/>
  <c r="C167" i="5"/>
  <c r="B167" i="5"/>
  <c r="A167" i="5"/>
  <c r="J166" i="5"/>
  <c r="G166" i="5"/>
  <c r="F166" i="5"/>
  <c r="E166" i="5"/>
  <c r="C166" i="5"/>
  <c r="B166" i="5"/>
  <c r="A166" i="5"/>
  <c r="J165" i="5"/>
  <c r="G165" i="5"/>
  <c r="F165" i="5"/>
  <c r="E165" i="5"/>
  <c r="C165" i="5"/>
  <c r="B165" i="5"/>
  <c r="A165" i="5"/>
  <c r="J164" i="5"/>
  <c r="G164" i="5"/>
  <c r="F164" i="5"/>
  <c r="E164" i="5"/>
  <c r="C164" i="5"/>
  <c r="B164" i="5"/>
  <c r="A164" i="5"/>
  <c r="J163" i="5"/>
  <c r="G163" i="5"/>
  <c r="F163" i="5"/>
  <c r="E163" i="5"/>
  <c r="C163" i="5"/>
  <c r="B163" i="5"/>
  <c r="A163" i="5"/>
  <c r="J162" i="5"/>
  <c r="G162" i="5"/>
  <c r="F162" i="5"/>
  <c r="E162" i="5"/>
  <c r="C162" i="5"/>
  <c r="B162" i="5"/>
  <c r="A162" i="5"/>
  <c r="J161" i="5"/>
  <c r="G161" i="5"/>
  <c r="F161" i="5"/>
  <c r="E161" i="5"/>
  <c r="C161" i="5"/>
  <c r="B161" i="5"/>
  <c r="A161" i="5"/>
  <c r="J160" i="5"/>
  <c r="G160" i="5"/>
  <c r="F160" i="5"/>
  <c r="E160" i="5"/>
  <c r="C160" i="5"/>
  <c r="B160" i="5"/>
  <c r="A160" i="5"/>
  <c r="J159" i="5"/>
  <c r="G159" i="5"/>
  <c r="E159" i="5"/>
  <c r="C159" i="5"/>
  <c r="B159" i="5"/>
  <c r="A159" i="5"/>
  <c r="J158" i="5"/>
  <c r="G158" i="5"/>
  <c r="F158" i="5"/>
  <c r="E158" i="5"/>
  <c r="C158" i="5"/>
  <c r="B158" i="5"/>
  <c r="A158" i="5"/>
  <c r="J157" i="5"/>
  <c r="G157" i="5"/>
  <c r="F157" i="5"/>
  <c r="E157" i="5"/>
  <c r="C157" i="5"/>
  <c r="B157" i="5"/>
  <c r="A157" i="5"/>
  <c r="J156" i="5"/>
  <c r="G156" i="5"/>
  <c r="F156" i="5"/>
  <c r="E156" i="5"/>
  <c r="C156" i="5"/>
  <c r="B156" i="5"/>
  <c r="A156" i="5"/>
  <c r="J155" i="5"/>
  <c r="G155" i="5"/>
  <c r="F155" i="5"/>
  <c r="E155" i="5"/>
  <c r="C155" i="5"/>
  <c r="B155" i="5"/>
  <c r="A155" i="5"/>
  <c r="J154" i="5"/>
  <c r="G154" i="5"/>
  <c r="F154" i="5"/>
  <c r="E154" i="5"/>
  <c r="C154" i="5"/>
  <c r="B154" i="5"/>
  <c r="A154" i="5"/>
  <c r="J153" i="5"/>
  <c r="G153" i="5"/>
  <c r="F153" i="5"/>
  <c r="E153" i="5"/>
  <c r="C153" i="5"/>
  <c r="B153" i="5"/>
  <c r="A153" i="5"/>
  <c r="J152" i="5"/>
  <c r="G152" i="5"/>
  <c r="F152" i="5"/>
  <c r="E152" i="5"/>
  <c r="C152" i="5"/>
  <c r="B152" i="5"/>
  <c r="A152" i="5"/>
  <c r="J151" i="5"/>
  <c r="G151" i="5"/>
  <c r="F151" i="5"/>
  <c r="E151" i="5"/>
  <c r="C151" i="5"/>
  <c r="B151" i="5"/>
  <c r="A151" i="5"/>
  <c r="J150" i="5"/>
  <c r="G150" i="5"/>
  <c r="F150" i="5"/>
  <c r="E150" i="5"/>
  <c r="C150" i="5"/>
  <c r="B150" i="5"/>
  <c r="A150" i="5"/>
  <c r="J149" i="5"/>
  <c r="G149" i="5"/>
  <c r="F149" i="5"/>
  <c r="E149" i="5"/>
  <c r="C149" i="5"/>
  <c r="B149" i="5"/>
  <c r="A149" i="5"/>
  <c r="N148" i="5"/>
  <c r="J148" i="5"/>
  <c r="G148" i="5"/>
  <c r="F148" i="5"/>
  <c r="E148" i="5"/>
  <c r="C148" i="5"/>
  <c r="B148" i="5"/>
  <c r="A148" i="5"/>
  <c r="N147" i="5"/>
  <c r="J147" i="5"/>
  <c r="G147" i="5"/>
  <c r="F147" i="5"/>
  <c r="E147" i="5"/>
  <c r="C147" i="5"/>
  <c r="B147" i="5"/>
  <c r="A147" i="5"/>
  <c r="J146" i="5"/>
  <c r="G146" i="5"/>
  <c r="E146" i="5"/>
  <c r="C146" i="5"/>
  <c r="B146" i="5"/>
  <c r="A146" i="5"/>
  <c r="J145" i="5"/>
  <c r="G145" i="5"/>
  <c r="E145" i="5"/>
  <c r="C145" i="5"/>
  <c r="B145" i="5"/>
  <c r="A145" i="5"/>
  <c r="J144" i="5"/>
  <c r="G144" i="5"/>
  <c r="E144" i="5"/>
  <c r="B144" i="5"/>
  <c r="A144" i="5"/>
  <c r="J143" i="5"/>
  <c r="G143" i="5"/>
  <c r="E143" i="5"/>
  <c r="B143" i="5"/>
  <c r="A143" i="5"/>
  <c r="J142" i="5"/>
  <c r="G142" i="5"/>
  <c r="E142" i="5"/>
  <c r="C142" i="5"/>
  <c r="B142" i="5"/>
  <c r="A142" i="5"/>
  <c r="J141" i="5"/>
  <c r="G141" i="5"/>
  <c r="E141" i="5"/>
  <c r="C141" i="5"/>
  <c r="B141" i="5"/>
  <c r="A141" i="5"/>
  <c r="J140" i="5"/>
  <c r="G140" i="5"/>
  <c r="E140" i="5"/>
  <c r="C140" i="5"/>
  <c r="B140" i="5"/>
  <c r="A140" i="5"/>
  <c r="J139" i="5"/>
  <c r="G139" i="5"/>
  <c r="E139" i="5"/>
  <c r="C139" i="5"/>
  <c r="B139" i="5"/>
  <c r="A139" i="5"/>
  <c r="J138" i="5"/>
  <c r="G138" i="5"/>
  <c r="E138" i="5"/>
  <c r="C138" i="5"/>
  <c r="B138" i="5"/>
  <c r="A138" i="5"/>
  <c r="J137" i="5"/>
  <c r="G137" i="5"/>
  <c r="C137" i="5"/>
  <c r="B137" i="5"/>
  <c r="A137" i="5"/>
  <c r="J136" i="5"/>
  <c r="G136" i="5"/>
  <c r="E136" i="5"/>
  <c r="C136" i="5"/>
  <c r="B136" i="5"/>
  <c r="A136" i="5"/>
  <c r="J135" i="5"/>
  <c r="G135" i="5"/>
  <c r="E135" i="5"/>
  <c r="C135" i="5"/>
  <c r="B135" i="5"/>
  <c r="A135" i="5"/>
  <c r="J134" i="5"/>
  <c r="G134" i="5"/>
  <c r="E134" i="5"/>
  <c r="C134" i="5"/>
  <c r="B134" i="5"/>
  <c r="A134" i="5"/>
  <c r="J133" i="5"/>
  <c r="G133" i="5"/>
  <c r="E133" i="5"/>
  <c r="B133" i="5"/>
  <c r="A133" i="5"/>
  <c r="J132" i="5"/>
  <c r="G132" i="5"/>
  <c r="F132" i="5"/>
  <c r="E132" i="5"/>
  <c r="B132" i="5"/>
  <c r="A132" i="5"/>
  <c r="J131" i="5"/>
  <c r="G131" i="5"/>
  <c r="E131" i="5"/>
  <c r="C131" i="5"/>
  <c r="B131" i="5"/>
  <c r="A131" i="5"/>
  <c r="J130" i="5"/>
  <c r="G130" i="5"/>
  <c r="E130" i="5"/>
  <c r="C130" i="5"/>
  <c r="B130" i="5"/>
  <c r="A130" i="5"/>
  <c r="J129" i="5"/>
  <c r="G129" i="5"/>
  <c r="E129" i="5"/>
  <c r="C129" i="5"/>
  <c r="B129" i="5"/>
  <c r="A129" i="5"/>
  <c r="J128" i="5"/>
  <c r="G128" i="5"/>
  <c r="E128" i="5"/>
  <c r="C128" i="5"/>
  <c r="B128" i="5"/>
  <c r="A128" i="5"/>
  <c r="J127" i="5"/>
  <c r="G127" i="5"/>
  <c r="E127" i="5"/>
  <c r="C127" i="5"/>
  <c r="B127" i="5"/>
  <c r="A127" i="5"/>
  <c r="J126" i="5"/>
  <c r="G126" i="5"/>
  <c r="E126" i="5"/>
  <c r="C126" i="5"/>
  <c r="B126" i="5"/>
  <c r="A126" i="5"/>
  <c r="J125" i="5"/>
  <c r="G125" i="5"/>
  <c r="E125" i="5"/>
  <c r="C125" i="5"/>
  <c r="B125" i="5"/>
  <c r="A125" i="5"/>
  <c r="J124" i="5"/>
  <c r="G124" i="5"/>
  <c r="E124" i="5"/>
  <c r="C124" i="5"/>
  <c r="B124" i="5"/>
  <c r="A124" i="5"/>
  <c r="J123" i="5"/>
  <c r="G123" i="5"/>
  <c r="E123" i="5"/>
  <c r="C123" i="5"/>
  <c r="B123" i="5"/>
  <c r="A123" i="5"/>
  <c r="J122" i="5"/>
  <c r="G122" i="5"/>
  <c r="E122" i="5"/>
  <c r="C122" i="5"/>
  <c r="B122" i="5"/>
  <c r="A122" i="5"/>
  <c r="J121" i="5"/>
  <c r="G121" i="5"/>
  <c r="F121" i="5"/>
  <c r="E121" i="5"/>
  <c r="C121" i="5"/>
  <c r="B121" i="5"/>
  <c r="A121" i="5"/>
  <c r="J120" i="5"/>
  <c r="G120" i="5"/>
  <c r="E120" i="5"/>
  <c r="B120" i="5"/>
  <c r="A120" i="5"/>
  <c r="J119" i="5"/>
  <c r="G119" i="5"/>
  <c r="E119" i="5"/>
  <c r="B119" i="5"/>
  <c r="A119" i="5"/>
  <c r="J118" i="5"/>
  <c r="G118" i="5"/>
  <c r="E118" i="5"/>
  <c r="B118" i="5"/>
  <c r="A118" i="5"/>
  <c r="J117" i="5"/>
  <c r="G117" i="5"/>
  <c r="E117" i="5"/>
  <c r="B117" i="5"/>
  <c r="A117" i="5"/>
  <c r="J116" i="5"/>
  <c r="G116" i="5"/>
  <c r="E116" i="5"/>
  <c r="B116" i="5"/>
  <c r="A116" i="5"/>
  <c r="J115" i="5"/>
  <c r="G115" i="5"/>
  <c r="E115" i="5"/>
  <c r="C115" i="5"/>
  <c r="B115" i="5"/>
  <c r="A115" i="5"/>
  <c r="J114" i="5"/>
  <c r="G114" i="5"/>
  <c r="F114" i="5"/>
  <c r="E114" i="5"/>
  <c r="C114" i="5"/>
  <c r="B114" i="5"/>
  <c r="A114" i="5"/>
  <c r="J113" i="5"/>
  <c r="G113" i="5"/>
  <c r="F113" i="5"/>
  <c r="E113" i="5"/>
  <c r="C113" i="5"/>
  <c r="B113" i="5"/>
  <c r="A113" i="5"/>
  <c r="J112" i="5"/>
  <c r="G112" i="5"/>
  <c r="E112" i="5"/>
  <c r="C112" i="5"/>
  <c r="B112" i="5"/>
  <c r="A112" i="5"/>
  <c r="J111" i="5"/>
  <c r="G111" i="5"/>
  <c r="C111" i="5"/>
  <c r="B111" i="5"/>
  <c r="A111" i="5"/>
  <c r="J110" i="5"/>
  <c r="G110" i="5"/>
  <c r="E110" i="5"/>
  <c r="C110" i="5"/>
  <c r="B110" i="5"/>
  <c r="A110" i="5"/>
  <c r="J109" i="5"/>
  <c r="G109" i="5"/>
  <c r="E109" i="5"/>
  <c r="C109" i="5"/>
  <c r="B109" i="5"/>
  <c r="A109" i="5"/>
  <c r="J108" i="5"/>
  <c r="G108" i="5"/>
  <c r="F108" i="5"/>
  <c r="E108" i="5"/>
  <c r="C108" i="5"/>
  <c r="B108" i="5"/>
  <c r="A108" i="5"/>
  <c r="J107" i="5"/>
  <c r="G107" i="5"/>
  <c r="E107" i="5"/>
  <c r="C107" i="5"/>
  <c r="B107" i="5"/>
  <c r="A107" i="5"/>
  <c r="J106" i="5"/>
  <c r="G106" i="5"/>
  <c r="E106" i="5"/>
  <c r="C106" i="5"/>
  <c r="B106" i="5"/>
  <c r="A106" i="5"/>
  <c r="J105" i="5"/>
  <c r="G105" i="5"/>
  <c r="E105" i="5"/>
  <c r="C105" i="5"/>
  <c r="B105" i="5"/>
  <c r="A105" i="5"/>
  <c r="J104" i="5"/>
  <c r="G104" i="5"/>
  <c r="E104" i="5"/>
  <c r="C104" i="5"/>
  <c r="B104" i="5"/>
  <c r="A104" i="5"/>
  <c r="J103" i="5"/>
  <c r="G103" i="5"/>
  <c r="E103" i="5"/>
  <c r="C103" i="5"/>
  <c r="B103" i="5"/>
  <c r="A103" i="5"/>
  <c r="J102" i="5"/>
  <c r="G102" i="5"/>
  <c r="E102" i="5"/>
  <c r="C102" i="5"/>
  <c r="B102" i="5"/>
  <c r="A102" i="5"/>
  <c r="J101" i="5"/>
  <c r="G101" i="5"/>
  <c r="F101" i="5"/>
  <c r="E101" i="5"/>
  <c r="C101" i="5"/>
  <c r="B101" i="5"/>
  <c r="A101" i="5"/>
  <c r="J100" i="5"/>
  <c r="G100" i="5"/>
  <c r="E100" i="5"/>
  <c r="C100" i="5"/>
  <c r="B100" i="5"/>
  <c r="A100" i="5"/>
  <c r="J99" i="5"/>
  <c r="G99" i="5"/>
  <c r="E99" i="5"/>
  <c r="C99" i="5"/>
  <c r="B99" i="5"/>
  <c r="A99" i="5"/>
  <c r="J98" i="5"/>
  <c r="G98" i="5"/>
  <c r="E98" i="5"/>
  <c r="B98" i="5"/>
  <c r="A98" i="5"/>
  <c r="J97" i="5"/>
  <c r="G97" i="5"/>
  <c r="E97" i="5"/>
  <c r="C97" i="5"/>
  <c r="B97" i="5"/>
  <c r="A97" i="5"/>
  <c r="J96" i="5"/>
  <c r="G96" i="5"/>
  <c r="E96" i="5"/>
  <c r="C96" i="5"/>
  <c r="B96" i="5"/>
  <c r="A96" i="5"/>
  <c r="J95" i="5"/>
  <c r="G95" i="5"/>
  <c r="E95" i="5"/>
  <c r="C95" i="5"/>
  <c r="B95" i="5"/>
  <c r="A95" i="5"/>
  <c r="J94" i="5"/>
  <c r="G94" i="5"/>
  <c r="E94" i="5"/>
  <c r="C94" i="5"/>
  <c r="B94" i="5"/>
  <c r="A94" i="5"/>
  <c r="J93" i="5"/>
  <c r="G93" i="5"/>
  <c r="E93" i="5"/>
  <c r="C93" i="5"/>
  <c r="B93" i="5"/>
  <c r="A93" i="5"/>
  <c r="J92" i="5"/>
  <c r="G92" i="5"/>
  <c r="E92" i="5"/>
  <c r="C92" i="5"/>
  <c r="B92" i="5"/>
  <c r="A92" i="5"/>
  <c r="J91" i="5"/>
  <c r="G91" i="5"/>
  <c r="E91" i="5"/>
  <c r="C91" i="5"/>
  <c r="B91" i="5"/>
  <c r="A91" i="5"/>
  <c r="J90" i="5"/>
  <c r="G90" i="5"/>
  <c r="E90" i="5"/>
  <c r="C90" i="5"/>
  <c r="B90" i="5"/>
  <c r="A90" i="5"/>
  <c r="J89" i="5"/>
  <c r="G89" i="5"/>
  <c r="E89" i="5"/>
  <c r="C89" i="5"/>
  <c r="B89" i="5"/>
  <c r="A89" i="5"/>
  <c r="J88" i="5"/>
  <c r="G88" i="5"/>
  <c r="E88" i="5"/>
  <c r="C88" i="5"/>
  <c r="B88" i="5"/>
  <c r="A88" i="5"/>
  <c r="J87" i="5"/>
  <c r="G87" i="5"/>
  <c r="E87" i="5"/>
  <c r="C87" i="5"/>
  <c r="B87" i="5"/>
  <c r="A87" i="5"/>
  <c r="J86" i="5"/>
  <c r="G86" i="5"/>
  <c r="E86" i="5"/>
  <c r="C86" i="5"/>
  <c r="B86" i="5"/>
  <c r="A86" i="5"/>
  <c r="J85" i="5"/>
  <c r="G85" i="5"/>
  <c r="E85" i="5"/>
  <c r="C85" i="5"/>
  <c r="B85" i="5"/>
  <c r="A85" i="5"/>
  <c r="J84" i="5"/>
  <c r="G84" i="5"/>
  <c r="E84" i="5"/>
  <c r="C84" i="5"/>
  <c r="B84" i="5"/>
  <c r="A84" i="5"/>
  <c r="J83" i="5"/>
  <c r="G83" i="5"/>
  <c r="F83" i="5"/>
  <c r="E83" i="5"/>
  <c r="C83" i="5"/>
  <c r="B83" i="5"/>
  <c r="A83" i="5"/>
  <c r="J82" i="5"/>
  <c r="G82" i="5"/>
  <c r="F82" i="5"/>
  <c r="E82" i="5"/>
  <c r="C82" i="5"/>
  <c r="B82" i="5"/>
  <c r="A82" i="5"/>
  <c r="J81" i="5"/>
  <c r="G81" i="5"/>
  <c r="F81" i="5"/>
  <c r="E81" i="5"/>
  <c r="C81" i="5"/>
  <c r="B81" i="5"/>
  <c r="A81" i="5"/>
  <c r="J80" i="5"/>
  <c r="G80" i="5"/>
  <c r="E80" i="5"/>
  <c r="C80" i="5"/>
  <c r="B80" i="5"/>
  <c r="A80" i="5"/>
  <c r="J79" i="5"/>
  <c r="G79" i="5"/>
  <c r="E79" i="5"/>
  <c r="C79" i="5"/>
  <c r="B79" i="5"/>
  <c r="A79" i="5"/>
  <c r="J78" i="5"/>
  <c r="G78" i="5"/>
  <c r="E78" i="5"/>
  <c r="C78" i="5"/>
  <c r="B78" i="5"/>
  <c r="A78" i="5"/>
  <c r="J77" i="5"/>
  <c r="G77" i="5"/>
  <c r="E77" i="5"/>
  <c r="C77" i="5"/>
  <c r="B77" i="5"/>
  <c r="A77" i="5"/>
  <c r="J76" i="5"/>
  <c r="G76" i="5"/>
  <c r="F76" i="5"/>
  <c r="E76" i="5"/>
  <c r="C76" i="5"/>
  <c r="B76" i="5"/>
  <c r="A76" i="5"/>
  <c r="J75" i="5"/>
  <c r="G75" i="5"/>
  <c r="F75" i="5"/>
  <c r="E75" i="5"/>
  <c r="C75" i="5"/>
  <c r="B75" i="5"/>
  <c r="A75" i="5"/>
  <c r="J74" i="5"/>
  <c r="G74" i="5"/>
  <c r="F74" i="5"/>
  <c r="E74" i="5"/>
  <c r="C74" i="5"/>
  <c r="B74" i="5"/>
  <c r="A74" i="5"/>
  <c r="J73" i="5"/>
  <c r="G73" i="5"/>
  <c r="F73" i="5"/>
  <c r="E73" i="5"/>
  <c r="C73" i="5"/>
  <c r="B73" i="5"/>
  <c r="A73" i="5"/>
  <c r="J72" i="5"/>
  <c r="G72" i="5"/>
  <c r="E72" i="5"/>
  <c r="C72" i="5"/>
  <c r="B72" i="5"/>
  <c r="A72" i="5"/>
  <c r="J71" i="5"/>
  <c r="G71" i="5"/>
  <c r="E71" i="5"/>
  <c r="C71" i="5"/>
  <c r="B71" i="5"/>
  <c r="A71" i="5"/>
  <c r="J70" i="5"/>
  <c r="G70" i="5"/>
  <c r="E70" i="5"/>
  <c r="C70" i="5"/>
  <c r="B70" i="5"/>
  <c r="A70" i="5"/>
  <c r="J69" i="5"/>
  <c r="G69" i="5"/>
  <c r="E69" i="5"/>
  <c r="C69" i="5"/>
  <c r="B69" i="5"/>
  <c r="A69" i="5"/>
  <c r="J68" i="5"/>
  <c r="G68" i="5"/>
  <c r="E68" i="5"/>
  <c r="C68" i="5"/>
  <c r="B68" i="5"/>
  <c r="A68" i="5"/>
  <c r="J67" i="5"/>
  <c r="G67" i="5"/>
  <c r="E67" i="5"/>
  <c r="C67" i="5"/>
  <c r="B67" i="5"/>
  <c r="A67" i="5"/>
  <c r="J66" i="5"/>
  <c r="G66" i="5"/>
  <c r="F66" i="5"/>
  <c r="E66" i="5"/>
  <c r="C66" i="5"/>
  <c r="B66" i="5"/>
  <c r="A66" i="5"/>
  <c r="J65" i="5"/>
  <c r="G65" i="5"/>
  <c r="F65" i="5"/>
  <c r="E65" i="5"/>
  <c r="C65" i="5"/>
  <c r="B65" i="5"/>
  <c r="A65" i="5"/>
  <c r="J64" i="5"/>
  <c r="G64" i="5"/>
  <c r="F64" i="5"/>
  <c r="E64" i="5"/>
  <c r="C64" i="5"/>
  <c r="B64" i="5"/>
  <c r="A64" i="5"/>
  <c r="J63" i="5"/>
  <c r="G63" i="5"/>
  <c r="E63" i="5"/>
  <c r="C63" i="5"/>
  <c r="B63" i="5"/>
  <c r="A63" i="5"/>
  <c r="J62" i="5"/>
  <c r="G62" i="5"/>
  <c r="E62" i="5"/>
  <c r="C62" i="5"/>
  <c r="B62" i="5"/>
  <c r="A62" i="5"/>
  <c r="J61" i="5"/>
  <c r="G61" i="5"/>
  <c r="E61" i="5"/>
  <c r="C61" i="5"/>
  <c r="B61" i="5"/>
  <c r="A61" i="5"/>
  <c r="J60" i="5"/>
  <c r="G60" i="5"/>
  <c r="F60" i="5"/>
  <c r="E60" i="5"/>
  <c r="C60" i="5"/>
  <c r="B60" i="5"/>
  <c r="A60" i="5"/>
  <c r="N59" i="5"/>
  <c r="J59" i="5"/>
  <c r="G59" i="5"/>
  <c r="F59" i="5"/>
  <c r="E59" i="5"/>
  <c r="C59" i="5"/>
  <c r="B59" i="5"/>
  <c r="A59" i="5"/>
  <c r="J58" i="5"/>
  <c r="G58" i="5"/>
  <c r="F58" i="5"/>
  <c r="E58" i="5"/>
  <c r="C58" i="5"/>
  <c r="B58" i="5"/>
  <c r="A58" i="5"/>
  <c r="J57" i="5"/>
  <c r="G57" i="5"/>
  <c r="F57" i="5"/>
  <c r="E57" i="5"/>
  <c r="C57" i="5"/>
  <c r="B57" i="5"/>
  <c r="A57" i="5"/>
  <c r="J56" i="5"/>
  <c r="G56" i="5"/>
  <c r="F56" i="5"/>
  <c r="E56" i="5"/>
  <c r="C56" i="5"/>
  <c r="B56" i="5"/>
  <c r="A56" i="5"/>
  <c r="J55" i="5"/>
  <c r="G55" i="5"/>
  <c r="F55" i="5"/>
  <c r="E55" i="5"/>
  <c r="C55" i="5"/>
  <c r="B55" i="5"/>
  <c r="A55" i="5"/>
  <c r="J54" i="5"/>
  <c r="G54" i="5"/>
  <c r="F54" i="5"/>
  <c r="E54" i="5"/>
  <c r="C54" i="5"/>
  <c r="B54" i="5"/>
  <c r="A54" i="5"/>
  <c r="J53" i="5"/>
  <c r="G53" i="5"/>
  <c r="F53" i="5"/>
  <c r="E53" i="5"/>
  <c r="C53" i="5"/>
  <c r="B53" i="5"/>
  <c r="A53" i="5"/>
  <c r="J52" i="5"/>
  <c r="G52" i="5"/>
  <c r="F52" i="5"/>
  <c r="E52" i="5"/>
  <c r="C52" i="5"/>
  <c r="B52" i="5"/>
  <c r="A52" i="5"/>
  <c r="J51" i="5"/>
  <c r="G51" i="5"/>
  <c r="F51" i="5"/>
  <c r="E51" i="5"/>
  <c r="C51" i="5"/>
  <c r="B51" i="5"/>
  <c r="A51" i="5"/>
  <c r="J50" i="5"/>
  <c r="G50" i="5"/>
  <c r="E50" i="5"/>
  <c r="B50" i="5"/>
  <c r="A50" i="5"/>
  <c r="J49" i="5"/>
  <c r="E49" i="5"/>
  <c r="B49" i="5"/>
  <c r="A49" i="5"/>
  <c r="J48" i="5"/>
  <c r="E48" i="5"/>
  <c r="B48" i="5"/>
  <c r="A48" i="5"/>
  <c r="J47" i="5"/>
  <c r="G47" i="5"/>
  <c r="E47" i="5"/>
  <c r="C47" i="5"/>
  <c r="B47" i="5"/>
  <c r="A47" i="5"/>
  <c r="J46" i="5"/>
  <c r="G46" i="5"/>
  <c r="E46" i="5"/>
  <c r="C46" i="5"/>
  <c r="B46" i="5"/>
  <c r="A46" i="5"/>
  <c r="J45" i="5"/>
  <c r="G45" i="5"/>
  <c r="E45" i="5"/>
  <c r="C45" i="5"/>
  <c r="B45" i="5"/>
  <c r="A45" i="5"/>
  <c r="J44" i="5"/>
  <c r="G44" i="5"/>
  <c r="E44" i="5"/>
  <c r="C44" i="5"/>
  <c r="B44" i="5"/>
  <c r="A44" i="5"/>
  <c r="J43" i="5"/>
  <c r="G43" i="5"/>
  <c r="E43" i="5"/>
  <c r="C43" i="5"/>
  <c r="B43" i="5"/>
  <c r="A43" i="5"/>
  <c r="J42" i="5"/>
  <c r="G42" i="5"/>
  <c r="E42" i="5"/>
  <c r="C42" i="5"/>
  <c r="B42" i="5"/>
  <c r="A42" i="5"/>
  <c r="J41" i="5"/>
  <c r="G41" i="5"/>
  <c r="E41" i="5"/>
  <c r="C41" i="5"/>
  <c r="B41" i="5"/>
  <c r="A41" i="5"/>
  <c r="J40" i="5"/>
  <c r="G40" i="5"/>
  <c r="F40" i="5"/>
  <c r="E40" i="5"/>
  <c r="C40" i="5"/>
  <c r="B40" i="5"/>
  <c r="A40" i="5"/>
  <c r="J39" i="5"/>
  <c r="G39" i="5"/>
  <c r="F39" i="5"/>
  <c r="E39" i="5"/>
  <c r="C39" i="5"/>
  <c r="B39" i="5"/>
  <c r="A39" i="5"/>
  <c r="J38" i="5"/>
  <c r="G38" i="5"/>
  <c r="F38" i="5"/>
  <c r="E38" i="5"/>
  <c r="C38" i="5"/>
  <c r="B38" i="5"/>
  <c r="A38" i="5"/>
  <c r="J37" i="5"/>
  <c r="G37" i="5"/>
  <c r="F37" i="5"/>
  <c r="E37" i="5"/>
  <c r="C37" i="5"/>
  <c r="B37" i="5"/>
  <c r="A37" i="5"/>
  <c r="J36" i="5"/>
  <c r="G36" i="5"/>
  <c r="F36" i="5"/>
  <c r="E36" i="5"/>
  <c r="C36" i="5"/>
  <c r="B36" i="5"/>
  <c r="A36" i="5"/>
  <c r="J35" i="5"/>
  <c r="G35" i="5"/>
  <c r="F35" i="5"/>
  <c r="E35" i="5"/>
  <c r="C35" i="5"/>
  <c r="B35" i="5"/>
  <c r="A35" i="5"/>
  <c r="J34" i="5"/>
  <c r="G34" i="5"/>
  <c r="F34" i="5"/>
  <c r="E34" i="5"/>
  <c r="C34" i="5"/>
  <c r="B34" i="5"/>
  <c r="A34" i="5"/>
  <c r="J33" i="5"/>
  <c r="G33" i="5"/>
  <c r="F33" i="5"/>
  <c r="E33" i="5"/>
  <c r="C33" i="5"/>
  <c r="B33" i="5"/>
  <c r="A33" i="5"/>
  <c r="J32" i="5"/>
  <c r="G32" i="5"/>
  <c r="F32" i="5"/>
  <c r="E32" i="5"/>
  <c r="C32" i="5"/>
  <c r="B32" i="5"/>
  <c r="A32" i="5"/>
  <c r="J31" i="5"/>
  <c r="G31" i="5"/>
  <c r="F31" i="5"/>
  <c r="E31" i="5"/>
  <c r="C31" i="5"/>
  <c r="B31" i="5"/>
  <c r="A31" i="5"/>
  <c r="N30" i="5"/>
  <c r="J30" i="5"/>
  <c r="G30" i="5"/>
  <c r="E30" i="5"/>
  <c r="C30" i="5"/>
  <c r="B30" i="5"/>
  <c r="A30" i="5"/>
  <c r="J29" i="5"/>
  <c r="G29" i="5"/>
  <c r="E29" i="5"/>
  <c r="C29" i="5"/>
  <c r="B29" i="5"/>
  <c r="A29" i="5"/>
  <c r="J28" i="5"/>
  <c r="G28" i="5"/>
  <c r="E28" i="5"/>
  <c r="B28" i="5"/>
  <c r="A28" i="5"/>
  <c r="J27" i="5"/>
  <c r="E27" i="5"/>
  <c r="C27" i="5"/>
  <c r="B27" i="5"/>
  <c r="A27" i="5"/>
  <c r="N26" i="5"/>
  <c r="J26" i="5"/>
  <c r="G26" i="5"/>
  <c r="E26" i="5"/>
  <c r="C26" i="5"/>
  <c r="B26" i="5"/>
  <c r="A26" i="5"/>
  <c r="J25" i="5"/>
  <c r="G25" i="5"/>
  <c r="E25" i="5"/>
  <c r="C25" i="5"/>
  <c r="B25" i="5"/>
  <c r="A25" i="5"/>
  <c r="J24" i="5"/>
  <c r="G24" i="5"/>
  <c r="E24" i="5"/>
  <c r="C24" i="5"/>
  <c r="B24" i="5"/>
  <c r="A24" i="5"/>
  <c r="N23" i="5"/>
  <c r="J23" i="5"/>
  <c r="G23" i="5"/>
  <c r="E23" i="5"/>
  <c r="C23" i="5"/>
  <c r="B23" i="5"/>
  <c r="A23" i="5"/>
  <c r="J22" i="5"/>
  <c r="G22" i="5"/>
  <c r="E22" i="5"/>
  <c r="C22" i="5"/>
  <c r="B22" i="5"/>
  <c r="A22" i="5"/>
  <c r="J21" i="5"/>
  <c r="G21" i="5"/>
  <c r="E21" i="5"/>
  <c r="C21" i="5"/>
  <c r="B21" i="5"/>
  <c r="A21" i="5"/>
  <c r="J20" i="5"/>
  <c r="G20" i="5"/>
  <c r="F20" i="5"/>
  <c r="E20" i="5"/>
  <c r="C20" i="5"/>
  <c r="B20" i="5"/>
  <c r="A20" i="5"/>
  <c r="J19" i="5"/>
  <c r="G19" i="5"/>
  <c r="F19" i="5"/>
  <c r="E19" i="5"/>
  <c r="C19" i="5"/>
  <c r="B19" i="5"/>
  <c r="A19" i="5"/>
  <c r="J18" i="5"/>
  <c r="G18" i="5"/>
  <c r="F18" i="5"/>
  <c r="E18" i="5"/>
  <c r="C18" i="5"/>
  <c r="B18" i="5"/>
  <c r="A18" i="5"/>
  <c r="J17" i="5"/>
  <c r="G17" i="5"/>
  <c r="F17" i="5"/>
  <c r="E17" i="5"/>
  <c r="C17" i="5"/>
  <c r="B17" i="5"/>
  <c r="A17" i="5"/>
  <c r="J16" i="5"/>
  <c r="G16" i="5"/>
  <c r="E16" i="5"/>
  <c r="C16" i="5"/>
  <c r="B16" i="5"/>
  <c r="A16" i="5"/>
  <c r="N15" i="5"/>
  <c r="J15" i="5"/>
  <c r="G15" i="5"/>
  <c r="E15" i="5"/>
  <c r="C15" i="5"/>
  <c r="B15" i="5"/>
  <c r="A15" i="5"/>
  <c r="J14" i="5"/>
  <c r="G14" i="5"/>
  <c r="E14" i="5"/>
  <c r="C14" i="5"/>
  <c r="B14" i="5"/>
  <c r="A14" i="5"/>
  <c r="J13" i="5"/>
  <c r="G13" i="5"/>
  <c r="F13" i="5"/>
  <c r="E13" i="5"/>
  <c r="C13" i="5"/>
  <c r="B13" i="5"/>
  <c r="A13" i="5"/>
  <c r="J12" i="5"/>
  <c r="G12" i="5"/>
  <c r="E12" i="5"/>
  <c r="C12" i="5"/>
  <c r="B12" i="5"/>
  <c r="A12" i="5"/>
  <c r="J11" i="5"/>
  <c r="G11" i="5"/>
  <c r="E11" i="5"/>
  <c r="C11" i="5"/>
  <c r="B11" i="5"/>
  <c r="A11" i="5"/>
  <c r="J10" i="5"/>
  <c r="G10" i="5"/>
  <c r="E10" i="5"/>
  <c r="C10" i="5"/>
  <c r="B10" i="5"/>
  <c r="A10" i="5"/>
  <c r="J9" i="5"/>
  <c r="G9" i="5"/>
  <c r="E9" i="5"/>
  <c r="C9" i="5"/>
  <c r="B9" i="5"/>
  <c r="A9" i="5"/>
  <c r="N8" i="5"/>
  <c r="J8" i="5"/>
  <c r="G8" i="5"/>
  <c r="E8" i="5"/>
  <c r="C8" i="5"/>
  <c r="B8" i="5"/>
  <c r="A8" i="5"/>
  <c r="N7" i="5"/>
  <c r="J7" i="5"/>
  <c r="G7" i="5"/>
  <c r="E7" i="5"/>
  <c r="C7" i="5"/>
  <c r="B7" i="5"/>
  <c r="A7" i="5"/>
  <c r="J6" i="5"/>
  <c r="G6" i="5"/>
  <c r="E6" i="5"/>
  <c r="C6" i="5"/>
  <c r="B6" i="5"/>
  <c r="A6" i="5"/>
  <c r="K2573" i="3"/>
  <c r="I2573" i="3"/>
  <c r="F2573" i="3"/>
  <c r="D2573" i="3"/>
  <c r="B2573" i="3"/>
  <c r="A2573" i="3"/>
  <c r="K2572" i="3"/>
  <c r="I2572" i="3"/>
  <c r="F2572" i="3"/>
  <c r="D2572" i="3"/>
  <c r="B2572" i="3"/>
  <c r="A2572" i="3"/>
  <c r="K2571" i="3"/>
  <c r="I2571" i="3"/>
  <c r="F2571" i="3"/>
  <c r="D2571" i="3"/>
  <c r="B2571" i="3"/>
  <c r="A2571" i="3"/>
  <c r="K2570" i="3"/>
  <c r="I2570" i="3"/>
  <c r="F2570" i="3"/>
  <c r="D2570" i="3"/>
  <c r="B2570" i="3"/>
  <c r="A2570" i="3"/>
  <c r="K2569" i="3"/>
  <c r="I2569" i="3"/>
  <c r="F2569" i="3"/>
  <c r="D2569" i="3"/>
  <c r="B2569" i="3"/>
  <c r="A2569" i="3"/>
  <c r="K2568" i="3"/>
  <c r="I2568" i="3"/>
  <c r="F2568" i="3"/>
  <c r="D2568" i="3"/>
  <c r="B2568" i="3"/>
  <c r="A2568" i="3"/>
  <c r="K2567" i="3"/>
  <c r="I2567" i="3"/>
  <c r="F2567" i="3"/>
  <c r="D2567" i="3"/>
  <c r="B2567" i="3"/>
  <c r="A2567" i="3"/>
  <c r="K2566" i="3"/>
  <c r="I2566" i="3"/>
  <c r="F2566" i="3"/>
  <c r="D2566" i="3"/>
  <c r="B2566" i="3"/>
  <c r="A2566" i="3"/>
  <c r="K2565" i="3"/>
  <c r="I2565" i="3"/>
  <c r="F2565" i="3"/>
  <c r="D2565" i="3"/>
  <c r="B2565" i="3"/>
  <c r="A2565" i="3"/>
  <c r="K2564" i="3"/>
  <c r="I2564" i="3"/>
  <c r="F2564" i="3"/>
  <c r="D2564" i="3"/>
  <c r="B2564" i="3"/>
  <c r="A2564" i="3"/>
  <c r="K2563" i="3"/>
  <c r="I2563" i="3"/>
  <c r="F2563" i="3"/>
  <c r="D2563" i="3"/>
  <c r="B2563" i="3"/>
  <c r="A2563" i="3"/>
  <c r="K2562" i="3"/>
  <c r="I2562" i="3"/>
  <c r="F2562" i="3"/>
  <c r="D2562" i="3"/>
  <c r="B2562" i="3"/>
  <c r="A2562" i="3"/>
  <c r="K2561" i="3"/>
  <c r="I2561" i="3"/>
  <c r="F2561" i="3"/>
  <c r="D2561" i="3"/>
  <c r="B2561" i="3"/>
  <c r="A2561" i="3"/>
  <c r="K2560" i="3"/>
  <c r="I2560" i="3"/>
  <c r="F2560" i="3"/>
  <c r="D2560" i="3"/>
  <c r="B2560" i="3"/>
  <c r="A2560" i="3"/>
  <c r="K2559" i="3"/>
  <c r="I2559" i="3"/>
  <c r="F2559" i="3"/>
  <c r="D2559" i="3"/>
  <c r="B2559" i="3"/>
  <c r="A2559" i="3"/>
  <c r="K2558" i="3"/>
  <c r="I2558" i="3"/>
  <c r="F2558" i="3"/>
  <c r="D2558" i="3"/>
  <c r="B2558" i="3"/>
  <c r="A2558" i="3"/>
  <c r="K2557" i="3"/>
  <c r="I2557" i="3"/>
  <c r="F2557" i="3"/>
  <c r="D2557" i="3"/>
  <c r="B2557" i="3"/>
  <c r="A2557" i="3"/>
  <c r="K2556" i="3"/>
  <c r="I2556" i="3"/>
  <c r="F2556" i="3"/>
  <c r="D2556" i="3"/>
  <c r="B2556" i="3"/>
  <c r="A2556" i="3"/>
  <c r="K2555" i="3"/>
  <c r="I2555" i="3"/>
  <c r="F2555" i="3"/>
  <c r="D2555" i="3"/>
  <c r="B2555" i="3"/>
  <c r="A2555" i="3"/>
  <c r="K2554" i="3"/>
  <c r="I2554" i="3"/>
  <c r="F2554" i="3"/>
  <c r="D2554" i="3"/>
  <c r="B2554" i="3"/>
  <c r="A2554" i="3"/>
  <c r="K2553" i="3"/>
  <c r="I2553" i="3"/>
  <c r="F2553" i="3"/>
  <c r="D2553" i="3"/>
  <c r="B2553" i="3"/>
  <c r="A2553" i="3"/>
  <c r="K2552" i="3"/>
  <c r="I2552" i="3"/>
  <c r="F2552" i="3"/>
  <c r="D2552" i="3"/>
  <c r="B2552" i="3"/>
  <c r="A2552" i="3"/>
  <c r="K2551" i="3"/>
  <c r="I2551" i="3"/>
  <c r="F2551" i="3"/>
  <c r="D2551" i="3"/>
  <c r="B2551" i="3"/>
  <c r="A2551" i="3"/>
  <c r="K2550" i="3"/>
  <c r="I2550" i="3"/>
  <c r="F2550" i="3"/>
  <c r="D2550" i="3"/>
  <c r="B2550" i="3"/>
  <c r="A2550" i="3"/>
  <c r="K2549" i="3"/>
  <c r="I2549" i="3"/>
  <c r="F2549" i="3"/>
  <c r="D2549" i="3"/>
  <c r="B2549" i="3"/>
  <c r="A2549" i="3"/>
  <c r="K2548" i="3"/>
  <c r="I2548" i="3"/>
  <c r="F2548" i="3"/>
  <c r="D2548" i="3"/>
  <c r="B2548" i="3"/>
  <c r="A2548" i="3"/>
  <c r="K2547" i="3"/>
  <c r="I2547" i="3"/>
  <c r="F2547" i="3"/>
  <c r="D2547" i="3"/>
  <c r="B2547" i="3"/>
  <c r="A2547" i="3"/>
  <c r="K2546" i="3"/>
  <c r="I2546" i="3"/>
  <c r="F2546" i="3"/>
  <c r="D2546" i="3"/>
  <c r="B2546" i="3"/>
  <c r="A2546" i="3"/>
  <c r="K2545" i="3"/>
  <c r="I2545" i="3"/>
  <c r="F2545" i="3"/>
  <c r="D2545" i="3"/>
  <c r="B2545" i="3"/>
  <c r="A2545" i="3"/>
  <c r="K2544" i="3"/>
  <c r="I2544" i="3"/>
  <c r="F2544" i="3"/>
  <c r="D2544" i="3"/>
  <c r="B2544" i="3"/>
  <c r="A2544" i="3"/>
  <c r="K2543" i="3"/>
  <c r="I2543" i="3"/>
  <c r="F2543" i="3"/>
  <c r="D2543" i="3"/>
  <c r="B2543" i="3"/>
  <c r="A2543" i="3"/>
  <c r="K2542" i="3"/>
  <c r="I2542" i="3"/>
  <c r="F2542" i="3"/>
  <c r="D2542" i="3"/>
  <c r="B2542" i="3"/>
  <c r="A2542" i="3"/>
  <c r="K2541" i="3"/>
  <c r="I2541" i="3"/>
  <c r="F2541" i="3"/>
  <c r="D2541" i="3"/>
  <c r="B2541" i="3"/>
  <c r="A2541" i="3"/>
  <c r="K2540" i="3"/>
  <c r="I2540" i="3"/>
  <c r="F2540" i="3"/>
  <c r="D2540" i="3"/>
  <c r="B2540" i="3"/>
  <c r="A2540" i="3"/>
  <c r="K2539" i="3"/>
  <c r="I2539" i="3"/>
  <c r="F2539" i="3"/>
  <c r="D2539" i="3"/>
  <c r="B2539" i="3"/>
  <c r="A2539" i="3"/>
  <c r="K2538" i="3"/>
  <c r="I2538" i="3"/>
  <c r="F2538" i="3"/>
  <c r="D2538" i="3"/>
  <c r="B2538" i="3"/>
  <c r="A2538" i="3"/>
  <c r="K2537" i="3"/>
  <c r="I2537" i="3"/>
  <c r="F2537" i="3"/>
  <c r="D2537" i="3"/>
  <c r="B2537" i="3"/>
  <c r="A2537" i="3"/>
  <c r="K2536" i="3"/>
  <c r="I2536" i="3"/>
  <c r="F2536" i="3"/>
  <c r="D2536" i="3"/>
  <c r="B2536" i="3"/>
  <c r="A2536" i="3"/>
  <c r="K2535" i="3"/>
  <c r="I2535" i="3"/>
  <c r="F2535" i="3"/>
  <c r="D2535" i="3"/>
  <c r="B2535" i="3"/>
  <c r="A2535" i="3"/>
  <c r="K2534" i="3"/>
  <c r="I2534" i="3"/>
  <c r="F2534" i="3"/>
  <c r="D2534" i="3"/>
  <c r="B2534" i="3"/>
  <c r="A2534" i="3"/>
  <c r="K2533" i="3"/>
  <c r="I2533" i="3"/>
  <c r="F2533" i="3"/>
  <c r="D2533" i="3"/>
  <c r="B2533" i="3"/>
  <c r="A2533" i="3"/>
  <c r="K2532" i="3"/>
  <c r="I2532" i="3"/>
  <c r="F2532" i="3"/>
  <c r="D2532" i="3"/>
  <c r="B2532" i="3"/>
  <c r="A2532" i="3"/>
  <c r="K2531" i="3"/>
  <c r="I2531" i="3"/>
  <c r="F2531" i="3"/>
  <c r="D2531" i="3"/>
  <c r="B2531" i="3"/>
  <c r="A2531" i="3"/>
  <c r="K2530" i="3"/>
  <c r="I2530" i="3"/>
  <c r="F2530" i="3"/>
  <c r="D2530" i="3"/>
  <c r="B2530" i="3"/>
  <c r="A2530" i="3"/>
  <c r="K2529" i="3"/>
  <c r="I2529" i="3"/>
  <c r="F2529" i="3"/>
  <c r="D2529" i="3"/>
  <c r="B2529" i="3"/>
  <c r="A2529" i="3"/>
  <c r="K2528" i="3"/>
  <c r="I2528" i="3"/>
  <c r="F2528" i="3"/>
  <c r="D2528" i="3"/>
  <c r="B2528" i="3"/>
  <c r="A2528" i="3"/>
  <c r="K2527" i="3"/>
  <c r="I2527" i="3"/>
  <c r="F2527" i="3"/>
  <c r="D2527" i="3"/>
  <c r="B2527" i="3"/>
  <c r="A2527" i="3"/>
  <c r="K2526" i="3"/>
  <c r="I2526" i="3"/>
  <c r="F2526" i="3"/>
  <c r="D2526" i="3"/>
  <c r="B2526" i="3"/>
  <c r="A2526" i="3"/>
  <c r="K2525" i="3"/>
  <c r="I2525" i="3"/>
  <c r="F2525" i="3"/>
  <c r="D2525" i="3"/>
  <c r="B2525" i="3"/>
  <c r="A2525" i="3"/>
  <c r="K2524" i="3"/>
  <c r="I2524" i="3"/>
  <c r="F2524" i="3"/>
  <c r="D2524" i="3"/>
  <c r="B2524" i="3"/>
  <c r="A2524" i="3"/>
  <c r="K2523" i="3"/>
  <c r="I2523" i="3"/>
  <c r="F2523" i="3"/>
  <c r="D2523" i="3"/>
  <c r="B2523" i="3"/>
  <c r="A2523" i="3"/>
  <c r="K2522" i="3"/>
  <c r="I2522" i="3"/>
  <c r="F2522" i="3"/>
  <c r="D2522" i="3"/>
  <c r="B2522" i="3"/>
  <c r="A2522" i="3"/>
  <c r="K2521" i="3"/>
  <c r="I2521" i="3"/>
  <c r="F2521" i="3"/>
  <c r="D2521" i="3"/>
  <c r="B2521" i="3"/>
  <c r="A2521" i="3"/>
  <c r="K2520" i="3"/>
  <c r="I2520" i="3"/>
  <c r="F2520" i="3"/>
  <c r="B2520" i="3"/>
  <c r="A2520" i="3"/>
  <c r="K2519" i="3"/>
  <c r="I2519" i="3"/>
  <c r="F2519" i="3"/>
  <c r="D2519" i="3"/>
  <c r="B2519" i="3"/>
  <c r="A2519" i="3"/>
  <c r="K2518" i="3"/>
  <c r="I2518" i="3"/>
  <c r="F2518" i="3"/>
  <c r="D2518" i="3"/>
  <c r="B2518" i="3"/>
  <c r="A2518" i="3"/>
  <c r="K2517" i="3"/>
  <c r="I2517" i="3"/>
  <c r="F2517" i="3"/>
  <c r="D2517" i="3"/>
  <c r="B2517" i="3"/>
  <c r="A2517" i="3"/>
  <c r="K2516" i="3"/>
  <c r="I2516" i="3"/>
  <c r="F2516" i="3"/>
  <c r="D2516" i="3"/>
  <c r="B2516" i="3"/>
  <c r="A2516" i="3"/>
  <c r="K2515" i="3"/>
  <c r="I2515" i="3"/>
  <c r="F2515" i="3"/>
  <c r="D2515" i="3"/>
  <c r="B2515" i="3"/>
  <c r="A2515" i="3"/>
  <c r="K2514" i="3"/>
  <c r="I2514" i="3"/>
  <c r="F2514" i="3"/>
  <c r="D2514" i="3"/>
  <c r="B2514" i="3"/>
  <c r="A2514" i="3"/>
  <c r="K2513" i="3"/>
  <c r="I2513" i="3"/>
  <c r="F2513" i="3"/>
  <c r="D2513" i="3"/>
  <c r="B2513" i="3"/>
  <c r="A2513" i="3"/>
  <c r="K2512" i="3"/>
  <c r="I2512" i="3"/>
  <c r="F2512" i="3"/>
  <c r="D2512" i="3"/>
  <c r="B2512" i="3"/>
  <c r="A2512" i="3"/>
  <c r="K2511" i="3"/>
  <c r="I2511" i="3"/>
  <c r="F2511" i="3"/>
  <c r="D2511" i="3"/>
  <c r="B2511" i="3"/>
  <c r="A2511" i="3"/>
  <c r="K2510" i="3"/>
  <c r="I2510" i="3"/>
  <c r="F2510" i="3"/>
  <c r="D2510" i="3"/>
  <c r="B2510" i="3"/>
  <c r="A2510" i="3"/>
  <c r="K2509" i="3"/>
  <c r="I2509" i="3"/>
  <c r="F2509" i="3"/>
  <c r="D2509" i="3"/>
  <c r="B2509" i="3"/>
  <c r="A2509" i="3"/>
  <c r="K2508" i="3"/>
  <c r="I2508" i="3"/>
  <c r="F2508" i="3"/>
  <c r="D2508" i="3"/>
  <c r="B2508" i="3"/>
  <c r="A2508" i="3"/>
  <c r="K2507" i="3"/>
  <c r="I2507" i="3"/>
  <c r="F2507" i="3"/>
  <c r="D2507" i="3"/>
  <c r="B2507" i="3"/>
  <c r="A2507" i="3"/>
  <c r="K2506" i="3"/>
  <c r="I2506" i="3"/>
  <c r="F2506" i="3"/>
  <c r="D2506" i="3"/>
  <c r="B2506" i="3"/>
  <c r="A2506" i="3"/>
  <c r="K2505" i="3"/>
  <c r="I2505" i="3"/>
  <c r="F2505" i="3"/>
  <c r="B2505" i="3"/>
  <c r="A2505" i="3"/>
  <c r="K2504" i="3"/>
  <c r="I2504" i="3"/>
  <c r="F2504" i="3"/>
  <c r="D2504" i="3"/>
  <c r="B2504" i="3"/>
  <c r="A2504" i="3"/>
  <c r="K2503" i="3"/>
  <c r="I2503" i="3"/>
  <c r="F2503" i="3"/>
  <c r="D2503" i="3"/>
  <c r="B2503" i="3"/>
  <c r="A2503" i="3"/>
  <c r="K2502" i="3"/>
  <c r="I2502" i="3"/>
  <c r="F2502" i="3"/>
  <c r="D2502" i="3"/>
  <c r="B2502" i="3"/>
  <c r="A2502" i="3"/>
  <c r="K2501" i="3"/>
  <c r="I2501" i="3"/>
  <c r="F2501" i="3"/>
  <c r="D2501" i="3"/>
  <c r="B2501" i="3"/>
  <c r="A2501" i="3"/>
  <c r="K2500" i="3"/>
  <c r="I2500" i="3"/>
  <c r="F2500" i="3"/>
  <c r="D2500" i="3"/>
  <c r="B2500" i="3"/>
  <c r="A2500" i="3"/>
  <c r="K2499" i="3"/>
  <c r="I2499" i="3"/>
  <c r="F2499" i="3"/>
  <c r="D2499" i="3"/>
  <c r="B2499" i="3"/>
  <c r="A2499" i="3"/>
  <c r="K2498" i="3"/>
  <c r="I2498" i="3"/>
  <c r="F2498" i="3"/>
  <c r="D2498" i="3"/>
  <c r="B2498" i="3"/>
  <c r="A2498" i="3"/>
  <c r="K2497" i="3"/>
  <c r="I2497" i="3"/>
  <c r="F2497" i="3"/>
  <c r="D2497" i="3"/>
  <c r="B2497" i="3"/>
  <c r="A2497" i="3"/>
  <c r="K2496" i="3"/>
  <c r="I2496" i="3"/>
  <c r="F2496" i="3"/>
  <c r="D2496" i="3"/>
  <c r="B2496" i="3"/>
  <c r="A2496" i="3"/>
  <c r="K2495" i="3"/>
  <c r="I2495" i="3"/>
  <c r="F2495" i="3"/>
  <c r="D2495" i="3"/>
  <c r="B2495" i="3"/>
  <c r="A2495" i="3"/>
  <c r="K2494" i="3"/>
  <c r="I2494" i="3"/>
  <c r="F2494" i="3"/>
  <c r="D2494" i="3"/>
  <c r="B2494" i="3"/>
  <c r="A2494" i="3"/>
  <c r="K2493" i="3"/>
  <c r="I2493" i="3"/>
  <c r="F2493" i="3"/>
  <c r="D2493" i="3"/>
  <c r="B2493" i="3"/>
  <c r="A2493" i="3"/>
  <c r="K2492" i="3"/>
  <c r="I2492" i="3"/>
  <c r="F2492" i="3"/>
  <c r="D2492" i="3"/>
  <c r="B2492" i="3"/>
  <c r="A2492" i="3"/>
  <c r="K2491" i="3"/>
  <c r="I2491" i="3"/>
  <c r="F2491" i="3"/>
  <c r="D2491" i="3"/>
  <c r="B2491" i="3"/>
  <c r="A2491" i="3"/>
  <c r="K2490" i="3"/>
  <c r="I2490" i="3"/>
  <c r="F2490" i="3"/>
  <c r="D2490" i="3"/>
  <c r="B2490" i="3"/>
  <c r="A2490" i="3"/>
  <c r="K2489" i="3"/>
  <c r="I2489" i="3"/>
  <c r="F2489" i="3"/>
  <c r="B2489" i="3"/>
  <c r="A2489" i="3"/>
  <c r="K2488" i="3"/>
  <c r="I2488" i="3"/>
  <c r="F2488" i="3"/>
  <c r="D2488" i="3"/>
  <c r="B2488" i="3"/>
  <c r="A2488" i="3"/>
  <c r="K2487" i="3"/>
  <c r="I2487" i="3"/>
  <c r="F2487" i="3"/>
  <c r="D2487" i="3"/>
  <c r="B2487" i="3"/>
  <c r="A2487" i="3"/>
  <c r="K2486" i="3"/>
  <c r="I2486" i="3"/>
  <c r="F2486" i="3"/>
  <c r="D2486" i="3"/>
  <c r="B2486" i="3"/>
  <c r="A2486" i="3"/>
  <c r="K2485" i="3"/>
  <c r="I2485" i="3"/>
  <c r="F2485" i="3"/>
  <c r="D2485" i="3"/>
  <c r="B2485" i="3"/>
  <c r="A2485" i="3"/>
  <c r="K2484" i="3"/>
  <c r="I2484" i="3"/>
  <c r="F2484" i="3"/>
  <c r="D2484" i="3"/>
  <c r="B2484" i="3"/>
  <c r="A2484" i="3"/>
  <c r="K2483" i="3"/>
  <c r="I2483" i="3"/>
  <c r="F2483" i="3"/>
  <c r="D2483" i="3"/>
  <c r="B2483" i="3"/>
  <c r="A2483" i="3"/>
  <c r="K2482" i="3"/>
  <c r="I2482" i="3"/>
  <c r="D2482" i="3"/>
  <c r="B2482" i="3"/>
  <c r="A2482" i="3"/>
  <c r="K2481" i="3"/>
  <c r="I2481" i="3"/>
  <c r="F2481" i="3"/>
  <c r="D2481" i="3"/>
  <c r="B2481" i="3"/>
  <c r="A2481" i="3"/>
  <c r="K2480" i="3"/>
  <c r="I2480" i="3"/>
  <c r="F2480" i="3"/>
  <c r="D2480" i="3"/>
  <c r="B2480" i="3"/>
  <c r="A2480" i="3"/>
  <c r="K2479" i="3"/>
  <c r="I2479" i="3"/>
  <c r="F2479" i="3"/>
  <c r="D2479" i="3"/>
  <c r="B2479" i="3"/>
  <c r="A2479" i="3"/>
  <c r="K2478" i="3"/>
  <c r="I2478" i="3"/>
  <c r="F2478" i="3"/>
  <c r="D2478" i="3"/>
  <c r="B2478" i="3"/>
  <c r="A2478" i="3"/>
  <c r="K2477" i="3"/>
  <c r="I2477" i="3"/>
  <c r="F2477" i="3"/>
  <c r="D2477" i="3"/>
  <c r="B2477" i="3"/>
  <c r="A2477" i="3"/>
  <c r="K2476" i="3"/>
  <c r="I2476" i="3"/>
  <c r="F2476" i="3"/>
  <c r="D2476" i="3"/>
  <c r="B2476" i="3"/>
  <c r="A2476" i="3"/>
  <c r="K2475" i="3"/>
  <c r="I2475" i="3"/>
  <c r="F2475" i="3"/>
  <c r="D2475" i="3"/>
  <c r="B2475" i="3"/>
  <c r="A2475" i="3"/>
  <c r="K2474" i="3"/>
  <c r="I2474" i="3"/>
  <c r="F2474" i="3"/>
  <c r="D2474" i="3"/>
  <c r="B2474" i="3"/>
  <c r="A2474" i="3"/>
  <c r="K2473" i="3"/>
  <c r="I2473" i="3"/>
  <c r="F2473" i="3"/>
  <c r="D2473" i="3"/>
  <c r="B2473" i="3"/>
  <c r="A2473" i="3"/>
  <c r="K2472" i="3"/>
  <c r="I2472" i="3"/>
  <c r="F2472" i="3"/>
  <c r="D2472" i="3"/>
  <c r="B2472" i="3"/>
  <c r="A2472" i="3"/>
  <c r="K2471" i="3"/>
  <c r="I2471" i="3"/>
  <c r="F2471" i="3"/>
  <c r="D2471" i="3"/>
  <c r="B2471" i="3"/>
  <c r="A2471" i="3"/>
  <c r="K2470" i="3"/>
  <c r="I2470" i="3"/>
  <c r="F2470" i="3"/>
  <c r="D2470" i="3"/>
  <c r="B2470" i="3"/>
  <c r="A2470" i="3"/>
  <c r="K2469" i="3"/>
  <c r="I2469" i="3"/>
  <c r="F2469" i="3"/>
  <c r="D2469" i="3"/>
  <c r="B2469" i="3"/>
  <c r="A2469" i="3"/>
  <c r="K2468" i="3"/>
  <c r="I2468" i="3"/>
  <c r="F2468" i="3"/>
  <c r="D2468" i="3"/>
  <c r="B2468" i="3"/>
  <c r="A2468" i="3"/>
  <c r="K2467" i="3"/>
  <c r="I2467" i="3"/>
  <c r="F2467" i="3"/>
  <c r="D2467" i="3"/>
  <c r="B2467" i="3"/>
  <c r="A2467" i="3"/>
  <c r="K2466" i="3"/>
  <c r="I2466" i="3"/>
  <c r="F2466" i="3"/>
  <c r="D2466" i="3"/>
  <c r="B2466" i="3"/>
  <c r="A2466" i="3"/>
  <c r="K2465" i="3"/>
  <c r="I2465" i="3"/>
  <c r="F2465" i="3"/>
  <c r="D2465" i="3"/>
  <c r="B2465" i="3"/>
  <c r="A2465" i="3"/>
  <c r="K2464" i="3"/>
  <c r="I2464" i="3"/>
  <c r="F2464" i="3"/>
  <c r="D2464" i="3"/>
  <c r="B2464" i="3"/>
  <c r="A2464" i="3"/>
  <c r="K2463" i="3"/>
  <c r="I2463" i="3"/>
  <c r="F2463" i="3"/>
  <c r="D2463" i="3"/>
  <c r="B2463" i="3"/>
  <c r="A2463" i="3"/>
  <c r="K2462" i="3"/>
  <c r="I2462" i="3"/>
  <c r="F2462" i="3"/>
  <c r="D2462" i="3"/>
  <c r="B2462" i="3"/>
  <c r="A2462" i="3"/>
  <c r="K2461" i="3"/>
  <c r="I2461" i="3"/>
  <c r="F2461" i="3"/>
  <c r="D2461" i="3"/>
  <c r="B2461" i="3"/>
  <c r="A2461" i="3"/>
  <c r="K2460" i="3"/>
  <c r="I2460" i="3"/>
  <c r="F2460" i="3"/>
  <c r="D2460" i="3"/>
  <c r="B2460" i="3"/>
  <c r="A2460" i="3"/>
  <c r="K2459" i="3"/>
  <c r="I2459" i="3"/>
  <c r="F2459" i="3"/>
  <c r="D2459" i="3"/>
  <c r="B2459" i="3"/>
  <c r="A2459" i="3"/>
  <c r="K2458" i="3"/>
  <c r="I2458" i="3"/>
  <c r="F2458" i="3"/>
  <c r="D2458" i="3"/>
  <c r="B2458" i="3"/>
  <c r="A2458" i="3"/>
  <c r="K2457" i="3"/>
  <c r="I2457" i="3"/>
  <c r="F2457" i="3"/>
  <c r="D2457" i="3"/>
  <c r="B2457" i="3"/>
  <c r="A2457" i="3"/>
  <c r="K2456" i="3"/>
  <c r="I2456" i="3"/>
  <c r="F2456" i="3"/>
  <c r="D2456" i="3"/>
  <c r="B2456" i="3"/>
  <c r="A2456" i="3"/>
  <c r="K2455" i="3"/>
  <c r="I2455" i="3"/>
  <c r="F2455" i="3"/>
  <c r="D2455" i="3"/>
  <c r="B2455" i="3"/>
  <c r="A2455" i="3"/>
  <c r="K2454" i="3"/>
  <c r="I2454" i="3"/>
  <c r="F2454" i="3"/>
  <c r="D2454" i="3"/>
  <c r="B2454" i="3"/>
  <c r="A2454" i="3"/>
  <c r="K2453" i="3"/>
  <c r="I2453" i="3"/>
  <c r="F2453" i="3"/>
  <c r="D2453" i="3"/>
  <c r="A2453" i="3"/>
  <c r="K2452" i="3"/>
  <c r="I2452" i="3"/>
  <c r="F2452" i="3"/>
  <c r="D2452" i="3"/>
  <c r="B2452" i="3"/>
  <c r="A2452" i="3"/>
  <c r="K2451" i="3"/>
  <c r="I2451" i="3"/>
  <c r="F2451" i="3"/>
  <c r="D2451" i="3"/>
  <c r="B2451" i="3"/>
  <c r="A2451" i="3"/>
  <c r="K2450" i="3"/>
  <c r="I2450" i="3"/>
  <c r="F2450" i="3"/>
  <c r="D2450" i="3"/>
  <c r="B2450" i="3"/>
  <c r="A2450" i="3"/>
  <c r="K2449" i="3"/>
  <c r="I2449" i="3"/>
  <c r="F2449" i="3"/>
  <c r="D2449" i="3"/>
  <c r="B2449" i="3"/>
  <c r="A2449" i="3"/>
  <c r="K2448" i="3"/>
  <c r="I2448" i="3"/>
  <c r="F2448" i="3"/>
  <c r="D2448" i="3"/>
  <c r="B2448" i="3"/>
  <c r="A2448" i="3"/>
  <c r="K2447" i="3"/>
  <c r="I2447" i="3"/>
  <c r="F2447" i="3"/>
  <c r="D2447" i="3"/>
  <c r="B2447" i="3"/>
  <c r="A2447" i="3"/>
  <c r="K2446" i="3"/>
  <c r="I2446" i="3"/>
  <c r="F2446" i="3"/>
  <c r="D2446" i="3"/>
  <c r="B2446" i="3"/>
  <c r="A2446" i="3"/>
  <c r="K2445" i="3"/>
  <c r="I2445" i="3"/>
  <c r="F2445" i="3"/>
  <c r="D2445" i="3"/>
  <c r="B2445" i="3"/>
  <c r="A2445" i="3"/>
  <c r="K2444" i="3"/>
  <c r="I2444" i="3"/>
  <c r="F2444" i="3"/>
  <c r="D2444" i="3"/>
  <c r="B2444" i="3"/>
  <c r="A2444" i="3"/>
  <c r="K2443" i="3"/>
  <c r="I2443" i="3"/>
  <c r="F2443" i="3"/>
  <c r="D2443" i="3"/>
  <c r="B2443" i="3"/>
  <c r="A2443" i="3"/>
  <c r="K2442" i="3"/>
  <c r="I2442" i="3"/>
  <c r="F2442" i="3"/>
  <c r="D2442" i="3"/>
  <c r="B2442" i="3"/>
  <c r="A2442" i="3"/>
  <c r="K2441" i="3"/>
  <c r="I2441" i="3"/>
  <c r="F2441" i="3"/>
  <c r="D2441" i="3"/>
  <c r="B2441" i="3"/>
  <c r="A2441" i="3"/>
  <c r="K2440" i="3"/>
  <c r="I2440" i="3"/>
  <c r="F2440" i="3"/>
  <c r="D2440" i="3"/>
  <c r="B2440" i="3"/>
  <c r="A2440" i="3"/>
  <c r="K2439" i="3"/>
  <c r="I2439" i="3"/>
  <c r="F2439" i="3"/>
  <c r="D2439" i="3"/>
  <c r="B2439" i="3"/>
  <c r="A2439" i="3"/>
  <c r="K2438" i="3"/>
  <c r="I2438" i="3"/>
  <c r="F2438" i="3"/>
  <c r="D2438" i="3"/>
  <c r="B2438" i="3"/>
  <c r="A2438" i="3"/>
  <c r="K2437" i="3"/>
  <c r="I2437" i="3"/>
  <c r="F2437" i="3"/>
  <c r="D2437" i="3"/>
  <c r="B2437" i="3"/>
  <c r="A2437" i="3"/>
  <c r="K2436" i="3"/>
  <c r="I2436" i="3"/>
  <c r="F2436" i="3"/>
  <c r="D2436" i="3"/>
  <c r="B2436" i="3"/>
  <c r="A2436" i="3"/>
  <c r="K2435" i="3"/>
  <c r="I2435" i="3"/>
  <c r="F2435" i="3"/>
  <c r="D2435" i="3"/>
  <c r="B2435" i="3"/>
  <c r="A2435" i="3"/>
  <c r="K2434" i="3"/>
  <c r="I2434" i="3"/>
  <c r="F2434" i="3"/>
  <c r="D2434" i="3"/>
  <c r="B2434" i="3"/>
  <c r="A2434" i="3"/>
  <c r="K2433" i="3"/>
  <c r="I2433" i="3"/>
  <c r="F2433" i="3"/>
  <c r="D2433" i="3"/>
  <c r="B2433" i="3"/>
  <c r="A2433" i="3"/>
  <c r="K2432" i="3"/>
  <c r="I2432" i="3"/>
  <c r="F2432" i="3"/>
  <c r="D2432" i="3"/>
  <c r="B2432" i="3"/>
  <c r="A2432" i="3"/>
  <c r="K2431" i="3"/>
  <c r="I2431" i="3"/>
  <c r="F2431" i="3"/>
  <c r="D2431" i="3"/>
  <c r="B2431" i="3"/>
  <c r="A2431" i="3"/>
  <c r="K2430" i="3"/>
  <c r="I2430" i="3"/>
  <c r="F2430" i="3"/>
  <c r="D2430" i="3"/>
  <c r="B2430" i="3"/>
  <c r="A2430" i="3"/>
  <c r="K2429" i="3"/>
  <c r="I2429" i="3"/>
  <c r="F2429" i="3"/>
  <c r="D2429" i="3"/>
  <c r="B2429" i="3"/>
  <c r="A2429" i="3"/>
  <c r="K2428" i="3"/>
  <c r="I2428" i="3"/>
  <c r="F2428" i="3"/>
  <c r="D2428" i="3"/>
  <c r="B2428" i="3"/>
  <c r="A2428" i="3"/>
  <c r="K2427" i="3"/>
  <c r="I2427" i="3"/>
  <c r="F2427" i="3"/>
  <c r="D2427" i="3"/>
  <c r="B2427" i="3"/>
  <c r="A2427" i="3"/>
  <c r="K2426" i="3"/>
  <c r="I2426" i="3"/>
  <c r="F2426" i="3"/>
  <c r="D2426" i="3"/>
  <c r="B2426" i="3"/>
  <c r="A2426" i="3"/>
  <c r="K2425" i="3"/>
  <c r="I2425" i="3"/>
  <c r="F2425" i="3"/>
  <c r="D2425" i="3"/>
  <c r="B2425" i="3"/>
  <c r="A2425" i="3"/>
  <c r="K2424" i="3"/>
  <c r="I2424" i="3"/>
  <c r="F2424" i="3"/>
  <c r="E2424" i="3"/>
  <c r="D2424" i="3"/>
  <c r="B2424" i="3"/>
  <c r="A2424" i="3"/>
  <c r="K2423" i="3"/>
  <c r="I2423" i="3"/>
  <c r="F2423" i="3"/>
  <c r="D2423" i="3"/>
  <c r="B2423" i="3"/>
  <c r="A2423" i="3"/>
  <c r="K2422" i="3"/>
  <c r="I2422" i="3"/>
  <c r="F2422" i="3"/>
  <c r="D2422" i="3"/>
  <c r="B2422" i="3"/>
  <c r="A2422" i="3"/>
  <c r="K2421" i="3"/>
  <c r="I2421" i="3"/>
  <c r="F2421" i="3"/>
  <c r="B2421" i="3"/>
  <c r="A2421" i="3"/>
  <c r="K2420" i="3"/>
  <c r="I2420" i="3"/>
  <c r="F2420" i="3"/>
  <c r="D2420" i="3"/>
  <c r="B2420" i="3"/>
  <c r="A2420" i="3"/>
  <c r="K2419" i="3"/>
  <c r="I2419" i="3"/>
  <c r="F2419" i="3"/>
  <c r="B2419" i="3"/>
  <c r="A2419" i="3"/>
  <c r="K2418" i="3"/>
  <c r="I2418" i="3"/>
  <c r="F2418" i="3"/>
  <c r="D2418" i="3"/>
  <c r="B2418" i="3"/>
  <c r="A2418" i="3"/>
  <c r="K2417" i="3"/>
  <c r="I2417" i="3"/>
  <c r="F2417" i="3"/>
  <c r="D2417" i="3"/>
  <c r="B2417" i="3"/>
  <c r="A2417" i="3"/>
  <c r="K2416" i="3"/>
  <c r="I2416" i="3"/>
  <c r="F2416" i="3"/>
  <c r="B2416" i="3"/>
  <c r="A2416" i="3"/>
  <c r="K2415" i="3"/>
  <c r="I2415" i="3"/>
  <c r="F2415" i="3"/>
  <c r="B2415" i="3"/>
  <c r="A2415" i="3"/>
  <c r="K2414" i="3"/>
  <c r="I2414" i="3"/>
  <c r="F2414" i="3"/>
  <c r="D2414" i="3"/>
  <c r="B2414" i="3"/>
  <c r="A2414" i="3"/>
  <c r="K2413" i="3"/>
  <c r="I2413" i="3"/>
  <c r="F2413" i="3"/>
  <c r="D2413" i="3"/>
  <c r="B2413" i="3"/>
  <c r="A2413" i="3"/>
  <c r="K2412" i="3"/>
  <c r="I2412" i="3"/>
  <c r="F2412" i="3"/>
  <c r="B2412" i="3"/>
  <c r="A2412" i="3"/>
  <c r="K2411" i="3"/>
  <c r="I2411" i="3"/>
  <c r="F2411" i="3"/>
  <c r="B2411" i="3"/>
  <c r="A2411" i="3"/>
  <c r="K2410" i="3"/>
  <c r="I2410" i="3"/>
  <c r="F2410" i="3"/>
  <c r="D2410" i="3"/>
  <c r="B2410" i="3"/>
  <c r="A2410" i="3"/>
  <c r="K2409" i="3"/>
  <c r="I2409" i="3"/>
  <c r="F2409" i="3"/>
  <c r="D2409" i="3"/>
  <c r="B2409" i="3"/>
  <c r="A2409" i="3"/>
  <c r="K2408" i="3"/>
  <c r="I2408" i="3"/>
  <c r="F2408" i="3"/>
  <c r="D2408" i="3"/>
  <c r="B2408" i="3"/>
  <c r="A2408" i="3"/>
  <c r="K2407" i="3"/>
  <c r="I2407" i="3"/>
  <c r="F2407" i="3"/>
  <c r="D2407" i="3"/>
  <c r="B2407" i="3"/>
  <c r="A2407" i="3"/>
  <c r="K2406" i="3"/>
  <c r="I2406" i="3"/>
  <c r="F2406" i="3"/>
  <c r="D2406" i="3"/>
  <c r="B2406" i="3"/>
  <c r="A2406" i="3"/>
  <c r="K2405" i="3"/>
  <c r="I2405" i="3"/>
  <c r="F2405" i="3"/>
  <c r="B2405" i="3"/>
  <c r="A2405" i="3"/>
  <c r="K2404" i="3"/>
  <c r="I2404" i="3"/>
  <c r="F2404" i="3"/>
  <c r="D2404" i="3"/>
  <c r="B2404" i="3"/>
  <c r="A2404" i="3"/>
  <c r="K2403" i="3"/>
  <c r="I2403" i="3"/>
  <c r="F2403" i="3"/>
  <c r="D2403" i="3"/>
  <c r="B2403" i="3"/>
  <c r="A2403" i="3"/>
  <c r="K2402" i="3"/>
  <c r="I2402" i="3"/>
  <c r="F2402" i="3"/>
  <c r="D2402" i="3"/>
  <c r="B2402" i="3"/>
  <c r="A2402" i="3"/>
  <c r="K2401" i="3"/>
  <c r="I2401" i="3"/>
  <c r="F2401" i="3"/>
  <c r="D2401" i="3"/>
  <c r="B2401" i="3"/>
  <c r="A2401" i="3"/>
  <c r="K2400" i="3"/>
  <c r="I2400" i="3"/>
  <c r="F2400" i="3"/>
  <c r="D2400" i="3"/>
  <c r="B2400" i="3"/>
  <c r="A2400" i="3"/>
  <c r="K2399" i="3"/>
  <c r="I2399" i="3"/>
  <c r="F2399" i="3"/>
  <c r="D2399" i="3"/>
  <c r="B2399" i="3"/>
  <c r="A2399" i="3"/>
  <c r="K2398" i="3"/>
  <c r="I2398" i="3"/>
  <c r="F2398" i="3"/>
  <c r="D2398" i="3"/>
  <c r="B2398" i="3"/>
  <c r="A2398" i="3"/>
  <c r="K2397" i="3"/>
  <c r="I2397" i="3"/>
  <c r="F2397" i="3"/>
  <c r="D2397" i="3"/>
  <c r="B2397" i="3"/>
  <c r="A2397" i="3"/>
  <c r="K2396" i="3"/>
  <c r="I2396" i="3"/>
  <c r="F2396" i="3"/>
  <c r="D2396" i="3"/>
  <c r="B2396" i="3"/>
  <c r="A2396" i="3"/>
  <c r="K2395" i="3"/>
  <c r="I2395" i="3"/>
  <c r="F2395" i="3"/>
  <c r="D2395" i="3"/>
  <c r="B2395" i="3"/>
  <c r="A2395" i="3"/>
  <c r="K2394" i="3"/>
  <c r="I2394" i="3"/>
  <c r="F2394" i="3"/>
  <c r="B2394" i="3"/>
  <c r="A2394" i="3"/>
  <c r="K2393" i="3"/>
  <c r="I2393" i="3"/>
  <c r="F2393" i="3"/>
  <c r="D2393" i="3"/>
  <c r="B2393" i="3"/>
  <c r="A2393" i="3"/>
  <c r="K2392" i="3"/>
  <c r="I2392" i="3"/>
  <c r="F2392" i="3"/>
  <c r="D2392" i="3"/>
  <c r="B2392" i="3"/>
  <c r="A2392" i="3"/>
  <c r="K2391" i="3"/>
  <c r="I2391" i="3"/>
  <c r="F2391" i="3"/>
  <c r="D2391" i="3"/>
  <c r="B2391" i="3"/>
  <c r="A2391" i="3"/>
  <c r="K2390" i="3"/>
  <c r="I2390" i="3"/>
  <c r="F2390" i="3"/>
  <c r="D2390" i="3"/>
  <c r="B2390" i="3"/>
  <c r="A2390" i="3"/>
  <c r="K2389" i="3"/>
  <c r="I2389" i="3"/>
  <c r="F2389" i="3"/>
  <c r="D2389" i="3"/>
  <c r="B2389" i="3"/>
  <c r="A2389" i="3"/>
  <c r="K2388" i="3"/>
  <c r="I2388" i="3"/>
  <c r="F2388" i="3"/>
  <c r="D2388" i="3"/>
  <c r="B2388" i="3"/>
  <c r="A2388" i="3"/>
  <c r="K2387" i="3"/>
  <c r="I2387" i="3"/>
  <c r="F2387" i="3"/>
  <c r="D2387" i="3"/>
  <c r="B2387" i="3"/>
  <c r="A2387" i="3"/>
  <c r="K2386" i="3"/>
  <c r="I2386" i="3"/>
  <c r="F2386" i="3"/>
  <c r="D2386" i="3"/>
  <c r="B2386" i="3"/>
  <c r="A2386" i="3"/>
  <c r="K2385" i="3"/>
  <c r="I2385" i="3"/>
  <c r="F2385" i="3"/>
  <c r="D2385" i="3"/>
  <c r="B2385" i="3"/>
  <c r="A2385" i="3"/>
  <c r="K2384" i="3"/>
  <c r="I2384" i="3"/>
  <c r="F2384" i="3"/>
  <c r="D2384" i="3"/>
  <c r="B2384" i="3"/>
  <c r="A2384" i="3"/>
  <c r="K2383" i="3"/>
  <c r="I2383" i="3"/>
  <c r="F2383" i="3"/>
  <c r="D2383" i="3"/>
  <c r="B2383" i="3"/>
  <c r="A2383" i="3"/>
  <c r="K2382" i="3"/>
  <c r="I2382" i="3"/>
  <c r="F2382" i="3"/>
  <c r="D2382" i="3"/>
  <c r="B2382" i="3"/>
  <c r="A2382" i="3"/>
  <c r="K2381" i="3"/>
  <c r="I2381" i="3"/>
  <c r="F2381" i="3"/>
  <c r="D2381" i="3"/>
  <c r="B2381" i="3"/>
  <c r="A2381" i="3"/>
  <c r="K2380" i="3"/>
  <c r="I2380" i="3"/>
  <c r="F2380" i="3"/>
  <c r="B2380" i="3"/>
  <c r="A2380" i="3"/>
  <c r="K2379" i="3"/>
  <c r="I2379" i="3"/>
  <c r="F2379" i="3"/>
  <c r="D2379" i="3"/>
  <c r="B2379" i="3"/>
  <c r="A2379" i="3"/>
  <c r="K2378" i="3"/>
  <c r="I2378" i="3"/>
  <c r="F2378" i="3"/>
  <c r="D2378" i="3"/>
  <c r="B2378" i="3"/>
  <c r="A2378" i="3"/>
  <c r="K2377" i="3"/>
  <c r="I2377" i="3"/>
  <c r="F2377" i="3"/>
  <c r="D2377" i="3"/>
  <c r="B2377" i="3"/>
  <c r="A2377" i="3"/>
  <c r="K2376" i="3"/>
  <c r="I2376" i="3"/>
  <c r="F2376" i="3"/>
  <c r="D2376" i="3"/>
  <c r="B2376" i="3"/>
  <c r="A2376" i="3"/>
  <c r="K2375" i="3"/>
  <c r="I2375" i="3"/>
  <c r="F2375" i="3"/>
  <c r="D2375" i="3"/>
  <c r="B2375" i="3"/>
  <c r="A2375" i="3"/>
  <c r="K2374" i="3"/>
  <c r="I2374" i="3"/>
  <c r="F2374" i="3"/>
  <c r="D2374" i="3"/>
  <c r="B2374" i="3"/>
  <c r="A2374" i="3"/>
  <c r="K2373" i="3"/>
  <c r="I2373" i="3"/>
  <c r="F2373" i="3"/>
  <c r="D2373" i="3"/>
  <c r="B2373" i="3"/>
  <c r="A2373" i="3"/>
  <c r="K2372" i="3"/>
  <c r="I2372" i="3"/>
  <c r="F2372" i="3"/>
  <c r="D2372" i="3"/>
  <c r="B2372" i="3"/>
  <c r="A2372" i="3"/>
  <c r="K2371" i="3"/>
  <c r="I2371" i="3"/>
  <c r="F2371" i="3"/>
  <c r="D2371" i="3"/>
  <c r="B2371" i="3"/>
  <c r="A2371" i="3"/>
  <c r="K2370" i="3"/>
  <c r="I2370" i="3"/>
  <c r="F2370" i="3"/>
  <c r="D2370" i="3"/>
  <c r="B2370" i="3"/>
  <c r="A2370" i="3"/>
  <c r="K2369" i="3"/>
  <c r="I2369" i="3"/>
  <c r="F2369" i="3"/>
  <c r="D2369" i="3"/>
  <c r="B2369" i="3"/>
  <c r="A2369" i="3"/>
  <c r="K2368" i="3"/>
  <c r="I2368" i="3"/>
  <c r="F2368" i="3"/>
  <c r="D2368" i="3"/>
  <c r="B2368" i="3"/>
  <c r="A2368" i="3"/>
  <c r="K2367" i="3"/>
  <c r="I2367" i="3"/>
  <c r="F2367" i="3"/>
  <c r="D2367" i="3"/>
  <c r="B2367" i="3"/>
  <c r="A2367" i="3"/>
  <c r="K2366" i="3"/>
  <c r="I2366" i="3"/>
  <c r="F2366" i="3"/>
  <c r="D2366" i="3"/>
  <c r="B2366" i="3"/>
  <c r="A2366" i="3"/>
  <c r="K2365" i="3"/>
  <c r="I2365" i="3"/>
  <c r="F2365" i="3"/>
  <c r="D2365" i="3"/>
  <c r="B2365" i="3"/>
  <c r="A2365" i="3"/>
  <c r="K2364" i="3"/>
  <c r="I2364" i="3"/>
  <c r="F2364" i="3"/>
  <c r="D2364" i="3"/>
  <c r="B2364" i="3"/>
  <c r="A2364" i="3"/>
  <c r="K2363" i="3"/>
  <c r="I2363" i="3"/>
  <c r="F2363" i="3"/>
  <c r="D2363" i="3"/>
  <c r="B2363" i="3"/>
  <c r="A2363" i="3"/>
  <c r="K2362" i="3"/>
  <c r="I2362" i="3"/>
  <c r="F2362" i="3"/>
  <c r="D2362" i="3"/>
  <c r="B2362" i="3"/>
  <c r="A2362" i="3"/>
  <c r="K2361" i="3"/>
  <c r="I2361" i="3"/>
  <c r="F2361" i="3"/>
  <c r="D2361" i="3"/>
  <c r="B2361" i="3"/>
  <c r="A2361" i="3"/>
  <c r="K2360" i="3"/>
  <c r="I2360" i="3"/>
  <c r="F2360" i="3"/>
  <c r="D2360" i="3"/>
  <c r="B2360" i="3"/>
  <c r="A2360" i="3"/>
  <c r="K2359" i="3"/>
  <c r="I2359" i="3"/>
  <c r="F2359" i="3"/>
  <c r="D2359" i="3"/>
  <c r="B2359" i="3"/>
  <c r="A2359" i="3"/>
  <c r="K2358" i="3"/>
  <c r="I2358" i="3"/>
  <c r="F2358" i="3"/>
  <c r="D2358" i="3"/>
  <c r="B2358" i="3"/>
  <c r="A2358" i="3"/>
  <c r="K2357" i="3"/>
  <c r="I2357" i="3"/>
  <c r="F2357" i="3"/>
  <c r="D2357" i="3"/>
  <c r="B2357" i="3"/>
  <c r="A2357" i="3"/>
  <c r="K2356" i="3"/>
  <c r="I2356" i="3"/>
  <c r="F2356" i="3"/>
  <c r="D2356" i="3"/>
  <c r="B2356" i="3"/>
  <c r="A2356" i="3"/>
  <c r="K2355" i="3"/>
  <c r="I2355" i="3"/>
  <c r="F2355" i="3"/>
  <c r="D2355" i="3"/>
  <c r="B2355" i="3"/>
  <c r="A2355" i="3"/>
  <c r="K2354" i="3"/>
  <c r="I2354" i="3"/>
  <c r="F2354" i="3"/>
  <c r="D2354" i="3"/>
  <c r="B2354" i="3"/>
  <c r="A2354" i="3"/>
  <c r="K2353" i="3"/>
  <c r="I2353" i="3"/>
  <c r="F2353" i="3"/>
  <c r="D2353" i="3"/>
  <c r="B2353" i="3"/>
  <c r="A2353" i="3"/>
  <c r="K2352" i="3"/>
  <c r="I2352" i="3"/>
  <c r="F2352" i="3"/>
  <c r="D2352" i="3"/>
  <c r="B2352" i="3"/>
  <c r="A2352" i="3"/>
  <c r="K2351" i="3"/>
  <c r="I2351" i="3"/>
  <c r="F2351" i="3"/>
  <c r="D2351" i="3"/>
  <c r="B2351" i="3"/>
  <c r="A2351" i="3"/>
  <c r="K2350" i="3"/>
  <c r="I2350" i="3"/>
  <c r="F2350" i="3"/>
  <c r="D2350" i="3"/>
  <c r="B2350" i="3"/>
  <c r="A2350" i="3"/>
  <c r="K2349" i="3"/>
  <c r="I2349" i="3"/>
  <c r="D2349" i="3"/>
  <c r="B2349" i="3"/>
  <c r="A2349" i="3"/>
  <c r="K2348" i="3"/>
  <c r="I2348" i="3"/>
  <c r="F2348" i="3"/>
  <c r="D2348" i="3"/>
  <c r="B2348" i="3"/>
  <c r="A2348" i="3"/>
  <c r="K2347" i="3"/>
  <c r="I2347" i="3"/>
  <c r="F2347" i="3"/>
  <c r="D2347" i="3"/>
  <c r="B2347" i="3"/>
  <c r="A2347" i="3"/>
  <c r="K2346" i="3"/>
  <c r="I2346" i="3"/>
  <c r="F2346" i="3"/>
  <c r="D2346" i="3"/>
  <c r="B2346" i="3"/>
  <c r="A2346" i="3"/>
  <c r="K2345" i="3"/>
  <c r="I2345" i="3"/>
  <c r="F2345" i="3"/>
  <c r="D2345" i="3"/>
  <c r="B2345" i="3"/>
  <c r="A2345" i="3"/>
  <c r="K2344" i="3"/>
  <c r="I2344" i="3"/>
  <c r="F2344" i="3"/>
  <c r="D2344" i="3"/>
  <c r="B2344" i="3"/>
  <c r="A2344" i="3"/>
  <c r="K2343" i="3"/>
  <c r="I2343" i="3"/>
  <c r="F2343" i="3"/>
  <c r="D2343" i="3"/>
  <c r="B2343" i="3"/>
  <c r="A2343" i="3"/>
  <c r="K2342" i="3"/>
  <c r="I2342" i="3"/>
  <c r="F2342" i="3"/>
  <c r="B2342" i="3"/>
  <c r="A2342" i="3"/>
  <c r="K2341" i="3"/>
  <c r="I2341" i="3"/>
  <c r="F2341" i="3"/>
  <c r="B2341" i="3"/>
  <c r="A2341" i="3"/>
  <c r="K2340" i="3"/>
  <c r="I2340" i="3"/>
  <c r="D2340" i="3"/>
  <c r="B2340" i="3"/>
  <c r="A2340" i="3"/>
  <c r="K2339" i="3"/>
  <c r="I2339" i="3"/>
  <c r="F2339" i="3"/>
  <c r="D2339" i="3"/>
  <c r="B2339" i="3"/>
  <c r="A2339" i="3"/>
  <c r="K2338" i="3"/>
  <c r="I2338" i="3"/>
  <c r="F2338" i="3"/>
  <c r="B2338" i="3"/>
  <c r="A2338" i="3"/>
  <c r="K2337" i="3"/>
  <c r="I2337" i="3"/>
  <c r="F2337" i="3"/>
  <c r="D2337" i="3"/>
  <c r="B2337" i="3"/>
  <c r="A2337" i="3"/>
  <c r="K2336" i="3"/>
  <c r="I2336" i="3"/>
  <c r="F2336" i="3"/>
  <c r="B2336" i="3"/>
  <c r="A2336" i="3"/>
  <c r="K2335" i="3"/>
  <c r="I2335" i="3"/>
  <c r="F2335" i="3"/>
  <c r="B2335" i="3"/>
  <c r="A2335" i="3"/>
  <c r="K2334" i="3"/>
  <c r="I2334" i="3"/>
  <c r="F2334" i="3"/>
  <c r="B2334" i="3"/>
  <c r="A2334" i="3"/>
  <c r="K2333" i="3"/>
  <c r="I2333" i="3"/>
  <c r="F2333" i="3"/>
  <c r="B2333" i="3"/>
  <c r="A2333" i="3"/>
  <c r="K2332" i="3"/>
  <c r="I2332" i="3"/>
  <c r="F2332" i="3"/>
  <c r="B2332" i="3"/>
  <c r="A2332" i="3"/>
  <c r="K2331" i="3"/>
  <c r="I2331" i="3"/>
  <c r="F2331" i="3"/>
  <c r="B2331" i="3"/>
  <c r="A2331" i="3"/>
  <c r="K2330" i="3"/>
  <c r="I2330" i="3"/>
  <c r="F2330" i="3"/>
  <c r="B2330" i="3"/>
  <c r="A2330" i="3"/>
  <c r="K2329" i="3"/>
  <c r="I2329" i="3"/>
  <c r="F2329" i="3"/>
  <c r="D2329" i="3"/>
  <c r="B2329" i="3"/>
  <c r="A2329" i="3"/>
  <c r="K2328" i="3"/>
  <c r="I2328" i="3"/>
  <c r="F2328" i="3"/>
  <c r="D2328" i="3"/>
  <c r="B2328" i="3"/>
  <c r="A2328" i="3"/>
  <c r="K2327" i="3"/>
  <c r="I2327" i="3"/>
  <c r="F2327" i="3"/>
  <c r="D2327" i="3"/>
  <c r="B2327" i="3"/>
  <c r="A2327" i="3"/>
  <c r="K2326" i="3"/>
  <c r="I2326" i="3"/>
  <c r="F2326" i="3"/>
  <c r="D2326" i="3"/>
  <c r="B2326" i="3"/>
  <c r="A2326" i="3"/>
  <c r="K2325" i="3"/>
  <c r="I2325" i="3"/>
  <c r="B2325" i="3"/>
  <c r="A2325" i="3"/>
  <c r="K2324" i="3"/>
  <c r="I2324" i="3"/>
  <c r="F2324" i="3"/>
  <c r="B2324" i="3"/>
  <c r="A2324" i="3"/>
  <c r="K2323" i="3"/>
  <c r="I2323" i="3"/>
  <c r="F2323" i="3"/>
  <c r="D2323" i="3"/>
  <c r="B2323" i="3"/>
  <c r="A2323" i="3"/>
  <c r="K2322" i="3"/>
  <c r="I2322" i="3"/>
  <c r="F2322" i="3"/>
  <c r="B2322" i="3"/>
  <c r="A2322" i="3"/>
  <c r="K2321" i="3"/>
  <c r="I2321" i="3"/>
  <c r="F2321" i="3"/>
  <c r="D2321" i="3"/>
  <c r="B2321" i="3"/>
  <c r="A2321" i="3"/>
  <c r="K2320" i="3"/>
  <c r="I2320" i="3"/>
  <c r="F2320" i="3"/>
  <c r="D2320" i="3"/>
  <c r="B2320" i="3"/>
  <c r="A2320" i="3"/>
  <c r="K2319" i="3"/>
  <c r="I2319" i="3"/>
  <c r="F2319" i="3"/>
  <c r="D2319" i="3"/>
  <c r="B2319" i="3"/>
  <c r="A2319" i="3"/>
  <c r="K2318" i="3"/>
  <c r="I2318" i="3"/>
  <c r="F2318" i="3"/>
  <c r="D2318" i="3"/>
  <c r="B2318" i="3"/>
  <c r="A2318" i="3"/>
  <c r="K2317" i="3"/>
  <c r="I2317" i="3"/>
  <c r="F2317" i="3"/>
  <c r="D2317" i="3"/>
  <c r="B2317" i="3"/>
  <c r="A2317" i="3"/>
  <c r="K2316" i="3"/>
  <c r="I2316" i="3"/>
  <c r="F2316" i="3"/>
  <c r="D2316" i="3"/>
  <c r="B2316" i="3"/>
  <c r="A2316" i="3"/>
  <c r="K2315" i="3"/>
  <c r="I2315" i="3"/>
  <c r="F2315" i="3"/>
  <c r="D2315" i="3"/>
  <c r="B2315" i="3"/>
  <c r="A2315" i="3"/>
  <c r="K2314" i="3"/>
  <c r="I2314" i="3"/>
  <c r="F2314" i="3"/>
  <c r="D2314" i="3"/>
  <c r="B2314" i="3"/>
  <c r="A2314" i="3"/>
  <c r="K2313" i="3"/>
  <c r="I2313" i="3"/>
  <c r="F2313" i="3"/>
  <c r="D2313" i="3"/>
  <c r="B2313" i="3"/>
  <c r="A2313" i="3"/>
  <c r="K2312" i="3"/>
  <c r="I2312" i="3"/>
  <c r="F2312" i="3"/>
  <c r="D2312" i="3"/>
  <c r="B2312" i="3"/>
  <c r="A2312" i="3"/>
  <c r="K2311" i="3"/>
  <c r="I2311" i="3"/>
  <c r="F2311" i="3"/>
  <c r="D2311" i="3"/>
  <c r="B2311" i="3"/>
  <c r="A2311" i="3"/>
  <c r="K2310" i="3"/>
  <c r="I2310" i="3"/>
  <c r="F2310" i="3"/>
  <c r="D2310" i="3"/>
  <c r="B2310" i="3"/>
  <c r="A2310" i="3"/>
  <c r="K2309" i="3"/>
  <c r="I2309" i="3"/>
  <c r="F2309" i="3"/>
  <c r="D2309" i="3"/>
  <c r="B2309" i="3"/>
  <c r="A2309" i="3"/>
  <c r="K2308" i="3"/>
  <c r="I2308" i="3"/>
  <c r="F2308" i="3"/>
  <c r="D2308" i="3"/>
  <c r="B2308" i="3"/>
  <c r="A2308" i="3"/>
  <c r="K2307" i="3"/>
  <c r="I2307" i="3"/>
  <c r="F2307" i="3"/>
  <c r="B2307" i="3"/>
  <c r="A2307" i="3"/>
  <c r="K2306" i="3"/>
  <c r="I2306" i="3"/>
  <c r="F2306" i="3"/>
  <c r="D2306" i="3"/>
  <c r="B2306" i="3"/>
  <c r="A2306" i="3"/>
  <c r="K2305" i="3"/>
  <c r="I2305" i="3"/>
  <c r="F2305" i="3"/>
  <c r="D2305" i="3"/>
  <c r="B2305" i="3"/>
  <c r="A2305" i="3"/>
  <c r="K2304" i="3"/>
  <c r="I2304" i="3"/>
  <c r="F2304" i="3"/>
  <c r="D2304" i="3"/>
  <c r="B2304" i="3"/>
  <c r="A2304" i="3"/>
  <c r="K2303" i="3"/>
  <c r="I2303" i="3"/>
  <c r="F2303" i="3"/>
  <c r="D2303" i="3"/>
  <c r="B2303" i="3"/>
  <c r="A2303" i="3"/>
  <c r="K2302" i="3"/>
  <c r="I2302" i="3"/>
  <c r="F2302" i="3"/>
  <c r="D2302" i="3"/>
  <c r="B2302" i="3"/>
  <c r="A2302" i="3"/>
  <c r="K2301" i="3"/>
  <c r="I2301" i="3"/>
  <c r="F2301" i="3"/>
  <c r="D2301" i="3"/>
  <c r="B2301" i="3"/>
  <c r="A2301" i="3"/>
  <c r="K2300" i="3"/>
  <c r="I2300" i="3"/>
  <c r="F2300" i="3"/>
  <c r="D2300" i="3"/>
  <c r="B2300" i="3"/>
  <c r="A2300" i="3"/>
  <c r="K2299" i="3"/>
  <c r="I2299" i="3"/>
  <c r="F2299" i="3"/>
  <c r="D2299" i="3"/>
  <c r="B2299" i="3"/>
  <c r="A2299" i="3"/>
  <c r="K2298" i="3"/>
  <c r="I2298" i="3"/>
  <c r="F2298" i="3"/>
  <c r="D2298" i="3"/>
  <c r="B2298" i="3"/>
  <c r="A2298" i="3"/>
  <c r="K2297" i="3"/>
  <c r="I2297" i="3"/>
  <c r="F2297" i="3"/>
  <c r="D2297" i="3"/>
  <c r="B2297" i="3"/>
  <c r="A2297" i="3"/>
  <c r="K2296" i="3"/>
  <c r="I2296" i="3"/>
  <c r="F2296" i="3"/>
  <c r="D2296" i="3"/>
  <c r="B2296" i="3"/>
  <c r="A2296" i="3"/>
  <c r="K2295" i="3"/>
  <c r="I2295" i="3"/>
  <c r="F2295" i="3"/>
  <c r="D2295" i="3"/>
  <c r="B2295" i="3"/>
  <c r="A2295" i="3"/>
  <c r="K2294" i="3"/>
  <c r="I2294" i="3"/>
  <c r="F2294" i="3"/>
  <c r="D2294" i="3"/>
  <c r="B2294" i="3"/>
  <c r="A2294" i="3"/>
  <c r="K2293" i="3"/>
  <c r="I2293" i="3"/>
  <c r="F2293" i="3"/>
  <c r="D2293" i="3"/>
  <c r="B2293" i="3"/>
  <c r="A2293" i="3"/>
  <c r="K2292" i="3"/>
  <c r="I2292" i="3"/>
  <c r="F2292" i="3"/>
  <c r="D2292" i="3"/>
  <c r="B2292" i="3"/>
  <c r="A2292" i="3"/>
  <c r="K2291" i="3"/>
  <c r="I2291" i="3"/>
  <c r="F2291" i="3"/>
  <c r="B2291" i="3"/>
  <c r="A2291" i="3"/>
  <c r="K2290" i="3"/>
  <c r="I2290" i="3"/>
  <c r="F2290" i="3"/>
  <c r="D2290" i="3"/>
  <c r="B2290" i="3"/>
  <c r="A2290" i="3"/>
  <c r="K2289" i="3"/>
  <c r="I2289" i="3"/>
  <c r="F2289" i="3"/>
  <c r="D2289" i="3"/>
  <c r="B2289" i="3"/>
  <c r="A2289" i="3"/>
  <c r="K2288" i="3"/>
  <c r="I2288" i="3"/>
  <c r="F2288" i="3"/>
  <c r="D2288" i="3"/>
  <c r="B2288" i="3"/>
  <c r="A2288" i="3"/>
  <c r="K2287" i="3"/>
  <c r="I2287" i="3"/>
  <c r="F2287" i="3"/>
  <c r="D2287" i="3"/>
  <c r="B2287" i="3"/>
  <c r="A2287" i="3"/>
  <c r="K2286" i="3"/>
  <c r="I2286" i="3"/>
  <c r="F2286" i="3"/>
  <c r="D2286" i="3"/>
  <c r="B2286" i="3"/>
  <c r="A2286" i="3"/>
  <c r="K2285" i="3"/>
  <c r="I2285" i="3"/>
  <c r="F2285" i="3"/>
  <c r="D2285" i="3"/>
  <c r="B2285" i="3"/>
  <c r="A2285" i="3"/>
  <c r="K2284" i="3"/>
  <c r="I2284" i="3"/>
  <c r="F2284" i="3"/>
  <c r="D2284" i="3"/>
  <c r="B2284" i="3"/>
  <c r="A2284" i="3"/>
  <c r="K2283" i="3"/>
  <c r="I2283" i="3"/>
  <c r="F2283" i="3"/>
  <c r="D2283" i="3"/>
  <c r="B2283" i="3"/>
  <c r="A2283" i="3"/>
  <c r="K2282" i="3"/>
  <c r="I2282" i="3"/>
  <c r="F2282" i="3"/>
  <c r="D2282" i="3"/>
  <c r="B2282" i="3"/>
  <c r="A2282" i="3"/>
  <c r="K2281" i="3"/>
  <c r="I2281" i="3"/>
  <c r="F2281" i="3"/>
  <c r="D2281" i="3"/>
  <c r="B2281" i="3"/>
  <c r="A2281" i="3"/>
  <c r="K2280" i="3"/>
  <c r="I2280" i="3"/>
  <c r="F2280" i="3"/>
  <c r="D2280" i="3"/>
  <c r="B2280" i="3"/>
  <c r="A2280" i="3"/>
  <c r="K2279" i="3"/>
  <c r="I2279" i="3"/>
  <c r="F2279" i="3"/>
  <c r="D2279" i="3"/>
  <c r="B2279" i="3"/>
  <c r="A2279" i="3"/>
  <c r="K2278" i="3"/>
  <c r="I2278" i="3"/>
  <c r="F2278" i="3"/>
  <c r="D2278" i="3"/>
  <c r="B2278" i="3"/>
  <c r="A2278" i="3"/>
  <c r="K2277" i="3"/>
  <c r="I2277" i="3"/>
  <c r="F2277" i="3"/>
  <c r="D2277" i="3"/>
  <c r="B2277" i="3"/>
  <c r="A2277" i="3"/>
  <c r="K2276" i="3"/>
  <c r="I2276" i="3"/>
  <c r="F2276" i="3"/>
  <c r="D2276" i="3"/>
  <c r="B2276" i="3"/>
  <c r="A2276" i="3"/>
  <c r="K2275" i="3"/>
  <c r="I2275" i="3"/>
  <c r="F2275" i="3"/>
  <c r="D2275" i="3"/>
  <c r="B2275" i="3"/>
  <c r="A2275" i="3"/>
  <c r="K2274" i="3"/>
  <c r="I2274" i="3"/>
  <c r="F2274" i="3"/>
  <c r="D2274" i="3"/>
  <c r="B2274" i="3"/>
  <c r="A2274" i="3"/>
  <c r="K2273" i="3"/>
  <c r="I2273" i="3"/>
  <c r="F2273" i="3"/>
  <c r="D2273" i="3"/>
  <c r="B2273" i="3"/>
  <c r="A2273" i="3"/>
  <c r="K2272" i="3"/>
  <c r="I2272" i="3"/>
  <c r="F2272" i="3"/>
  <c r="D2272" i="3"/>
  <c r="B2272" i="3"/>
  <c r="A2272" i="3"/>
  <c r="K2271" i="3"/>
  <c r="I2271" i="3"/>
  <c r="F2271" i="3"/>
  <c r="D2271" i="3"/>
  <c r="B2271" i="3"/>
  <c r="A2271" i="3"/>
  <c r="K2270" i="3"/>
  <c r="I2270" i="3"/>
  <c r="F2270" i="3"/>
  <c r="D2270" i="3"/>
  <c r="B2270" i="3"/>
  <c r="A2270" i="3"/>
  <c r="K2269" i="3"/>
  <c r="I2269" i="3"/>
  <c r="F2269" i="3"/>
  <c r="D2269" i="3"/>
  <c r="B2269" i="3"/>
  <c r="A2269" i="3"/>
  <c r="K2268" i="3"/>
  <c r="I2268" i="3"/>
  <c r="F2268" i="3"/>
  <c r="D2268" i="3"/>
  <c r="B2268" i="3"/>
  <c r="A2268" i="3"/>
  <c r="K2267" i="3"/>
  <c r="I2267" i="3"/>
  <c r="F2267" i="3"/>
  <c r="D2267" i="3"/>
  <c r="B2267" i="3"/>
  <c r="A2267" i="3"/>
  <c r="K2266" i="3"/>
  <c r="I2266" i="3"/>
  <c r="F2266" i="3"/>
  <c r="D2266" i="3"/>
  <c r="B2266" i="3"/>
  <c r="A2266" i="3"/>
  <c r="K2265" i="3"/>
  <c r="I2265" i="3"/>
  <c r="F2265" i="3"/>
  <c r="D2265" i="3"/>
  <c r="B2265" i="3"/>
  <c r="A2265" i="3"/>
  <c r="K2264" i="3"/>
  <c r="I2264" i="3"/>
  <c r="F2264" i="3"/>
  <c r="D2264" i="3"/>
  <c r="B2264" i="3"/>
  <c r="A2264" i="3"/>
  <c r="K2263" i="3"/>
  <c r="I2263" i="3"/>
  <c r="F2263" i="3"/>
  <c r="D2263" i="3"/>
  <c r="B2263" i="3"/>
  <c r="A2263" i="3"/>
  <c r="K2262" i="3"/>
  <c r="I2262" i="3"/>
  <c r="F2262" i="3"/>
  <c r="D2262" i="3"/>
  <c r="B2262" i="3"/>
  <c r="A2262" i="3"/>
  <c r="K2261" i="3"/>
  <c r="I2261" i="3"/>
  <c r="F2261" i="3"/>
  <c r="D2261" i="3"/>
  <c r="B2261" i="3"/>
  <c r="A2261" i="3"/>
  <c r="K2260" i="3"/>
  <c r="I2260" i="3"/>
  <c r="F2260" i="3"/>
  <c r="D2260" i="3"/>
  <c r="B2260" i="3"/>
  <c r="A2260" i="3"/>
  <c r="K2259" i="3"/>
  <c r="I2259" i="3"/>
  <c r="F2259" i="3"/>
  <c r="D2259" i="3"/>
  <c r="B2259" i="3"/>
  <c r="A2259" i="3"/>
  <c r="K2258" i="3"/>
  <c r="I2258" i="3"/>
  <c r="F2258" i="3"/>
  <c r="D2258" i="3"/>
  <c r="B2258" i="3"/>
  <c r="A2258" i="3"/>
  <c r="K2257" i="3"/>
  <c r="I2257" i="3"/>
  <c r="F2257" i="3"/>
  <c r="D2257" i="3"/>
  <c r="B2257" i="3"/>
  <c r="A2257" i="3"/>
  <c r="K2256" i="3"/>
  <c r="I2256" i="3"/>
  <c r="F2256" i="3"/>
  <c r="D2256" i="3"/>
  <c r="B2256" i="3"/>
  <c r="A2256" i="3"/>
  <c r="K2255" i="3"/>
  <c r="I2255" i="3"/>
  <c r="F2255" i="3"/>
  <c r="B2255" i="3"/>
  <c r="A2255" i="3"/>
  <c r="K2254" i="3"/>
  <c r="I2254" i="3"/>
  <c r="F2254" i="3"/>
  <c r="B2254" i="3"/>
  <c r="A2254" i="3"/>
  <c r="K2253" i="3"/>
  <c r="I2253" i="3"/>
  <c r="F2253" i="3"/>
  <c r="B2253" i="3"/>
  <c r="A2253" i="3"/>
  <c r="K2252" i="3"/>
  <c r="I2252" i="3"/>
  <c r="F2252" i="3"/>
  <c r="B2252" i="3"/>
  <c r="A2252" i="3"/>
  <c r="K2251" i="3"/>
  <c r="I2251" i="3"/>
  <c r="F2251" i="3"/>
  <c r="B2251" i="3"/>
  <c r="A2251" i="3"/>
  <c r="K2250" i="3"/>
  <c r="I2250" i="3"/>
  <c r="F2250" i="3"/>
  <c r="B2250" i="3"/>
  <c r="A2250" i="3"/>
  <c r="K2249" i="3"/>
  <c r="I2249" i="3"/>
  <c r="F2249" i="3"/>
  <c r="B2249" i="3"/>
  <c r="A2249" i="3"/>
  <c r="K2248" i="3"/>
  <c r="I2248" i="3"/>
  <c r="F2248" i="3"/>
  <c r="D2248" i="3"/>
  <c r="B2248" i="3"/>
  <c r="A2248" i="3"/>
  <c r="K2247" i="3"/>
  <c r="I2247" i="3"/>
  <c r="F2247" i="3"/>
  <c r="D2247" i="3"/>
  <c r="B2247" i="3"/>
  <c r="A2247" i="3"/>
  <c r="K2246" i="3"/>
  <c r="I2246" i="3"/>
  <c r="F2246" i="3"/>
  <c r="D2246" i="3"/>
  <c r="B2246" i="3"/>
  <c r="A2246" i="3"/>
  <c r="K2245" i="3"/>
  <c r="I2245" i="3"/>
  <c r="F2245" i="3"/>
  <c r="D2245" i="3"/>
  <c r="B2245" i="3"/>
  <c r="A2245" i="3"/>
  <c r="K2244" i="3"/>
  <c r="I2244" i="3"/>
  <c r="F2244" i="3"/>
  <c r="D2244" i="3"/>
  <c r="B2244" i="3"/>
  <c r="A2244" i="3"/>
  <c r="K2243" i="3"/>
  <c r="I2243" i="3"/>
  <c r="F2243" i="3"/>
  <c r="D2243" i="3"/>
  <c r="B2243" i="3"/>
  <c r="A2243" i="3"/>
  <c r="K2242" i="3"/>
  <c r="I2242" i="3"/>
  <c r="F2242" i="3"/>
  <c r="D2242" i="3"/>
  <c r="B2242" i="3"/>
  <c r="A2242" i="3"/>
  <c r="K2241" i="3"/>
  <c r="I2241" i="3"/>
  <c r="F2241" i="3"/>
  <c r="D2241" i="3"/>
  <c r="B2241" i="3"/>
  <c r="A2241" i="3"/>
  <c r="K2240" i="3"/>
  <c r="I2240" i="3"/>
  <c r="F2240" i="3"/>
  <c r="B2240" i="3"/>
  <c r="A2240" i="3"/>
  <c r="K2239" i="3"/>
  <c r="I2239" i="3"/>
  <c r="F2239" i="3"/>
  <c r="D2239" i="3"/>
  <c r="B2239" i="3"/>
  <c r="A2239" i="3"/>
  <c r="K2238" i="3"/>
  <c r="I2238" i="3"/>
  <c r="F2238" i="3"/>
  <c r="D2238" i="3"/>
  <c r="B2238" i="3"/>
  <c r="A2238" i="3"/>
  <c r="K2237" i="3"/>
  <c r="I2237" i="3"/>
  <c r="F2237" i="3"/>
  <c r="D2237" i="3"/>
  <c r="B2237" i="3"/>
  <c r="A2237" i="3"/>
  <c r="K2236" i="3"/>
  <c r="I2236" i="3"/>
  <c r="F2236" i="3"/>
  <c r="D2236" i="3"/>
  <c r="B2236" i="3"/>
  <c r="A2236" i="3"/>
  <c r="K2235" i="3"/>
  <c r="I2235" i="3"/>
  <c r="F2235" i="3"/>
  <c r="D2235" i="3"/>
  <c r="B2235" i="3"/>
  <c r="A2235" i="3"/>
  <c r="K2234" i="3"/>
  <c r="I2234" i="3"/>
  <c r="F2234" i="3"/>
  <c r="D2234" i="3"/>
  <c r="B2234" i="3"/>
  <c r="A2234" i="3"/>
  <c r="K2233" i="3"/>
  <c r="I2233" i="3"/>
  <c r="F2233" i="3"/>
  <c r="D2233" i="3"/>
  <c r="B2233" i="3"/>
  <c r="A2233" i="3"/>
  <c r="K2232" i="3"/>
  <c r="I2232" i="3"/>
  <c r="F2232" i="3"/>
  <c r="D2232" i="3"/>
  <c r="B2232" i="3"/>
  <c r="A2232" i="3"/>
  <c r="K2231" i="3"/>
  <c r="I2231" i="3"/>
  <c r="F2231" i="3"/>
  <c r="D2231" i="3"/>
  <c r="B2231" i="3"/>
  <c r="A2231" i="3"/>
  <c r="K2230" i="3"/>
  <c r="I2230" i="3"/>
  <c r="F2230" i="3"/>
  <c r="D2230" i="3"/>
  <c r="B2230" i="3"/>
  <c r="A2230" i="3"/>
  <c r="K2229" i="3"/>
  <c r="I2229" i="3"/>
  <c r="F2229" i="3"/>
  <c r="B2229" i="3"/>
  <c r="A2229" i="3"/>
  <c r="K2228" i="3"/>
  <c r="I2228" i="3"/>
  <c r="F2228" i="3"/>
  <c r="B2228" i="3"/>
  <c r="A2228" i="3"/>
  <c r="K2227" i="3"/>
  <c r="I2227" i="3"/>
  <c r="F2227" i="3"/>
  <c r="B2227" i="3"/>
  <c r="A2227" i="3"/>
  <c r="K2226" i="3"/>
  <c r="I2226" i="3"/>
  <c r="F2226" i="3"/>
  <c r="B2226" i="3"/>
  <c r="A2226" i="3"/>
  <c r="K2225" i="3"/>
  <c r="I2225" i="3"/>
  <c r="F2225" i="3"/>
  <c r="B2225" i="3"/>
  <c r="A2225" i="3"/>
  <c r="K2224" i="3"/>
  <c r="I2224" i="3"/>
  <c r="F2224" i="3"/>
  <c r="B2224" i="3"/>
  <c r="A2224" i="3"/>
  <c r="K2223" i="3"/>
  <c r="I2223" i="3"/>
  <c r="F2223" i="3"/>
  <c r="B2223" i="3"/>
  <c r="A2223" i="3"/>
  <c r="K2222" i="3"/>
  <c r="I2222" i="3"/>
  <c r="F2222" i="3"/>
  <c r="B2222" i="3"/>
  <c r="A2222" i="3"/>
  <c r="K2221" i="3"/>
  <c r="I2221" i="3"/>
  <c r="F2221" i="3"/>
  <c r="B2221" i="3"/>
  <c r="A2221" i="3"/>
  <c r="K2220" i="3"/>
  <c r="I2220" i="3"/>
  <c r="F2220" i="3"/>
  <c r="B2220" i="3"/>
  <c r="A2220" i="3"/>
  <c r="K2219" i="3"/>
  <c r="I2219" i="3"/>
  <c r="F2219" i="3"/>
  <c r="D2219" i="3"/>
  <c r="B2219" i="3"/>
  <c r="A2219" i="3"/>
  <c r="K2218" i="3"/>
  <c r="I2218" i="3"/>
  <c r="F2218" i="3"/>
  <c r="D2218" i="3"/>
  <c r="B2218" i="3"/>
  <c r="A2218" i="3"/>
  <c r="K2217" i="3"/>
  <c r="I2217" i="3"/>
  <c r="F2217" i="3"/>
  <c r="D2217" i="3"/>
  <c r="B2217" i="3"/>
  <c r="A2217" i="3"/>
  <c r="K2216" i="3"/>
  <c r="I2216" i="3"/>
  <c r="F2216" i="3"/>
  <c r="D2216" i="3"/>
  <c r="B2216" i="3"/>
  <c r="A2216" i="3"/>
  <c r="K2215" i="3"/>
  <c r="I2215" i="3"/>
  <c r="F2215" i="3"/>
  <c r="D2215" i="3"/>
  <c r="B2215" i="3"/>
  <c r="A2215" i="3"/>
  <c r="K2214" i="3"/>
  <c r="I2214" i="3"/>
  <c r="F2214" i="3"/>
  <c r="D2214" i="3"/>
  <c r="B2214" i="3"/>
  <c r="A2214" i="3"/>
  <c r="K2213" i="3"/>
  <c r="I2213" i="3"/>
  <c r="F2213" i="3"/>
  <c r="B2213" i="3"/>
  <c r="A2213" i="3"/>
  <c r="K2212" i="3"/>
  <c r="I2212" i="3"/>
  <c r="F2212" i="3"/>
  <c r="D2212" i="3"/>
  <c r="B2212" i="3"/>
  <c r="A2212" i="3"/>
  <c r="K2211" i="3"/>
  <c r="I2211" i="3"/>
  <c r="F2211" i="3"/>
  <c r="E2211" i="3"/>
  <c r="D2211" i="3"/>
  <c r="B2211" i="3"/>
  <c r="A2211" i="3"/>
  <c r="K2210" i="3"/>
  <c r="I2210" i="3"/>
  <c r="F2210" i="3"/>
  <c r="D2210" i="3"/>
  <c r="B2210" i="3"/>
  <c r="A2210" i="3"/>
  <c r="K2209" i="3"/>
  <c r="I2209" i="3"/>
  <c r="F2209" i="3"/>
  <c r="D2209" i="3"/>
  <c r="B2209" i="3"/>
  <c r="A2209" i="3"/>
  <c r="K2208" i="3"/>
  <c r="I2208" i="3"/>
  <c r="F2208" i="3"/>
  <c r="B2208" i="3"/>
  <c r="A2208" i="3"/>
  <c r="K2207" i="3"/>
  <c r="I2207" i="3"/>
  <c r="F2207" i="3"/>
  <c r="B2207" i="3"/>
  <c r="A2207" i="3"/>
  <c r="K2206" i="3"/>
  <c r="I2206" i="3"/>
  <c r="F2206" i="3"/>
  <c r="B2206" i="3"/>
  <c r="A2206" i="3"/>
  <c r="K2205" i="3"/>
  <c r="I2205" i="3"/>
  <c r="F2205" i="3"/>
  <c r="D2205" i="3"/>
  <c r="B2205" i="3"/>
  <c r="A2205" i="3"/>
  <c r="K2204" i="3"/>
  <c r="I2204" i="3"/>
  <c r="F2204" i="3"/>
  <c r="B2204" i="3"/>
  <c r="A2204" i="3"/>
  <c r="K2203" i="3"/>
  <c r="I2203" i="3"/>
  <c r="F2203" i="3"/>
  <c r="D2203" i="3"/>
  <c r="B2203" i="3"/>
  <c r="A2203" i="3"/>
  <c r="K2202" i="3"/>
  <c r="I2202" i="3"/>
  <c r="F2202" i="3"/>
  <c r="D2202" i="3"/>
  <c r="B2202" i="3"/>
  <c r="A2202" i="3"/>
  <c r="K2201" i="3"/>
  <c r="I2201" i="3"/>
  <c r="F2201" i="3"/>
  <c r="D2201" i="3"/>
  <c r="B2201" i="3"/>
  <c r="A2201" i="3"/>
  <c r="K2200" i="3"/>
  <c r="I2200" i="3"/>
  <c r="F2200" i="3"/>
  <c r="D2200" i="3"/>
  <c r="B2200" i="3"/>
  <c r="A2200" i="3"/>
  <c r="K2199" i="3"/>
  <c r="I2199" i="3"/>
  <c r="F2199" i="3"/>
  <c r="D2199" i="3"/>
  <c r="B2199" i="3"/>
  <c r="A2199" i="3"/>
  <c r="K2198" i="3"/>
  <c r="I2198" i="3"/>
  <c r="F2198" i="3"/>
  <c r="D2198" i="3"/>
  <c r="B2198" i="3"/>
  <c r="A2198" i="3"/>
  <c r="K2197" i="3"/>
  <c r="I2197" i="3"/>
  <c r="F2197" i="3"/>
  <c r="B2197" i="3"/>
  <c r="A2197" i="3"/>
  <c r="K2196" i="3"/>
  <c r="I2196" i="3"/>
  <c r="F2196" i="3"/>
  <c r="D2196" i="3"/>
  <c r="B2196" i="3"/>
  <c r="A2196" i="3"/>
  <c r="K2195" i="3"/>
  <c r="I2195" i="3"/>
  <c r="F2195" i="3"/>
  <c r="D2195" i="3"/>
  <c r="B2195" i="3"/>
  <c r="A2195" i="3"/>
  <c r="K2194" i="3"/>
  <c r="I2194" i="3"/>
  <c r="F2194" i="3"/>
  <c r="D2194" i="3"/>
  <c r="B2194" i="3"/>
  <c r="A2194" i="3"/>
  <c r="K2193" i="3"/>
  <c r="I2193" i="3"/>
  <c r="F2193" i="3"/>
  <c r="D2193" i="3"/>
  <c r="B2193" i="3"/>
  <c r="A2193" i="3"/>
  <c r="K2192" i="3"/>
  <c r="I2192" i="3"/>
  <c r="F2192" i="3"/>
  <c r="D2192" i="3"/>
  <c r="B2192" i="3"/>
  <c r="A2192" i="3"/>
  <c r="K2191" i="3"/>
  <c r="I2191" i="3"/>
  <c r="F2191" i="3"/>
  <c r="D2191" i="3"/>
  <c r="B2191" i="3"/>
  <c r="A2191" i="3"/>
  <c r="K2190" i="3"/>
  <c r="I2190" i="3"/>
  <c r="F2190" i="3"/>
  <c r="D2190" i="3"/>
  <c r="B2190" i="3"/>
  <c r="A2190" i="3"/>
  <c r="K2189" i="3"/>
  <c r="I2189" i="3"/>
  <c r="F2189" i="3"/>
  <c r="D2189" i="3"/>
  <c r="B2189" i="3"/>
  <c r="A2189" i="3"/>
  <c r="K2188" i="3"/>
  <c r="I2188" i="3"/>
  <c r="F2188" i="3"/>
  <c r="D2188" i="3"/>
  <c r="B2188" i="3"/>
  <c r="A2188" i="3"/>
  <c r="K2187" i="3"/>
  <c r="I2187" i="3"/>
  <c r="F2187" i="3"/>
  <c r="D2187" i="3"/>
  <c r="B2187" i="3"/>
  <c r="A2187" i="3"/>
  <c r="K2186" i="3"/>
  <c r="I2186" i="3"/>
  <c r="F2186" i="3"/>
  <c r="D2186" i="3"/>
  <c r="B2186" i="3"/>
  <c r="A2186" i="3"/>
  <c r="K2185" i="3"/>
  <c r="I2185" i="3"/>
  <c r="F2185" i="3"/>
  <c r="E2185" i="3"/>
  <c r="D2185" i="3"/>
  <c r="B2185" i="3"/>
  <c r="A2185" i="3"/>
  <c r="K2184" i="3"/>
  <c r="I2184" i="3"/>
  <c r="F2184" i="3"/>
  <c r="E2184" i="3"/>
  <c r="D2184" i="3"/>
  <c r="B2184" i="3"/>
  <c r="A2184" i="3"/>
  <c r="K2183" i="3"/>
  <c r="I2183" i="3"/>
  <c r="F2183" i="3"/>
  <c r="E2183" i="3"/>
  <c r="D2183" i="3"/>
  <c r="B2183" i="3"/>
  <c r="A2183" i="3"/>
  <c r="K2182" i="3"/>
  <c r="I2182" i="3"/>
  <c r="F2182" i="3"/>
  <c r="E2182" i="3"/>
  <c r="D2182" i="3"/>
  <c r="B2182" i="3"/>
  <c r="A2182" i="3"/>
  <c r="K2181" i="3"/>
  <c r="I2181" i="3"/>
  <c r="B2181" i="3"/>
  <c r="A2181" i="3"/>
  <c r="K2180" i="3"/>
  <c r="I2180" i="3"/>
  <c r="F2180" i="3"/>
  <c r="D2180" i="3"/>
  <c r="B2180" i="3"/>
  <c r="A2180" i="3"/>
  <c r="K2179" i="3"/>
  <c r="I2179" i="3"/>
  <c r="F2179" i="3"/>
  <c r="D2179" i="3"/>
  <c r="B2179" i="3"/>
  <c r="A2179" i="3"/>
  <c r="K2178" i="3"/>
  <c r="I2178" i="3"/>
  <c r="F2178" i="3"/>
  <c r="D2178" i="3"/>
  <c r="B2178" i="3"/>
  <c r="A2178" i="3"/>
  <c r="K2177" i="3"/>
  <c r="I2177" i="3"/>
  <c r="F2177" i="3"/>
  <c r="D2177" i="3"/>
  <c r="B2177" i="3"/>
  <c r="A2177" i="3"/>
  <c r="K2176" i="3"/>
  <c r="I2176" i="3"/>
  <c r="F2176" i="3"/>
  <c r="D2176" i="3"/>
  <c r="B2176" i="3"/>
  <c r="A2176" i="3"/>
  <c r="K2175" i="3"/>
  <c r="I2175" i="3"/>
  <c r="F2175" i="3"/>
  <c r="D2175" i="3"/>
  <c r="B2175" i="3"/>
  <c r="A2175" i="3"/>
  <c r="K2174" i="3"/>
  <c r="I2174" i="3"/>
  <c r="F2174" i="3"/>
  <c r="B2174" i="3"/>
  <c r="A2174" i="3"/>
  <c r="K2173" i="3"/>
  <c r="I2173" i="3"/>
  <c r="F2173" i="3"/>
  <c r="B2173" i="3"/>
  <c r="A2173" i="3"/>
  <c r="K2172" i="3"/>
  <c r="I2172" i="3"/>
  <c r="F2172" i="3"/>
  <c r="B2172" i="3"/>
  <c r="A2172" i="3"/>
  <c r="K2171" i="3"/>
  <c r="I2171" i="3"/>
  <c r="F2171" i="3"/>
  <c r="B2171" i="3"/>
  <c r="A2171" i="3"/>
  <c r="K2170" i="3"/>
  <c r="I2170" i="3"/>
  <c r="F2170" i="3"/>
  <c r="B2170" i="3"/>
  <c r="A2170" i="3"/>
  <c r="K2169" i="3"/>
  <c r="I2169" i="3"/>
  <c r="F2169" i="3"/>
  <c r="B2169" i="3"/>
  <c r="A2169" i="3"/>
  <c r="K2168" i="3"/>
  <c r="I2168" i="3"/>
  <c r="F2168" i="3"/>
  <c r="B2168" i="3"/>
  <c r="A2168" i="3"/>
  <c r="K2167" i="3"/>
  <c r="I2167" i="3"/>
  <c r="F2167" i="3"/>
  <c r="D2167" i="3"/>
  <c r="B2167" i="3"/>
  <c r="A2167" i="3"/>
  <c r="K2166" i="3"/>
  <c r="I2166" i="3"/>
  <c r="F2166" i="3"/>
  <c r="D2166" i="3"/>
  <c r="B2166" i="3"/>
  <c r="A2166" i="3"/>
  <c r="K2165" i="3"/>
  <c r="I2165" i="3"/>
  <c r="F2165" i="3"/>
  <c r="B2165" i="3"/>
  <c r="A2165" i="3"/>
  <c r="K2164" i="3"/>
  <c r="I2164" i="3"/>
  <c r="F2164" i="3"/>
  <c r="B2164" i="3"/>
  <c r="A2164" i="3"/>
  <c r="K2163" i="3"/>
  <c r="I2163" i="3"/>
  <c r="F2163" i="3"/>
  <c r="B2163" i="3"/>
  <c r="A2163" i="3"/>
  <c r="K2162" i="3"/>
  <c r="I2162" i="3"/>
  <c r="F2162" i="3"/>
  <c r="B2162" i="3"/>
  <c r="A2162" i="3"/>
  <c r="K2161" i="3"/>
  <c r="I2161" i="3"/>
  <c r="F2161" i="3"/>
  <c r="D2161" i="3"/>
  <c r="B2161" i="3"/>
  <c r="A2161" i="3"/>
  <c r="K2160" i="3"/>
  <c r="I2160" i="3"/>
  <c r="F2160" i="3"/>
  <c r="D2160" i="3"/>
  <c r="B2160" i="3"/>
  <c r="A2160" i="3"/>
  <c r="K2159" i="3"/>
  <c r="I2159" i="3"/>
  <c r="F2159" i="3"/>
  <c r="D2159" i="3"/>
  <c r="B2159" i="3"/>
  <c r="A2159" i="3"/>
  <c r="K2158" i="3"/>
  <c r="I2158" i="3"/>
  <c r="F2158" i="3"/>
  <c r="D2158" i="3"/>
  <c r="B2158" i="3"/>
  <c r="A2158" i="3"/>
  <c r="K2157" i="3"/>
  <c r="I2157" i="3"/>
  <c r="F2157" i="3"/>
  <c r="B2157" i="3"/>
  <c r="A2157" i="3"/>
  <c r="K2156" i="3"/>
  <c r="I2156" i="3"/>
  <c r="F2156" i="3"/>
  <c r="B2156" i="3"/>
  <c r="A2156" i="3"/>
  <c r="K2155" i="3"/>
  <c r="I2155" i="3"/>
  <c r="F2155" i="3"/>
  <c r="B2155" i="3"/>
  <c r="A2155" i="3"/>
  <c r="K2154" i="3"/>
  <c r="I2154" i="3"/>
  <c r="F2154" i="3"/>
  <c r="E2154" i="3"/>
  <c r="B2154" i="3"/>
  <c r="A2154" i="3"/>
  <c r="K2153" i="3"/>
  <c r="I2153" i="3"/>
  <c r="F2153" i="3"/>
  <c r="B2153" i="3"/>
  <c r="A2153" i="3"/>
  <c r="K2152" i="3"/>
  <c r="I2152" i="3"/>
  <c r="F2152" i="3"/>
  <c r="D2152" i="3"/>
  <c r="B2152" i="3"/>
  <c r="A2152" i="3"/>
  <c r="K2151" i="3"/>
  <c r="I2151" i="3"/>
  <c r="F2151" i="3"/>
  <c r="D2151" i="3"/>
  <c r="B2151" i="3"/>
  <c r="A2151" i="3"/>
  <c r="K2150" i="3"/>
  <c r="I2150" i="3"/>
  <c r="F2150" i="3"/>
  <c r="D2150" i="3"/>
  <c r="B2150" i="3"/>
  <c r="A2150" i="3"/>
  <c r="K2149" i="3"/>
  <c r="I2149" i="3"/>
  <c r="F2149" i="3"/>
  <c r="E2149" i="3"/>
  <c r="D2149" i="3"/>
  <c r="B2149" i="3"/>
  <c r="A2149" i="3"/>
  <c r="K2148" i="3"/>
  <c r="I2148" i="3"/>
  <c r="D2148" i="3"/>
  <c r="B2148" i="3"/>
  <c r="A2148" i="3"/>
  <c r="K2147" i="3"/>
  <c r="I2147" i="3"/>
  <c r="F2147" i="3"/>
  <c r="E2147" i="3"/>
  <c r="B2147" i="3"/>
  <c r="A2147" i="3"/>
  <c r="K2146" i="3"/>
  <c r="I2146" i="3"/>
  <c r="F2146" i="3"/>
  <c r="B2146" i="3"/>
  <c r="A2146" i="3"/>
  <c r="K2145" i="3"/>
  <c r="I2145" i="3"/>
  <c r="F2145" i="3"/>
  <c r="B2145" i="3"/>
  <c r="A2145" i="3"/>
  <c r="K2144" i="3"/>
  <c r="I2144" i="3"/>
  <c r="F2144" i="3"/>
  <c r="B2144" i="3"/>
  <c r="A2144" i="3"/>
  <c r="K2143" i="3"/>
  <c r="I2143" i="3"/>
  <c r="F2143" i="3"/>
  <c r="D2143" i="3"/>
  <c r="B2143" i="3"/>
  <c r="A2143" i="3"/>
  <c r="K2142" i="3"/>
  <c r="I2142" i="3"/>
  <c r="F2142" i="3"/>
  <c r="D2142" i="3"/>
  <c r="B2142" i="3"/>
  <c r="A2142" i="3"/>
  <c r="K2141" i="3"/>
  <c r="I2141" i="3"/>
  <c r="F2141" i="3"/>
  <c r="B2141" i="3"/>
  <c r="A2141" i="3"/>
  <c r="K2140" i="3"/>
  <c r="I2140" i="3"/>
  <c r="F2140" i="3"/>
  <c r="B2140" i="3"/>
  <c r="A2140" i="3"/>
  <c r="K2139" i="3"/>
  <c r="I2139" i="3"/>
  <c r="F2139" i="3"/>
  <c r="D2139" i="3"/>
  <c r="B2139" i="3"/>
  <c r="A2139" i="3"/>
  <c r="K2138" i="3"/>
  <c r="I2138" i="3"/>
  <c r="F2138" i="3"/>
  <c r="B2138" i="3"/>
  <c r="A2138" i="3"/>
  <c r="K2137" i="3"/>
  <c r="I2137" i="3"/>
  <c r="F2137" i="3"/>
  <c r="B2137" i="3"/>
  <c r="A2137" i="3"/>
  <c r="K2136" i="3"/>
  <c r="I2136" i="3"/>
  <c r="F2136" i="3"/>
  <c r="B2136" i="3"/>
  <c r="A2136" i="3"/>
  <c r="K2135" i="3"/>
  <c r="I2135" i="3"/>
  <c r="D2135" i="3"/>
  <c r="B2135" i="3"/>
  <c r="A2135" i="3"/>
  <c r="K2134" i="3"/>
  <c r="I2134" i="3"/>
  <c r="F2134" i="3"/>
  <c r="B2134" i="3"/>
  <c r="A2134" i="3"/>
  <c r="K2133" i="3"/>
  <c r="I2133" i="3"/>
  <c r="F2133" i="3"/>
  <c r="B2133" i="3"/>
  <c r="A2133" i="3"/>
  <c r="K2132" i="3"/>
  <c r="I2132" i="3"/>
  <c r="F2132" i="3"/>
  <c r="B2132" i="3"/>
  <c r="A2132" i="3"/>
  <c r="K2131" i="3"/>
  <c r="I2131" i="3"/>
  <c r="F2131" i="3"/>
  <c r="D2131" i="3"/>
  <c r="B2131" i="3"/>
  <c r="A2131" i="3"/>
  <c r="K2130" i="3"/>
  <c r="I2130" i="3"/>
  <c r="D2130" i="3"/>
  <c r="B2130" i="3"/>
  <c r="A2130" i="3"/>
  <c r="K2129" i="3"/>
  <c r="I2129" i="3"/>
  <c r="D2129" i="3"/>
  <c r="B2129" i="3"/>
  <c r="A2129" i="3"/>
  <c r="K2128" i="3"/>
  <c r="I2128" i="3"/>
  <c r="F2128" i="3"/>
  <c r="B2128" i="3"/>
  <c r="A2128" i="3"/>
  <c r="K2127" i="3"/>
  <c r="I2127" i="3"/>
  <c r="F2127" i="3"/>
  <c r="E2127" i="3"/>
  <c r="D2127" i="3"/>
  <c r="B2127" i="3"/>
  <c r="A2127" i="3"/>
  <c r="K2126" i="3"/>
  <c r="I2126" i="3"/>
  <c r="F2126" i="3"/>
  <c r="D2126" i="3"/>
  <c r="B2126" i="3"/>
  <c r="A2126" i="3"/>
  <c r="K2125" i="3"/>
  <c r="I2125" i="3"/>
  <c r="F2125" i="3"/>
  <c r="D2125" i="3"/>
  <c r="B2125" i="3"/>
  <c r="A2125" i="3"/>
  <c r="K2124" i="3"/>
  <c r="I2124" i="3"/>
  <c r="F2124" i="3"/>
  <c r="B2124" i="3"/>
  <c r="A2124" i="3"/>
  <c r="K2123" i="3"/>
  <c r="I2123" i="3"/>
  <c r="F2123" i="3"/>
  <c r="B2123" i="3"/>
  <c r="A2123" i="3"/>
  <c r="K2122" i="3"/>
  <c r="I2122" i="3"/>
  <c r="F2122" i="3"/>
  <c r="D2122" i="3"/>
  <c r="B2122" i="3"/>
  <c r="A2122" i="3"/>
  <c r="K2121" i="3"/>
  <c r="I2121" i="3"/>
  <c r="F2121" i="3"/>
  <c r="D2121" i="3"/>
  <c r="B2121" i="3"/>
  <c r="A2121" i="3"/>
  <c r="K2120" i="3"/>
  <c r="I2120" i="3"/>
  <c r="F2120" i="3"/>
  <c r="D2120" i="3"/>
  <c r="B2120" i="3"/>
  <c r="A2120" i="3"/>
  <c r="K2119" i="3"/>
  <c r="I2119" i="3"/>
  <c r="F2119" i="3"/>
  <c r="E2119" i="3"/>
  <c r="D2119" i="3"/>
  <c r="B2119" i="3"/>
  <c r="A2119" i="3"/>
  <c r="K2118" i="3"/>
  <c r="I2118" i="3"/>
  <c r="F2118" i="3"/>
  <c r="E2118" i="3"/>
  <c r="D2118" i="3"/>
  <c r="B2118" i="3"/>
  <c r="A2118" i="3"/>
  <c r="K2117" i="3"/>
  <c r="I2117" i="3"/>
  <c r="F2117" i="3"/>
  <c r="D2117" i="3"/>
  <c r="B2117" i="3"/>
  <c r="A2117" i="3"/>
  <c r="K2116" i="3"/>
  <c r="I2116" i="3"/>
  <c r="F2116" i="3"/>
  <c r="D2116" i="3"/>
  <c r="B2116" i="3"/>
  <c r="A2116" i="3"/>
  <c r="K2115" i="3"/>
  <c r="I2115" i="3"/>
  <c r="F2115" i="3"/>
  <c r="E2115" i="3"/>
  <c r="B2115" i="3"/>
  <c r="A2115" i="3"/>
  <c r="K2114" i="3"/>
  <c r="I2114" i="3"/>
  <c r="F2114" i="3"/>
  <c r="B2114" i="3"/>
  <c r="A2114" i="3"/>
  <c r="K2113" i="3"/>
  <c r="I2113" i="3"/>
  <c r="F2113" i="3"/>
  <c r="B2113" i="3"/>
  <c r="A2113" i="3"/>
  <c r="K2112" i="3"/>
  <c r="I2112" i="3"/>
  <c r="F2112" i="3"/>
  <c r="D2112" i="3"/>
  <c r="B2112" i="3"/>
  <c r="A2112" i="3"/>
  <c r="K2111" i="3"/>
  <c r="I2111" i="3"/>
  <c r="F2111" i="3"/>
  <c r="B2111" i="3"/>
  <c r="A2111" i="3"/>
  <c r="K2110" i="3"/>
  <c r="I2110" i="3"/>
  <c r="F2110" i="3"/>
  <c r="B2110" i="3"/>
  <c r="A2110" i="3"/>
  <c r="K2109" i="3"/>
  <c r="I2109" i="3"/>
  <c r="F2109" i="3"/>
  <c r="B2109" i="3"/>
  <c r="A2109" i="3"/>
  <c r="K2108" i="3"/>
  <c r="I2108" i="3"/>
  <c r="F2108" i="3"/>
  <c r="D2108" i="3"/>
  <c r="B2108" i="3"/>
  <c r="A2108" i="3"/>
  <c r="K2107" i="3"/>
  <c r="I2107" i="3"/>
  <c r="F2107" i="3"/>
  <c r="D2107" i="3"/>
  <c r="B2107" i="3"/>
  <c r="A2107" i="3"/>
  <c r="K2106" i="3"/>
  <c r="I2106" i="3"/>
  <c r="F2106" i="3"/>
  <c r="D2106" i="3"/>
  <c r="B2106" i="3"/>
  <c r="A2106" i="3"/>
  <c r="K2105" i="3"/>
  <c r="I2105" i="3"/>
  <c r="F2105" i="3"/>
  <c r="D2105" i="3"/>
  <c r="B2105" i="3"/>
  <c r="A2105" i="3"/>
  <c r="K2104" i="3"/>
  <c r="I2104" i="3"/>
  <c r="F2104" i="3"/>
  <c r="D2104" i="3"/>
  <c r="B2104" i="3"/>
  <c r="A2104" i="3"/>
  <c r="K2103" i="3"/>
  <c r="I2103" i="3"/>
  <c r="F2103" i="3"/>
  <c r="D2103" i="3"/>
  <c r="B2103" i="3"/>
  <c r="A2103" i="3"/>
  <c r="K2102" i="3"/>
  <c r="I2102" i="3"/>
  <c r="F2102" i="3"/>
  <c r="B2102" i="3"/>
  <c r="A2102" i="3"/>
  <c r="K2101" i="3"/>
  <c r="I2101" i="3"/>
  <c r="F2101" i="3"/>
  <c r="B2101" i="3"/>
  <c r="A2101" i="3"/>
  <c r="K2100" i="3"/>
  <c r="I2100" i="3"/>
  <c r="F2100" i="3"/>
  <c r="B2100" i="3"/>
  <c r="A2100" i="3"/>
  <c r="K2099" i="3"/>
  <c r="I2099" i="3"/>
  <c r="F2099" i="3"/>
  <c r="B2099" i="3"/>
  <c r="A2099" i="3"/>
  <c r="K2098" i="3"/>
  <c r="I2098" i="3"/>
  <c r="F2098" i="3"/>
  <c r="B2098" i="3"/>
  <c r="A2098" i="3"/>
  <c r="K2097" i="3"/>
  <c r="I2097" i="3"/>
  <c r="F2097" i="3"/>
  <c r="B2097" i="3"/>
  <c r="A2097" i="3"/>
  <c r="K2096" i="3"/>
  <c r="I2096" i="3"/>
  <c r="F2096" i="3"/>
  <c r="B2096" i="3"/>
  <c r="A2096" i="3"/>
  <c r="K2095" i="3"/>
  <c r="I2095" i="3"/>
  <c r="F2095" i="3"/>
  <c r="D2095" i="3"/>
  <c r="B2095" i="3"/>
  <c r="A2095" i="3"/>
  <c r="K2094" i="3"/>
  <c r="I2094" i="3"/>
  <c r="F2094" i="3"/>
  <c r="D2094" i="3"/>
  <c r="B2094" i="3"/>
  <c r="A2094" i="3"/>
  <c r="K2093" i="3"/>
  <c r="I2093" i="3"/>
  <c r="F2093" i="3"/>
  <c r="D2093" i="3"/>
  <c r="B2093" i="3"/>
  <c r="A2093" i="3"/>
  <c r="K2092" i="3"/>
  <c r="I2092" i="3"/>
  <c r="F2092" i="3"/>
  <c r="D2092" i="3"/>
  <c r="B2092" i="3"/>
  <c r="A2092" i="3"/>
  <c r="K2091" i="3"/>
  <c r="I2091" i="3"/>
  <c r="F2091" i="3"/>
  <c r="D2091" i="3"/>
  <c r="B2091" i="3"/>
  <c r="A2091" i="3"/>
  <c r="K2090" i="3"/>
  <c r="I2090" i="3"/>
  <c r="F2090" i="3"/>
  <c r="B2090" i="3"/>
  <c r="A2090" i="3"/>
  <c r="K2089" i="3"/>
  <c r="I2089" i="3"/>
  <c r="F2089" i="3"/>
  <c r="B2089" i="3"/>
  <c r="A2089" i="3"/>
  <c r="K2088" i="3"/>
  <c r="I2088" i="3"/>
  <c r="F2088" i="3"/>
  <c r="D2088" i="3"/>
  <c r="B2088" i="3"/>
  <c r="A2088" i="3"/>
  <c r="K2087" i="3"/>
  <c r="I2087" i="3"/>
  <c r="F2087" i="3"/>
  <c r="D2087" i="3"/>
  <c r="B2087" i="3"/>
  <c r="A2087" i="3"/>
  <c r="K2086" i="3"/>
  <c r="I2086" i="3"/>
  <c r="F2086" i="3"/>
  <c r="D2086" i="3"/>
  <c r="B2086" i="3"/>
  <c r="A2086" i="3"/>
  <c r="K2085" i="3"/>
  <c r="I2085" i="3"/>
  <c r="F2085" i="3"/>
  <c r="D2085" i="3"/>
  <c r="B2085" i="3"/>
  <c r="A2085" i="3"/>
  <c r="K2084" i="3"/>
  <c r="I2084" i="3"/>
  <c r="F2084" i="3"/>
  <c r="D2084" i="3"/>
  <c r="B2084" i="3"/>
  <c r="A2084" i="3"/>
  <c r="K2083" i="3"/>
  <c r="I2083" i="3"/>
  <c r="F2083" i="3"/>
  <c r="D2083" i="3"/>
  <c r="B2083" i="3"/>
  <c r="A2083" i="3"/>
  <c r="K2082" i="3"/>
  <c r="I2082" i="3"/>
  <c r="F2082" i="3"/>
  <c r="D2082" i="3"/>
  <c r="B2082" i="3"/>
  <c r="A2082" i="3"/>
  <c r="K2081" i="3"/>
  <c r="I2081" i="3"/>
  <c r="F2081" i="3"/>
  <c r="D2081" i="3"/>
  <c r="B2081" i="3"/>
  <c r="A2081" i="3"/>
  <c r="K2080" i="3"/>
  <c r="I2080" i="3"/>
  <c r="F2080" i="3"/>
  <c r="D2080" i="3"/>
  <c r="B2080" i="3"/>
  <c r="A2080" i="3"/>
  <c r="K2079" i="3"/>
  <c r="I2079" i="3"/>
  <c r="F2079" i="3"/>
  <c r="D2079" i="3"/>
  <c r="B2079" i="3"/>
  <c r="A2079" i="3"/>
  <c r="K2078" i="3"/>
  <c r="I2078" i="3"/>
  <c r="F2078" i="3"/>
  <c r="D2078" i="3"/>
  <c r="B2078" i="3"/>
  <c r="A2078" i="3"/>
  <c r="K2077" i="3"/>
  <c r="I2077" i="3"/>
  <c r="F2077" i="3"/>
  <c r="D2077" i="3"/>
  <c r="B2077" i="3"/>
  <c r="A2077" i="3"/>
  <c r="K2076" i="3"/>
  <c r="I2076" i="3"/>
  <c r="F2076" i="3"/>
  <c r="D2076" i="3"/>
  <c r="B2076" i="3"/>
  <c r="A2076" i="3"/>
  <c r="K2075" i="3"/>
  <c r="I2075" i="3"/>
  <c r="F2075" i="3"/>
  <c r="D2075" i="3"/>
  <c r="B2075" i="3"/>
  <c r="A2075" i="3"/>
  <c r="K2074" i="3"/>
  <c r="I2074" i="3"/>
  <c r="F2074" i="3"/>
  <c r="D2074" i="3"/>
  <c r="B2074" i="3"/>
  <c r="A2074" i="3"/>
  <c r="K2073" i="3"/>
  <c r="I2073" i="3"/>
  <c r="F2073" i="3"/>
  <c r="D2073" i="3"/>
  <c r="B2073" i="3"/>
  <c r="A2073" i="3"/>
  <c r="K2072" i="3"/>
  <c r="I2072" i="3"/>
  <c r="F2072" i="3"/>
  <c r="D2072" i="3"/>
  <c r="B2072" i="3"/>
  <c r="A2072" i="3"/>
  <c r="K2071" i="3"/>
  <c r="I2071" i="3"/>
  <c r="F2071" i="3"/>
  <c r="D2071" i="3"/>
  <c r="B2071" i="3"/>
  <c r="A2071" i="3"/>
  <c r="K2070" i="3"/>
  <c r="I2070" i="3"/>
  <c r="F2070" i="3"/>
  <c r="D2070" i="3"/>
  <c r="B2070" i="3"/>
  <c r="A2070" i="3"/>
  <c r="K2069" i="3"/>
  <c r="I2069" i="3"/>
  <c r="D2069" i="3"/>
  <c r="B2069" i="3"/>
  <c r="A2069" i="3"/>
  <c r="K2068" i="3"/>
  <c r="I2068" i="3"/>
  <c r="D2068" i="3"/>
  <c r="B2068" i="3"/>
  <c r="A2068" i="3"/>
  <c r="K2067" i="3"/>
  <c r="I2067" i="3"/>
  <c r="F2067" i="3"/>
  <c r="D2067" i="3"/>
  <c r="B2067" i="3"/>
  <c r="A2067" i="3"/>
  <c r="K2066" i="3"/>
  <c r="I2066" i="3"/>
  <c r="F2066" i="3"/>
  <c r="D2066" i="3"/>
  <c r="B2066" i="3"/>
  <c r="A2066" i="3"/>
  <c r="K2065" i="3"/>
  <c r="I2065" i="3"/>
  <c r="F2065" i="3"/>
  <c r="D2065" i="3"/>
  <c r="B2065" i="3"/>
  <c r="A2065" i="3"/>
  <c r="K2064" i="3"/>
  <c r="I2064" i="3"/>
  <c r="F2064" i="3"/>
  <c r="D2064" i="3"/>
  <c r="B2064" i="3"/>
  <c r="A2064" i="3"/>
  <c r="K2063" i="3"/>
  <c r="I2063" i="3"/>
  <c r="F2063" i="3"/>
  <c r="D2063" i="3"/>
  <c r="B2063" i="3"/>
  <c r="A2063" i="3"/>
  <c r="K2062" i="3"/>
  <c r="I2062" i="3"/>
  <c r="F2062" i="3"/>
  <c r="B2062" i="3"/>
  <c r="A2062" i="3"/>
  <c r="K2061" i="3"/>
  <c r="I2061" i="3"/>
  <c r="F2061" i="3"/>
  <c r="D2061" i="3"/>
  <c r="B2061" i="3"/>
  <c r="A2061" i="3"/>
  <c r="K2060" i="3"/>
  <c r="I2060" i="3"/>
  <c r="F2060" i="3"/>
  <c r="B2060" i="3"/>
  <c r="A2060" i="3"/>
  <c r="K2059" i="3"/>
  <c r="I2059" i="3"/>
  <c r="F2059" i="3"/>
  <c r="D2059" i="3"/>
  <c r="B2059" i="3"/>
  <c r="A2059" i="3"/>
  <c r="K2058" i="3"/>
  <c r="I2058" i="3"/>
  <c r="F2058" i="3"/>
  <c r="B2058" i="3"/>
  <c r="A2058" i="3"/>
  <c r="K2057" i="3"/>
  <c r="I2057" i="3"/>
  <c r="F2057" i="3"/>
  <c r="B2057" i="3"/>
  <c r="A2057" i="3"/>
  <c r="K2056" i="3"/>
  <c r="I2056" i="3"/>
  <c r="F2056" i="3"/>
  <c r="B2056" i="3"/>
  <c r="A2056" i="3"/>
  <c r="K2055" i="3"/>
  <c r="I2055" i="3"/>
  <c r="F2055" i="3"/>
  <c r="D2055" i="3"/>
  <c r="B2055" i="3"/>
  <c r="A2055" i="3"/>
  <c r="K2054" i="3"/>
  <c r="I2054" i="3"/>
  <c r="F2054" i="3"/>
  <c r="D2054" i="3"/>
  <c r="B2054" i="3"/>
  <c r="A2054" i="3"/>
  <c r="K2053" i="3"/>
  <c r="I2053" i="3"/>
  <c r="F2053" i="3"/>
  <c r="B2053" i="3"/>
  <c r="A2053" i="3"/>
  <c r="K2052" i="3"/>
  <c r="I2052" i="3"/>
  <c r="F2052" i="3"/>
  <c r="D2052" i="3"/>
  <c r="B2052" i="3"/>
  <c r="A2052" i="3"/>
  <c r="K2051" i="3"/>
  <c r="I2051" i="3"/>
  <c r="F2051" i="3"/>
  <c r="D2051" i="3"/>
  <c r="B2051" i="3"/>
  <c r="A2051" i="3"/>
  <c r="K2050" i="3"/>
  <c r="I2050" i="3"/>
  <c r="F2050" i="3"/>
  <c r="D2050" i="3"/>
  <c r="B2050" i="3"/>
  <c r="A2050" i="3"/>
  <c r="K2049" i="3"/>
  <c r="I2049" i="3"/>
  <c r="F2049" i="3"/>
  <c r="D2049" i="3"/>
  <c r="B2049" i="3"/>
  <c r="A2049" i="3"/>
  <c r="K2048" i="3"/>
  <c r="I2048" i="3"/>
  <c r="F2048" i="3"/>
  <c r="D2048" i="3"/>
  <c r="B2048" i="3"/>
  <c r="A2048" i="3"/>
  <c r="K2047" i="3"/>
  <c r="I2047" i="3"/>
  <c r="F2047" i="3"/>
  <c r="D2047" i="3"/>
  <c r="B2047" i="3"/>
  <c r="A2047" i="3"/>
  <c r="K2046" i="3"/>
  <c r="I2046" i="3"/>
  <c r="F2046" i="3"/>
  <c r="D2046" i="3"/>
  <c r="B2046" i="3"/>
  <c r="A2046" i="3"/>
  <c r="K2045" i="3"/>
  <c r="I2045" i="3"/>
  <c r="F2045" i="3"/>
  <c r="B2045" i="3"/>
  <c r="A2045" i="3"/>
  <c r="K2044" i="3"/>
  <c r="I2044" i="3"/>
  <c r="F2044" i="3"/>
  <c r="B2044" i="3"/>
  <c r="A2044" i="3"/>
  <c r="K2043" i="3"/>
  <c r="I2043" i="3"/>
  <c r="F2043" i="3"/>
  <c r="D2043" i="3"/>
  <c r="B2043" i="3"/>
  <c r="A2043" i="3"/>
  <c r="K2042" i="3"/>
  <c r="I2042" i="3"/>
  <c r="F2042" i="3"/>
  <c r="D2042" i="3"/>
  <c r="B2042" i="3"/>
  <c r="A2042" i="3"/>
  <c r="K2041" i="3"/>
  <c r="I2041" i="3"/>
  <c r="F2041" i="3"/>
  <c r="D2041" i="3"/>
  <c r="B2041" i="3"/>
  <c r="A2041" i="3"/>
  <c r="K2040" i="3"/>
  <c r="I2040" i="3"/>
  <c r="F2040" i="3"/>
  <c r="B2040" i="3"/>
  <c r="A2040" i="3"/>
  <c r="K2039" i="3"/>
  <c r="I2039" i="3"/>
  <c r="F2039" i="3"/>
  <c r="B2039" i="3"/>
  <c r="A2039" i="3"/>
  <c r="K2038" i="3"/>
  <c r="I2038" i="3"/>
  <c r="F2038" i="3"/>
  <c r="B2038" i="3"/>
  <c r="A2038" i="3"/>
  <c r="K2037" i="3"/>
  <c r="I2037" i="3"/>
  <c r="F2037" i="3"/>
  <c r="D2037" i="3"/>
  <c r="B2037" i="3"/>
  <c r="A2037" i="3"/>
  <c r="K2036" i="3"/>
  <c r="I2036" i="3"/>
  <c r="F2036" i="3"/>
  <c r="D2036" i="3"/>
  <c r="B2036" i="3"/>
  <c r="A2036" i="3"/>
  <c r="K2035" i="3"/>
  <c r="I2035" i="3"/>
  <c r="F2035" i="3"/>
  <c r="B2035" i="3"/>
  <c r="A2035" i="3"/>
  <c r="K2034" i="3"/>
  <c r="I2034" i="3"/>
  <c r="F2034" i="3"/>
  <c r="B2034" i="3"/>
  <c r="A2034" i="3"/>
  <c r="K2033" i="3"/>
  <c r="I2033" i="3"/>
  <c r="F2033" i="3"/>
  <c r="D2033" i="3"/>
  <c r="B2033" i="3"/>
  <c r="A2033" i="3"/>
  <c r="K2032" i="3"/>
  <c r="I2032" i="3"/>
  <c r="F2032" i="3"/>
  <c r="D2032" i="3"/>
  <c r="B2032" i="3"/>
  <c r="A2032" i="3"/>
  <c r="K2031" i="3"/>
  <c r="I2031" i="3"/>
  <c r="F2031" i="3"/>
  <c r="D2031" i="3"/>
  <c r="B2031" i="3"/>
  <c r="A2031" i="3"/>
  <c r="K2030" i="3"/>
  <c r="I2030" i="3"/>
  <c r="F2030" i="3"/>
  <c r="D2030" i="3"/>
  <c r="B2030" i="3"/>
  <c r="A2030" i="3"/>
  <c r="K2029" i="3"/>
  <c r="I2029" i="3"/>
  <c r="D2029" i="3"/>
  <c r="B2029" i="3"/>
  <c r="A2029" i="3"/>
  <c r="K2028" i="3"/>
  <c r="I2028" i="3"/>
  <c r="F2028" i="3"/>
  <c r="D2028" i="3"/>
  <c r="B2028" i="3"/>
  <c r="A2028" i="3"/>
  <c r="K2027" i="3"/>
  <c r="I2027" i="3"/>
  <c r="F2027" i="3"/>
  <c r="D2027" i="3"/>
  <c r="B2027" i="3"/>
  <c r="A2027" i="3"/>
  <c r="K2026" i="3"/>
  <c r="I2026" i="3"/>
  <c r="F2026" i="3"/>
  <c r="D2026" i="3"/>
  <c r="B2026" i="3"/>
  <c r="A2026" i="3"/>
  <c r="K2025" i="3"/>
  <c r="I2025" i="3"/>
  <c r="F2025" i="3"/>
  <c r="D2025" i="3"/>
  <c r="B2025" i="3"/>
  <c r="A2025" i="3"/>
  <c r="K2024" i="3"/>
  <c r="I2024" i="3"/>
  <c r="F2024" i="3"/>
  <c r="D2024" i="3"/>
  <c r="B2024" i="3"/>
  <c r="A2024" i="3"/>
  <c r="K2023" i="3"/>
  <c r="I2023" i="3"/>
  <c r="F2023" i="3"/>
  <c r="D2023" i="3"/>
  <c r="B2023" i="3"/>
  <c r="A2023" i="3"/>
  <c r="K2022" i="3"/>
  <c r="I2022" i="3"/>
  <c r="F2022" i="3"/>
  <c r="D2022" i="3"/>
  <c r="B2022" i="3"/>
  <c r="A2022" i="3"/>
  <c r="K2021" i="3"/>
  <c r="I2021" i="3"/>
  <c r="F2021" i="3"/>
  <c r="D2021" i="3"/>
  <c r="B2021" i="3"/>
  <c r="A2021" i="3"/>
  <c r="K2020" i="3"/>
  <c r="I2020" i="3"/>
  <c r="F2020" i="3"/>
  <c r="D2020" i="3"/>
  <c r="B2020" i="3"/>
  <c r="A2020" i="3"/>
  <c r="K2019" i="3"/>
  <c r="I2019" i="3"/>
  <c r="F2019" i="3"/>
  <c r="D2019" i="3"/>
  <c r="B2019" i="3"/>
  <c r="A2019" i="3"/>
  <c r="K2018" i="3"/>
  <c r="I2018" i="3"/>
  <c r="F2018" i="3"/>
  <c r="D2018" i="3"/>
  <c r="B2018" i="3"/>
  <c r="A2018" i="3"/>
  <c r="K2017" i="3"/>
  <c r="I2017" i="3"/>
  <c r="F2017" i="3"/>
  <c r="D2017" i="3"/>
  <c r="B2017" i="3"/>
  <c r="A2017" i="3"/>
  <c r="K2016" i="3"/>
  <c r="I2016" i="3"/>
  <c r="F2016" i="3"/>
  <c r="D2016" i="3"/>
  <c r="B2016" i="3"/>
  <c r="A2016" i="3"/>
  <c r="K2015" i="3"/>
  <c r="I2015" i="3"/>
  <c r="F2015" i="3"/>
  <c r="D2015" i="3"/>
  <c r="B2015" i="3"/>
  <c r="A2015" i="3"/>
  <c r="K2014" i="3"/>
  <c r="I2014" i="3"/>
  <c r="F2014" i="3"/>
  <c r="D2014" i="3"/>
  <c r="B2014" i="3"/>
  <c r="A2014" i="3"/>
  <c r="K2013" i="3"/>
  <c r="I2013" i="3"/>
  <c r="F2013" i="3"/>
  <c r="D2013" i="3"/>
  <c r="B2013" i="3"/>
  <c r="A2013" i="3"/>
  <c r="K2012" i="3"/>
  <c r="I2012" i="3"/>
  <c r="F2012" i="3"/>
  <c r="D2012" i="3"/>
  <c r="B2012" i="3"/>
  <c r="A2012" i="3"/>
  <c r="K2011" i="3"/>
  <c r="I2011" i="3"/>
  <c r="F2011" i="3"/>
  <c r="B2011" i="3"/>
  <c r="A2011" i="3"/>
  <c r="K2010" i="3"/>
  <c r="I2010" i="3"/>
  <c r="F2010" i="3"/>
  <c r="B2010" i="3"/>
  <c r="A2010" i="3"/>
  <c r="K2009" i="3"/>
  <c r="I2009" i="3"/>
  <c r="F2009" i="3"/>
  <c r="B2009" i="3"/>
  <c r="A2009" i="3"/>
  <c r="K2008" i="3"/>
  <c r="I2008" i="3"/>
  <c r="F2008" i="3"/>
  <c r="D2008" i="3"/>
  <c r="B2008" i="3"/>
  <c r="A2008" i="3"/>
  <c r="K2007" i="3"/>
  <c r="I2007" i="3"/>
  <c r="F2007" i="3"/>
  <c r="D2007" i="3"/>
  <c r="B2007" i="3"/>
  <c r="A2007" i="3"/>
  <c r="K2006" i="3"/>
  <c r="I2006" i="3"/>
  <c r="F2006" i="3"/>
  <c r="D2006" i="3"/>
  <c r="B2006" i="3"/>
  <c r="A2006" i="3"/>
  <c r="K2005" i="3"/>
  <c r="I2005" i="3"/>
  <c r="F2005" i="3"/>
  <c r="D2005" i="3"/>
  <c r="B2005" i="3"/>
  <c r="A2005" i="3"/>
  <c r="K2004" i="3"/>
  <c r="I2004" i="3"/>
  <c r="F2004" i="3"/>
  <c r="D2004" i="3"/>
  <c r="B2004" i="3"/>
  <c r="A2004" i="3"/>
  <c r="K2003" i="3"/>
  <c r="I2003" i="3"/>
  <c r="F2003" i="3"/>
  <c r="E2003" i="3"/>
  <c r="D2003" i="3"/>
  <c r="B2003" i="3"/>
  <c r="A2003" i="3"/>
  <c r="K2002" i="3"/>
  <c r="I2002" i="3"/>
  <c r="F2002" i="3"/>
  <c r="D2002" i="3"/>
  <c r="B2002" i="3"/>
  <c r="A2002" i="3"/>
  <c r="K2001" i="3"/>
  <c r="I2001" i="3"/>
  <c r="F2001" i="3"/>
  <c r="D2001" i="3"/>
  <c r="B2001" i="3"/>
  <c r="A2001" i="3"/>
  <c r="K2000" i="3"/>
  <c r="I2000" i="3"/>
  <c r="F2000" i="3"/>
  <c r="B2000" i="3"/>
  <c r="A2000" i="3"/>
  <c r="K1999" i="3"/>
  <c r="I1999" i="3"/>
  <c r="F1999" i="3"/>
  <c r="B1999" i="3"/>
  <c r="A1999" i="3"/>
  <c r="K1998" i="3"/>
  <c r="I1998" i="3"/>
  <c r="F1998" i="3"/>
  <c r="D1998" i="3"/>
  <c r="B1998" i="3"/>
  <c r="A1998" i="3"/>
  <c r="K1997" i="3"/>
  <c r="I1997" i="3"/>
  <c r="F1997" i="3"/>
  <c r="D1997" i="3"/>
  <c r="B1997" i="3"/>
  <c r="A1997" i="3"/>
  <c r="K1996" i="3"/>
  <c r="I1996" i="3"/>
  <c r="F1996" i="3"/>
  <c r="D1996" i="3"/>
  <c r="B1996" i="3"/>
  <c r="A1996" i="3"/>
  <c r="K1995" i="3"/>
  <c r="I1995" i="3"/>
  <c r="F1995" i="3"/>
  <c r="D1995" i="3"/>
  <c r="B1995" i="3"/>
  <c r="A1995" i="3"/>
  <c r="K1994" i="3"/>
  <c r="I1994" i="3"/>
  <c r="F1994" i="3"/>
  <c r="D1994" i="3"/>
  <c r="B1994" i="3"/>
  <c r="A1994" i="3"/>
  <c r="K1993" i="3"/>
  <c r="I1993" i="3"/>
  <c r="F1993" i="3"/>
  <c r="D1993" i="3"/>
  <c r="B1993" i="3"/>
  <c r="A1993" i="3"/>
  <c r="K1992" i="3"/>
  <c r="I1992" i="3"/>
  <c r="F1992" i="3"/>
  <c r="D1992" i="3"/>
  <c r="B1992" i="3"/>
  <c r="A1992" i="3"/>
  <c r="K1991" i="3"/>
  <c r="I1991" i="3"/>
  <c r="F1991" i="3"/>
  <c r="D1991" i="3"/>
  <c r="B1991" i="3"/>
  <c r="A1991" i="3"/>
  <c r="K1990" i="3"/>
  <c r="I1990" i="3"/>
  <c r="F1990" i="3"/>
  <c r="D1990" i="3"/>
  <c r="B1990" i="3"/>
  <c r="A1990" i="3"/>
  <c r="K1989" i="3"/>
  <c r="I1989" i="3"/>
  <c r="F1989" i="3"/>
  <c r="D1989" i="3"/>
  <c r="B1989" i="3"/>
  <c r="A1989" i="3"/>
  <c r="K1988" i="3"/>
  <c r="I1988" i="3"/>
  <c r="F1988" i="3"/>
  <c r="D1988" i="3"/>
  <c r="B1988" i="3"/>
  <c r="A1988" i="3"/>
  <c r="K1987" i="3"/>
  <c r="I1987" i="3"/>
  <c r="F1987" i="3"/>
  <c r="D1987" i="3"/>
  <c r="B1987" i="3"/>
  <c r="A1987" i="3"/>
  <c r="K1986" i="3"/>
  <c r="I1986" i="3"/>
  <c r="F1986" i="3"/>
  <c r="D1986" i="3"/>
  <c r="B1986" i="3"/>
  <c r="A1986" i="3"/>
  <c r="K1985" i="3"/>
  <c r="I1985" i="3"/>
  <c r="F1985" i="3"/>
  <c r="D1985" i="3"/>
  <c r="B1985" i="3"/>
  <c r="A1985" i="3"/>
  <c r="K1984" i="3"/>
  <c r="I1984" i="3"/>
  <c r="F1984" i="3"/>
  <c r="D1984" i="3"/>
  <c r="B1984" i="3"/>
  <c r="A1984" i="3"/>
  <c r="K1983" i="3"/>
  <c r="I1983" i="3"/>
  <c r="F1983" i="3"/>
  <c r="D1983" i="3"/>
  <c r="B1983" i="3"/>
  <c r="A1983" i="3"/>
  <c r="K1982" i="3"/>
  <c r="I1982" i="3"/>
  <c r="F1982" i="3"/>
  <c r="D1982" i="3"/>
  <c r="B1982" i="3"/>
  <c r="A1982" i="3"/>
  <c r="K1981" i="3"/>
  <c r="I1981" i="3"/>
  <c r="F1981" i="3"/>
  <c r="D1981" i="3"/>
  <c r="B1981" i="3"/>
  <c r="A1981" i="3"/>
  <c r="K1980" i="3"/>
  <c r="I1980" i="3"/>
  <c r="F1980" i="3"/>
  <c r="D1980" i="3"/>
  <c r="B1980" i="3"/>
  <c r="A1980" i="3"/>
  <c r="K1979" i="3"/>
  <c r="I1979" i="3"/>
  <c r="F1979" i="3"/>
  <c r="D1979" i="3"/>
  <c r="B1979" i="3"/>
  <c r="A1979" i="3"/>
  <c r="K1978" i="3"/>
  <c r="I1978" i="3"/>
  <c r="F1978" i="3"/>
  <c r="D1978" i="3"/>
  <c r="B1978" i="3"/>
  <c r="A1978" i="3"/>
  <c r="K1977" i="3"/>
  <c r="I1977" i="3"/>
  <c r="F1977" i="3"/>
  <c r="D1977" i="3"/>
  <c r="B1977" i="3"/>
  <c r="A1977" i="3"/>
  <c r="K1976" i="3"/>
  <c r="I1976" i="3"/>
  <c r="F1976" i="3"/>
  <c r="D1976" i="3"/>
  <c r="B1976" i="3"/>
  <c r="A1976" i="3"/>
  <c r="K1975" i="3"/>
  <c r="I1975" i="3"/>
  <c r="F1975" i="3"/>
  <c r="D1975" i="3"/>
  <c r="B1975" i="3"/>
  <c r="A1975" i="3"/>
  <c r="K1974" i="3"/>
  <c r="I1974" i="3"/>
  <c r="F1974" i="3"/>
  <c r="D1974" i="3"/>
  <c r="B1974" i="3"/>
  <c r="A1974" i="3"/>
  <c r="K1973" i="3"/>
  <c r="I1973" i="3"/>
  <c r="F1973" i="3"/>
  <c r="D1973" i="3"/>
  <c r="B1973" i="3"/>
  <c r="A1973" i="3"/>
  <c r="K1972" i="3"/>
  <c r="I1972" i="3"/>
  <c r="F1972" i="3"/>
  <c r="D1972" i="3"/>
  <c r="B1972" i="3"/>
  <c r="A1972" i="3"/>
  <c r="K1971" i="3"/>
  <c r="I1971" i="3"/>
  <c r="F1971" i="3"/>
  <c r="B1971" i="3"/>
  <c r="A1971" i="3"/>
  <c r="K1970" i="3"/>
  <c r="I1970" i="3"/>
  <c r="F1970" i="3"/>
  <c r="B1970" i="3"/>
  <c r="A1970" i="3"/>
  <c r="K1969" i="3"/>
  <c r="I1969" i="3"/>
  <c r="F1969" i="3"/>
  <c r="D1969" i="3"/>
  <c r="B1969" i="3"/>
  <c r="A1969" i="3"/>
  <c r="K1968" i="3"/>
  <c r="I1968" i="3"/>
  <c r="F1968" i="3"/>
  <c r="D1968" i="3"/>
  <c r="B1968" i="3"/>
  <c r="A1968" i="3"/>
  <c r="K1967" i="3"/>
  <c r="I1967" i="3"/>
  <c r="F1967" i="3"/>
  <c r="D1967" i="3"/>
  <c r="B1967" i="3"/>
  <c r="A1967" i="3"/>
  <c r="K1966" i="3"/>
  <c r="I1966" i="3"/>
  <c r="F1966" i="3"/>
  <c r="D1966" i="3"/>
  <c r="B1966" i="3"/>
  <c r="A1966" i="3"/>
  <c r="K1965" i="3"/>
  <c r="I1965" i="3"/>
  <c r="F1965" i="3"/>
  <c r="D1965" i="3"/>
  <c r="B1965" i="3"/>
  <c r="A1965" i="3"/>
  <c r="K1964" i="3"/>
  <c r="I1964" i="3"/>
  <c r="F1964" i="3"/>
  <c r="D1964" i="3"/>
  <c r="B1964" i="3"/>
  <c r="A1964" i="3"/>
  <c r="K1963" i="3"/>
  <c r="I1963" i="3"/>
  <c r="F1963" i="3"/>
  <c r="D1963" i="3"/>
  <c r="B1963" i="3"/>
  <c r="A1963" i="3"/>
  <c r="K1962" i="3"/>
  <c r="I1962" i="3"/>
  <c r="F1962" i="3"/>
  <c r="D1962" i="3"/>
  <c r="B1962" i="3"/>
  <c r="A1962" i="3"/>
  <c r="K1961" i="3"/>
  <c r="I1961" i="3"/>
  <c r="F1961" i="3"/>
  <c r="D1961" i="3"/>
  <c r="B1961" i="3"/>
  <c r="A1961" i="3"/>
  <c r="K1960" i="3"/>
  <c r="I1960" i="3"/>
  <c r="F1960" i="3"/>
  <c r="B1960" i="3"/>
  <c r="A1960" i="3"/>
  <c r="K1959" i="3"/>
  <c r="I1959" i="3"/>
  <c r="F1959" i="3"/>
  <c r="D1959" i="3"/>
  <c r="B1959" i="3"/>
  <c r="A1959" i="3"/>
  <c r="K1958" i="3"/>
  <c r="I1958" i="3"/>
  <c r="F1958" i="3"/>
  <c r="D1958" i="3"/>
  <c r="B1958" i="3"/>
  <c r="A1958" i="3"/>
  <c r="K1957" i="3"/>
  <c r="I1957" i="3"/>
  <c r="F1957" i="3"/>
  <c r="D1957" i="3"/>
  <c r="B1957" i="3"/>
  <c r="A1957" i="3"/>
  <c r="K1956" i="3"/>
  <c r="I1956" i="3"/>
  <c r="F1956" i="3"/>
  <c r="D1956" i="3"/>
  <c r="B1956" i="3"/>
  <c r="A1956" i="3"/>
  <c r="K1955" i="3"/>
  <c r="I1955" i="3"/>
  <c r="F1955" i="3"/>
  <c r="D1955" i="3"/>
  <c r="B1955" i="3"/>
  <c r="A1955" i="3"/>
  <c r="K1954" i="3"/>
  <c r="I1954" i="3"/>
  <c r="F1954" i="3"/>
  <c r="B1954" i="3"/>
  <c r="A1954" i="3"/>
  <c r="K1953" i="3"/>
  <c r="I1953" i="3"/>
  <c r="F1953" i="3"/>
  <c r="E1953" i="3"/>
  <c r="B1953" i="3"/>
  <c r="A1953" i="3"/>
  <c r="K1952" i="3"/>
  <c r="I1952" i="3"/>
  <c r="F1952" i="3"/>
  <c r="D1952" i="3"/>
  <c r="B1952" i="3"/>
  <c r="A1952" i="3"/>
  <c r="K1951" i="3"/>
  <c r="I1951" i="3"/>
  <c r="F1951" i="3"/>
  <c r="D1951" i="3"/>
  <c r="B1951" i="3"/>
  <c r="A1951" i="3"/>
  <c r="K1950" i="3"/>
  <c r="I1950" i="3"/>
  <c r="F1950" i="3"/>
  <c r="D1950" i="3"/>
  <c r="B1950" i="3"/>
  <c r="A1950" i="3"/>
  <c r="K1949" i="3"/>
  <c r="I1949" i="3"/>
  <c r="F1949" i="3"/>
  <c r="D1949" i="3"/>
  <c r="B1949" i="3"/>
  <c r="A1949" i="3"/>
  <c r="K1948" i="3"/>
  <c r="I1948" i="3"/>
  <c r="F1948" i="3"/>
  <c r="B1948" i="3"/>
  <c r="A1948" i="3"/>
  <c r="K1947" i="3"/>
  <c r="I1947" i="3"/>
  <c r="F1947" i="3"/>
  <c r="D1947" i="3"/>
  <c r="B1947" i="3"/>
  <c r="A1947" i="3"/>
  <c r="K1946" i="3"/>
  <c r="I1946" i="3"/>
  <c r="F1946" i="3"/>
  <c r="D1946" i="3"/>
  <c r="B1946" i="3"/>
  <c r="A1946" i="3"/>
  <c r="K1945" i="3"/>
  <c r="I1945" i="3"/>
  <c r="F1945" i="3"/>
  <c r="B1945" i="3"/>
  <c r="A1945" i="3"/>
  <c r="K1944" i="3"/>
  <c r="I1944" i="3"/>
  <c r="F1944" i="3"/>
  <c r="D1944" i="3"/>
  <c r="B1944" i="3"/>
  <c r="A1944" i="3"/>
  <c r="K1943" i="3"/>
  <c r="I1943" i="3"/>
  <c r="F1943" i="3"/>
  <c r="D1943" i="3"/>
  <c r="B1943" i="3"/>
  <c r="A1943" i="3"/>
  <c r="K1942" i="3"/>
  <c r="I1942" i="3"/>
  <c r="F1942" i="3"/>
  <c r="E1942" i="3"/>
  <c r="B1942" i="3"/>
  <c r="A1942" i="3"/>
  <c r="K1941" i="3"/>
  <c r="I1941" i="3"/>
  <c r="F1941" i="3"/>
  <c r="E1941" i="3"/>
  <c r="B1941" i="3"/>
  <c r="A1941" i="3"/>
  <c r="K1940" i="3"/>
  <c r="I1940" i="3"/>
  <c r="F1940" i="3"/>
  <c r="E1940" i="3"/>
  <c r="D1940" i="3"/>
  <c r="B1940" i="3"/>
  <c r="A1940" i="3"/>
  <c r="K1939" i="3"/>
  <c r="I1939" i="3"/>
  <c r="F1939" i="3"/>
  <c r="E1939" i="3"/>
  <c r="B1939" i="3"/>
  <c r="A1939" i="3"/>
  <c r="K1938" i="3"/>
  <c r="I1938" i="3"/>
  <c r="F1938" i="3"/>
  <c r="E1938" i="3"/>
  <c r="D1938" i="3"/>
  <c r="B1938" i="3"/>
  <c r="A1938" i="3"/>
  <c r="K1937" i="3"/>
  <c r="I1937" i="3"/>
  <c r="F1937" i="3"/>
  <c r="D1937" i="3"/>
  <c r="B1937" i="3"/>
  <c r="A1937" i="3"/>
  <c r="K1936" i="3"/>
  <c r="I1936" i="3"/>
  <c r="F1936" i="3"/>
  <c r="D1936" i="3"/>
  <c r="B1936" i="3"/>
  <c r="A1936" i="3"/>
  <c r="K1935" i="3"/>
  <c r="I1935" i="3"/>
  <c r="F1935" i="3"/>
  <c r="D1935" i="3"/>
  <c r="B1935" i="3"/>
  <c r="A1935" i="3"/>
  <c r="K1934" i="3"/>
  <c r="I1934" i="3"/>
  <c r="F1934" i="3"/>
  <c r="D1934" i="3"/>
  <c r="B1934" i="3"/>
  <c r="A1934" i="3"/>
  <c r="K1933" i="3"/>
  <c r="I1933" i="3"/>
  <c r="F1933" i="3"/>
  <c r="D1933" i="3"/>
  <c r="B1933" i="3"/>
  <c r="A1933" i="3"/>
  <c r="K1932" i="3"/>
  <c r="I1932" i="3"/>
  <c r="F1932" i="3"/>
  <c r="D1932" i="3"/>
  <c r="B1932" i="3"/>
  <c r="A1932" i="3"/>
  <c r="K1931" i="3"/>
  <c r="I1931" i="3"/>
  <c r="F1931" i="3"/>
  <c r="D1931" i="3"/>
  <c r="B1931" i="3"/>
  <c r="A1931" i="3"/>
  <c r="K1930" i="3"/>
  <c r="I1930" i="3"/>
  <c r="F1930" i="3"/>
  <c r="D1930" i="3"/>
  <c r="B1930" i="3"/>
  <c r="A1930" i="3"/>
  <c r="K1929" i="3"/>
  <c r="I1929" i="3"/>
  <c r="F1929" i="3"/>
  <c r="D1929" i="3"/>
  <c r="B1929" i="3"/>
  <c r="A1929" i="3"/>
  <c r="K1928" i="3"/>
  <c r="I1928" i="3"/>
  <c r="F1928" i="3"/>
  <c r="D1928" i="3"/>
  <c r="B1928" i="3"/>
  <c r="A1928" i="3"/>
  <c r="K1927" i="3"/>
  <c r="I1927" i="3"/>
  <c r="F1927" i="3"/>
  <c r="D1927" i="3"/>
  <c r="B1927" i="3"/>
  <c r="A1927" i="3"/>
  <c r="K1926" i="3"/>
  <c r="I1926" i="3"/>
  <c r="F1926" i="3"/>
  <c r="D1926" i="3"/>
  <c r="B1926" i="3"/>
  <c r="A1926" i="3"/>
  <c r="K1925" i="3"/>
  <c r="I1925" i="3"/>
  <c r="F1925" i="3"/>
  <c r="D1925" i="3"/>
  <c r="B1925" i="3"/>
  <c r="A1925" i="3"/>
  <c r="K1924" i="3"/>
  <c r="I1924" i="3"/>
  <c r="F1924" i="3"/>
  <c r="B1924" i="3"/>
  <c r="A1924" i="3"/>
  <c r="K1923" i="3"/>
  <c r="I1923" i="3"/>
  <c r="F1923" i="3"/>
  <c r="D1923" i="3"/>
  <c r="B1923" i="3"/>
  <c r="A1923" i="3"/>
  <c r="K1922" i="3"/>
  <c r="I1922" i="3"/>
  <c r="F1922" i="3"/>
  <c r="D1922" i="3"/>
  <c r="B1922" i="3"/>
  <c r="A1922" i="3"/>
  <c r="K1921" i="3"/>
  <c r="I1921" i="3"/>
  <c r="F1921" i="3"/>
  <c r="D1921" i="3"/>
  <c r="B1921" i="3"/>
  <c r="A1921" i="3"/>
  <c r="K1920" i="3"/>
  <c r="I1920" i="3"/>
  <c r="F1920" i="3"/>
  <c r="D1920" i="3"/>
  <c r="B1920" i="3"/>
  <c r="A1920" i="3"/>
  <c r="K1919" i="3"/>
  <c r="I1919" i="3"/>
  <c r="F1919" i="3"/>
  <c r="D1919" i="3"/>
  <c r="B1919" i="3"/>
  <c r="A1919" i="3"/>
  <c r="K1918" i="3"/>
  <c r="I1918" i="3"/>
  <c r="F1918" i="3"/>
  <c r="D1918" i="3"/>
  <c r="B1918" i="3"/>
  <c r="A1918" i="3"/>
  <c r="K1917" i="3"/>
  <c r="I1917" i="3"/>
  <c r="F1917" i="3"/>
  <c r="D1917" i="3"/>
  <c r="B1917" i="3"/>
  <c r="A1917" i="3"/>
  <c r="K1916" i="3"/>
  <c r="I1916" i="3"/>
  <c r="F1916" i="3"/>
  <c r="D1916" i="3"/>
  <c r="B1916" i="3"/>
  <c r="A1916" i="3"/>
  <c r="K1915" i="3"/>
  <c r="I1915" i="3"/>
  <c r="F1915" i="3"/>
  <c r="D1915" i="3"/>
  <c r="B1915" i="3"/>
  <c r="A1915" i="3"/>
  <c r="K1914" i="3"/>
  <c r="I1914" i="3"/>
  <c r="F1914" i="3"/>
  <c r="D1914" i="3"/>
  <c r="B1914" i="3"/>
  <c r="A1914" i="3"/>
  <c r="K1913" i="3"/>
  <c r="I1913" i="3"/>
  <c r="D1913" i="3"/>
  <c r="B1913" i="3"/>
  <c r="A1913" i="3"/>
  <c r="K1912" i="3"/>
  <c r="I1912" i="3"/>
  <c r="F1912" i="3"/>
  <c r="D1912" i="3"/>
  <c r="B1912" i="3"/>
  <c r="A1912" i="3"/>
  <c r="K1911" i="3"/>
  <c r="I1911" i="3"/>
  <c r="F1911" i="3"/>
  <c r="D1911" i="3"/>
  <c r="B1911" i="3"/>
  <c r="A1911" i="3"/>
  <c r="K1910" i="3"/>
  <c r="I1910" i="3"/>
  <c r="F1910" i="3"/>
  <c r="D1910" i="3"/>
  <c r="B1910" i="3"/>
  <c r="A1910" i="3"/>
  <c r="K1909" i="3"/>
  <c r="I1909" i="3"/>
  <c r="F1909" i="3"/>
  <c r="D1909" i="3"/>
  <c r="B1909" i="3"/>
  <c r="A1909" i="3"/>
  <c r="K1908" i="3"/>
  <c r="I1908" i="3"/>
  <c r="F1908" i="3"/>
  <c r="D1908" i="3"/>
  <c r="B1908" i="3"/>
  <c r="A1908" i="3"/>
  <c r="K1907" i="3"/>
  <c r="I1907" i="3"/>
  <c r="F1907" i="3"/>
  <c r="D1907" i="3"/>
  <c r="B1907" i="3"/>
  <c r="A1907" i="3"/>
  <c r="K1906" i="3"/>
  <c r="I1906" i="3"/>
  <c r="F1906" i="3"/>
  <c r="D1906" i="3"/>
  <c r="B1906" i="3"/>
  <c r="A1906" i="3"/>
  <c r="K1905" i="3"/>
  <c r="I1905" i="3"/>
  <c r="F1905" i="3"/>
  <c r="D1905" i="3"/>
  <c r="B1905" i="3"/>
  <c r="A1905" i="3"/>
  <c r="K1904" i="3"/>
  <c r="I1904" i="3"/>
  <c r="F1904" i="3"/>
  <c r="D1904" i="3"/>
  <c r="B1904" i="3"/>
  <c r="A1904" i="3"/>
  <c r="K1903" i="3"/>
  <c r="I1903" i="3"/>
  <c r="F1903" i="3"/>
  <c r="D1903" i="3"/>
  <c r="B1903" i="3"/>
  <c r="A1903" i="3"/>
  <c r="K1902" i="3"/>
  <c r="I1902" i="3"/>
  <c r="F1902" i="3"/>
  <c r="D1902" i="3"/>
  <c r="B1902" i="3"/>
  <c r="A1902" i="3"/>
  <c r="K1901" i="3"/>
  <c r="I1901" i="3"/>
  <c r="F1901" i="3"/>
  <c r="B1901" i="3"/>
  <c r="A1901" i="3"/>
  <c r="K1900" i="3"/>
  <c r="I1900" i="3"/>
  <c r="F1900" i="3"/>
  <c r="D1900" i="3"/>
  <c r="B1900" i="3"/>
  <c r="A1900" i="3"/>
  <c r="K1899" i="3"/>
  <c r="I1899" i="3"/>
  <c r="F1899" i="3"/>
  <c r="D1899" i="3"/>
  <c r="B1899" i="3"/>
  <c r="A1899" i="3"/>
  <c r="K1898" i="3"/>
  <c r="I1898" i="3"/>
  <c r="F1898" i="3"/>
  <c r="D1898" i="3"/>
  <c r="B1898" i="3"/>
  <c r="A1898" i="3"/>
  <c r="K1897" i="3"/>
  <c r="I1897" i="3"/>
  <c r="F1897" i="3"/>
  <c r="D1897" i="3"/>
  <c r="B1897" i="3"/>
  <c r="A1897" i="3"/>
  <c r="K1896" i="3"/>
  <c r="I1896" i="3"/>
  <c r="F1896" i="3"/>
  <c r="D1896" i="3"/>
  <c r="B1896" i="3"/>
  <c r="A1896" i="3"/>
  <c r="K1895" i="3"/>
  <c r="I1895" i="3"/>
  <c r="F1895" i="3"/>
  <c r="D1895" i="3"/>
  <c r="B1895" i="3"/>
  <c r="A1895" i="3"/>
  <c r="K1894" i="3"/>
  <c r="I1894" i="3"/>
  <c r="F1894" i="3"/>
  <c r="D1894" i="3"/>
  <c r="B1894" i="3"/>
  <c r="A1894" i="3"/>
  <c r="K1893" i="3"/>
  <c r="I1893" i="3"/>
  <c r="F1893" i="3"/>
  <c r="D1893" i="3"/>
  <c r="B1893" i="3"/>
  <c r="A1893" i="3"/>
  <c r="K1892" i="3"/>
  <c r="I1892" i="3"/>
  <c r="F1892" i="3"/>
  <c r="D1892" i="3"/>
  <c r="B1892" i="3"/>
  <c r="A1892" i="3"/>
  <c r="K1891" i="3"/>
  <c r="I1891" i="3"/>
  <c r="F1891" i="3"/>
  <c r="D1891" i="3"/>
  <c r="B1891" i="3"/>
  <c r="A1891" i="3"/>
  <c r="K1890" i="3"/>
  <c r="I1890" i="3"/>
  <c r="F1890" i="3"/>
  <c r="D1890" i="3"/>
  <c r="B1890" i="3"/>
  <c r="A1890" i="3"/>
  <c r="K1889" i="3"/>
  <c r="I1889" i="3"/>
  <c r="F1889" i="3"/>
  <c r="D1889" i="3"/>
  <c r="B1889" i="3"/>
  <c r="A1889" i="3"/>
  <c r="K1888" i="3"/>
  <c r="I1888" i="3"/>
  <c r="F1888" i="3"/>
  <c r="D1888" i="3"/>
  <c r="B1888" i="3"/>
  <c r="A1888" i="3"/>
  <c r="K1887" i="3"/>
  <c r="I1887" i="3"/>
  <c r="F1887" i="3"/>
  <c r="D1887" i="3"/>
  <c r="B1887" i="3"/>
  <c r="A1887" i="3"/>
  <c r="K1886" i="3"/>
  <c r="I1886" i="3"/>
  <c r="F1886" i="3"/>
  <c r="D1886" i="3"/>
  <c r="B1886" i="3"/>
  <c r="A1886" i="3"/>
  <c r="K1885" i="3"/>
  <c r="I1885" i="3"/>
  <c r="F1885" i="3"/>
  <c r="D1885" i="3"/>
  <c r="B1885" i="3"/>
  <c r="A1885" i="3"/>
  <c r="K1884" i="3"/>
  <c r="I1884" i="3"/>
  <c r="F1884" i="3"/>
  <c r="D1884" i="3"/>
  <c r="B1884" i="3"/>
  <c r="A1884" i="3"/>
  <c r="K1883" i="3"/>
  <c r="I1883" i="3"/>
  <c r="F1883" i="3"/>
  <c r="D1883" i="3"/>
  <c r="B1883" i="3"/>
  <c r="A1883" i="3"/>
  <c r="K1882" i="3"/>
  <c r="I1882" i="3"/>
  <c r="F1882" i="3"/>
  <c r="D1882" i="3"/>
  <c r="B1882" i="3"/>
  <c r="A1882" i="3"/>
  <c r="K1881" i="3"/>
  <c r="I1881" i="3"/>
  <c r="F1881" i="3"/>
  <c r="D1881" i="3"/>
  <c r="B1881" i="3"/>
  <c r="A1881" i="3"/>
  <c r="K1880" i="3"/>
  <c r="I1880" i="3"/>
  <c r="F1880" i="3"/>
  <c r="D1880" i="3"/>
  <c r="B1880" i="3"/>
  <c r="A1880" i="3"/>
  <c r="K1879" i="3"/>
  <c r="I1879" i="3"/>
  <c r="F1879" i="3"/>
  <c r="D1879" i="3"/>
  <c r="B1879" i="3"/>
  <c r="A1879" i="3"/>
  <c r="K1878" i="3"/>
  <c r="I1878" i="3"/>
  <c r="F1878" i="3"/>
  <c r="D1878" i="3"/>
  <c r="B1878" i="3"/>
  <c r="A1878" i="3"/>
  <c r="K1877" i="3"/>
  <c r="I1877" i="3"/>
  <c r="F1877" i="3"/>
  <c r="D1877" i="3"/>
  <c r="B1877" i="3"/>
  <c r="A1877" i="3"/>
  <c r="K1876" i="3"/>
  <c r="I1876" i="3"/>
  <c r="F1876" i="3"/>
  <c r="D1876" i="3"/>
  <c r="B1876" i="3"/>
  <c r="A1876" i="3"/>
  <c r="K1875" i="3"/>
  <c r="I1875" i="3"/>
  <c r="F1875" i="3"/>
  <c r="D1875" i="3"/>
  <c r="B1875" i="3"/>
  <c r="A1875" i="3"/>
  <c r="K1874" i="3"/>
  <c r="I1874" i="3"/>
  <c r="F1874" i="3"/>
  <c r="D1874" i="3"/>
  <c r="B1874" i="3"/>
  <c r="A1874" i="3"/>
  <c r="K1873" i="3"/>
  <c r="I1873" i="3"/>
  <c r="F1873" i="3"/>
  <c r="D1873" i="3"/>
  <c r="B1873" i="3"/>
  <c r="A1873" i="3"/>
  <c r="K1872" i="3"/>
  <c r="I1872" i="3"/>
  <c r="F1872" i="3"/>
  <c r="D1872" i="3"/>
  <c r="B1872" i="3"/>
  <c r="A1872" i="3"/>
  <c r="K1871" i="3"/>
  <c r="I1871" i="3"/>
  <c r="F1871" i="3"/>
  <c r="D1871" i="3"/>
  <c r="B1871" i="3"/>
  <c r="A1871" i="3"/>
  <c r="K1870" i="3"/>
  <c r="I1870" i="3"/>
  <c r="F1870" i="3"/>
  <c r="D1870" i="3"/>
  <c r="B1870" i="3"/>
  <c r="A1870" i="3"/>
  <c r="K1869" i="3"/>
  <c r="I1869" i="3"/>
  <c r="F1869" i="3"/>
  <c r="D1869" i="3"/>
  <c r="B1869" i="3"/>
  <c r="A1869" i="3"/>
  <c r="K1868" i="3"/>
  <c r="I1868" i="3"/>
  <c r="F1868" i="3"/>
  <c r="D1868" i="3"/>
  <c r="B1868" i="3"/>
  <c r="A1868" i="3"/>
  <c r="K1867" i="3"/>
  <c r="I1867" i="3"/>
  <c r="F1867" i="3"/>
  <c r="D1867" i="3"/>
  <c r="B1867" i="3"/>
  <c r="A1867" i="3"/>
  <c r="K1866" i="3"/>
  <c r="I1866" i="3"/>
  <c r="F1866" i="3"/>
  <c r="D1866" i="3"/>
  <c r="B1866" i="3"/>
  <c r="A1866" i="3"/>
  <c r="K1865" i="3"/>
  <c r="I1865" i="3"/>
  <c r="D1865" i="3"/>
  <c r="B1865" i="3"/>
  <c r="A1865" i="3"/>
  <c r="K1864" i="3"/>
  <c r="I1864" i="3"/>
  <c r="D1864" i="3"/>
  <c r="B1864" i="3"/>
  <c r="A1864" i="3"/>
  <c r="K1863" i="3"/>
  <c r="I1863" i="3"/>
  <c r="F1863" i="3"/>
  <c r="B1863" i="3"/>
  <c r="A1863" i="3"/>
  <c r="K1862" i="3"/>
  <c r="I1862" i="3"/>
  <c r="F1862" i="3"/>
  <c r="B1862" i="3"/>
  <c r="A1862" i="3"/>
  <c r="K1861" i="3"/>
  <c r="I1861" i="3"/>
  <c r="F1861" i="3"/>
  <c r="B1861" i="3"/>
  <c r="A1861" i="3"/>
  <c r="K1860" i="3"/>
  <c r="I1860" i="3"/>
  <c r="F1860" i="3"/>
  <c r="B1860" i="3"/>
  <c r="A1860" i="3"/>
  <c r="K1859" i="3"/>
  <c r="I1859" i="3"/>
  <c r="F1859" i="3"/>
  <c r="B1859" i="3"/>
  <c r="A1859" i="3"/>
  <c r="K1858" i="3"/>
  <c r="I1858" i="3"/>
  <c r="F1858" i="3"/>
  <c r="B1858" i="3"/>
  <c r="A1858" i="3"/>
  <c r="K1857" i="3"/>
  <c r="I1857" i="3"/>
  <c r="F1857" i="3"/>
  <c r="D1857" i="3"/>
  <c r="B1857" i="3"/>
  <c r="A1857" i="3"/>
  <c r="K1856" i="3"/>
  <c r="I1856" i="3"/>
  <c r="F1856" i="3"/>
  <c r="D1856" i="3"/>
  <c r="B1856" i="3"/>
  <c r="A1856" i="3"/>
  <c r="K1855" i="3"/>
  <c r="I1855" i="3"/>
  <c r="F1855" i="3"/>
  <c r="B1855" i="3"/>
  <c r="A1855" i="3"/>
  <c r="K1854" i="3"/>
  <c r="I1854" i="3"/>
  <c r="F1854" i="3"/>
  <c r="B1854" i="3"/>
  <c r="A1854" i="3"/>
  <c r="K1853" i="3"/>
  <c r="I1853" i="3"/>
  <c r="F1853" i="3"/>
  <c r="B1853" i="3"/>
  <c r="A1853" i="3"/>
  <c r="K1852" i="3"/>
  <c r="I1852" i="3"/>
  <c r="F1852" i="3"/>
  <c r="B1852" i="3"/>
  <c r="A1852" i="3"/>
  <c r="K1851" i="3"/>
  <c r="I1851" i="3"/>
  <c r="F1851" i="3"/>
  <c r="B1851" i="3"/>
  <c r="A1851" i="3"/>
  <c r="K1850" i="3"/>
  <c r="I1850" i="3"/>
  <c r="F1850" i="3"/>
  <c r="B1850" i="3"/>
  <c r="A1850" i="3"/>
  <c r="K1849" i="3"/>
  <c r="I1849" i="3"/>
  <c r="F1849" i="3"/>
  <c r="B1849" i="3"/>
  <c r="A1849" i="3"/>
  <c r="K1848" i="3"/>
  <c r="I1848" i="3"/>
  <c r="F1848" i="3"/>
  <c r="B1848" i="3"/>
  <c r="A1848" i="3"/>
  <c r="K1847" i="3"/>
  <c r="I1847" i="3"/>
  <c r="F1847" i="3"/>
  <c r="B1847" i="3"/>
  <c r="A1847" i="3"/>
  <c r="K1846" i="3"/>
  <c r="I1846" i="3"/>
  <c r="F1846" i="3"/>
  <c r="B1846" i="3"/>
  <c r="A1846" i="3"/>
  <c r="K1845" i="3"/>
  <c r="I1845" i="3"/>
  <c r="F1845" i="3"/>
  <c r="B1845" i="3"/>
  <c r="A1845" i="3"/>
  <c r="K1844" i="3"/>
  <c r="I1844" i="3"/>
  <c r="F1844" i="3"/>
  <c r="D1844" i="3"/>
  <c r="B1844" i="3"/>
  <c r="A1844" i="3"/>
  <c r="K1843" i="3"/>
  <c r="I1843" i="3"/>
  <c r="F1843" i="3"/>
  <c r="D1843" i="3"/>
  <c r="B1843" i="3"/>
  <c r="A1843" i="3"/>
  <c r="K1842" i="3"/>
  <c r="I1842" i="3"/>
  <c r="F1842" i="3"/>
  <c r="B1842" i="3"/>
  <c r="A1842" i="3"/>
  <c r="K1841" i="3"/>
  <c r="I1841" i="3"/>
  <c r="F1841" i="3"/>
  <c r="B1841" i="3"/>
  <c r="A1841" i="3"/>
  <c r="K1840" i="3"/>
  <c r="I1840" i="3"/>
  <c r="F1840" i="3"/>
  <c r="D1840" i="3"/>
  <c r="B1840" i="3"/>
  <c r="A1840" i="3"/>
  <c r="K1839" i="3"/>
  <c r="I1839" i="3"/>
  <c r="F1839" i="3"/>
  <c r="B1839" i="3"/>
  <c r="A1839" i="3"/>
  <c r="K1838" i="3"/>
  <c r="I1838" i="3"/>
  <c r="F1838" i="3"/>
  <c r="B1838" i="3"/>
  <c r="A1838" i="3"/>
  <c r="K1837" i="3"/>
  <c r="I1837" i="3"/>
  <c r="F1837" i="3"/>
  <c r="B1837" i="3"/>
  <c r="A1837" i="3"/>
  <c r="K1836" i="3"/>
  <c r="I1836" i="3"/>
  <c r="F1836" i="3"/>
  <c r="B1836" i="3"/>
  <c r="A1836" i="3"/>
  <c r="K1835" i="3"/>
  <c r="I1835" i="3"/>
  <c r="F1835" i="3"/>
  <c r="B1835" i="3"/>
  <c r="A1835" i="3"/>
  <c r="K1834" i="3"/>
  <c r="I1834" i="3"/>
  <c r="F1834" i="3"/>
  <c r="B1834" i="3"/>
  <c r="A1834" i="3"/>
  <c r="K1833" i="3"/>
  <c r="I1833" i="3"/>
  <c r="F1833" i="3"/>
  <c r="B1833" i="3"/>
  <c r="A1833" i="3"/>
  <c r="K1832" i="3"/>
  <c r="I1832" i="3"/>
  <c r="F1832" i="3"/>
  <c r="B1832" i="3"/>
  <c r="A1832" i="3"/>
  <c r="K1831" i="3"/>
  <c r="I1831" i="3"/>
  <c r="D1831" i="3"/>
  <c r="B1831" i="3"/>
  <c r="A1831" i="3"/>
  <c r="K1830" i="3"/>
  <c r="I1830" i="3"/>
  <c r="F1830" i="3"/>
  <c r="D1830" i="3"/>
  <c r="B1830" i="3"/>
  <c r="A1830" i="3"/>
  <c r="K1829" i="3"/>
  <c r="I1829" i="3"/>
  <c r="F1829" i="3"/>
  <c r="D1829" i="3"/>
  <c r="B1829" i="3"/>
  <c r="A1829" i="3"/>
  <c r="K1828" i="3"/>
  <c r="I1828" i="3"/>
  <c r="F1828" i="3"/>
  <c r="D1828" i="3"/>
  <c r="B1828" i="3"/>
  <c r="A1828" i="3"/>
  <c r="K1827" i="3"/>
  <c r="I1827" i="3"/>
  <c r="F1827" i="3"/>
  <c r="D1827" i="3"/>
  <c r="B1827" i="3"/>
  <c r="A1827" i="3"/>
  <c r="K1826" i="3"/>
  <c r="I1826" i="3"/>
  <c r="F1826" i="3"/>
  <c r="B1826" i="3"/>
  <c r="A1826" i="3"/>
  <c r="K1825" i="3"/>
  <c r="I1825" i="3"/>
  <c r="F1825" i="3"/>
  <c r="B1825" i="3"/>
  <c r="A1825" i="3"/>
  <c r="K1824" i="3"/>
  <c r="I1824" i="3"/>
  <c r="F1824" i="3"/>
  <c r="D1824" i="3"/>
  <c r="B1824" i="3"/>
  <c r="A1824" i="3"/>
  <c r="K1823" i="3"/>
  <c r="I1823" i="3"/>
  <c r="F1823" i="3"/>
  <c r="D1823" i="3"/>
  <c r="B1823" i="3"/>
  <c r="A1823" i="3"/>
  <c r="K1822" i="3"/>
  <c r="I1822" i="3"/>
  <c r="F1822" i="3"/>
  <c r="D1822" i="3"/>
  <c r="B1822" i="3"/>
  <c r="A1822" i="3"/>
  <c r="K1821" i="3"/>
  <c r="I1821" i="3"/>
  <c r="F1821" i="3"/>
  <c r="D1821" i="3"/>
  <c r="B1821" i="3"/>
  <c r="A1821" i="3"/>
  <c r="K1820" i="3"/>
  <c r="I1820" i="3"/>
  <c r="F1820" i="3"/>
  <c r="D1820" i="3"/>
  <c r="B1820" i="3"/>
  <c r="A1820" i="3"/>
  <c r="K1819" i="3"/>
  <c r="I1819" i="3"/>
  <c r="F1819" i="3"/>
  <c r="D1819" i="3"/>
  <c r="B1819" i="3"/>
  <c r="A1819" i="3"/>
  <c r="K1818" i="3"/>
  <c r="I1818" i="3"/>
  <c r="F1818" i="3"/>
  <c r="D1818" i="3"/>
  <c r="B1818" i="3"/>
  <c r="A1818" i="3"/>
  <c r="K1817" i="3"/>
  <c r="I1817" i="3"/>
  <c r="F1817" i="3"/>
  <c r="D1817" i="3"/>
  <c r="B1817" i="3"/>
  <c r="A1817" i="3"/>
  <c r="K1816" i="3"/>
  <c r="I1816" i="3"/>
  <c r="F1816" i="3"/>
  <c r="D1816" i="3"/>
  <c r="B1816" i="3"/>
  <c r="A1816" i="3"/>
  <c r="K1815" i="3"/>
  <c r="I1815" i="3"/>
  <c r="F1815" i="3"/>
  <c r="D1815" i="3"/>
  <c r="B1815" i="3"/>
  <c r="A1815" i="3"/>
  <c r="K1814" i="3"/>
  <c r="I1814" i="3"/>
  <c r="F1814" i="3"/>
  <c r="D1814" i="3"/>
  <c r="B1814" i="3"/>
  <c r="A1814" i="3"/>
  <c r="K1813" i="3"/>
  <c r="I1813" i="3"/>
  <c r="F1813" i="3"/>
  <c r="D1813" i="3"/>
  <c r="B1813" i="3"/>
  <c r="A1813" i="3"/>
  <c r="K1812" i="3"/>
  <c r="I1812" i="3"/>
  <c r="F1812" i="3"/>
  <c r="D1812" i="3"/>
  <c r="B1812" i="3"/>
  <c r="A1812" i="3"/>
  <c r="K1811" i="3"/>
  <c r="I1811" i="3"/>
  <c r="F1811" i="3"/>
  <c r="D1811" i="3"/>
  <c r="B1811" i="3"/>
  <c r="A1811" i="3"/>
  <c r="K1810" i="3"/>
  <c r="I1810" i="3"/>
  <c r="F1810" i="3"/>
  <c r="E1810" i="3"/>
  <c r="D1810" i="3"/>
  <c r="B1810" i="3"/>
  <c r="A1810" i="3"/>
  <c r="K1809" i="3"/>
  <c r="I1809" i="3"/>
  <c r="F1809" i="3"/>
  <c r="D1809" i="3"/>
  <c r="B1809" i="3"/>
  <c r="A1809" i="3"/>
  <c r="K1808" i="3"/>
  <c r="I1808" i="3"/>
  <c r="F1808" i="3"/>
  <c r="D1808" i="3"/>
  <c r="B1808" i="3"/>
  <c r="A1808" i="3"/>
  <c r="K1807" i="3"/>
  <c r="I1807" i="3"/>
  <c r="F1807" i="3"/>
  <c r="D1807" i="3"/>
  <c r="B1807" i="3"/>
  <c r="A1807" i="3"/>
  <c r="K1806" i="3"/>
  <c r="I1806" i="3"/>
  <c r="F1806" i="3"/>
  <c r="D1806" i="3"/>
  <c r="B1806" i="3"/>
  <c r="A1806" i="3"/>
  <c r="K1805" i="3"/>
  <c r="I1805" i="3"/>
  <c r="F1805" i="3"/>
  <c r="D1805" i="3"/>
  <c r="B1805" i="3"/>
  <c r="A1805" i="3"/>
  <c r="K1804" i="3"/>
  <c r="I1804" i="3"/>
  <c r="F1804" i="3"/>
  <c r="D1804" i="3"/>
  <c r="B1804" i="3"/>
  <c r="A1804" i="3"/>
  <c r="K1803" i="3"/>
  <c r="I1803" i="3"/>
  <c r="F1803" i="3"/>
  <c r="D1803" i="3"/>
  <c r="B1803" i="3"/>
  <c r="A1803" i="3"/>
  <c r="K1802" i="3"/>
  <c r="I1802" i="3"/>
  <c r="F1802" i="3"/>
  <c r="D1802" i="3"/>
  <c r="B1802" i="3"/>
  <c r="A1802" i="3"/>
  <c r="K1801" i="3"/>
  <c r="I1801" i="3"/>
  <c r="D1801" i="3"/>
  <c r="B1801" i="3"/>
  <c r="A1801" i="3"/>
  <c r="K1800" i="3"/>
  <c r="I1800" i="3"/>
  <c r="F1800" i="3"/>
  <c r="D1800" i="3"/>
  <c r="B1800" i="3"/>
  <c r="A1800" i="3"/>
  <c r="K1799" i="3"/>
  <c r="I1799" i="3"/>
  <c r="F1799" i="3"/>
  <c r="D1799" i="3"/>
  <c r="B1799" i="3"/>
  <c r="A1799" i="3"/>
  <c r="K1798" i="3"/>
  <c r="I1798" i="3"/>
  <c r="F1798" i="3"/>
  <c r="D1798" i="3"/>
  <c r="B1798" i="3"/>
  <c r="A1798" i="3"/>
  <c r="K1797" i="3"/>
  <c r="I1797" i="3"/>
  <c r="F1797" i="3"/>
  <c r="D1797" i="3"/>
  <c r="B1797" i="3"/>
  <c r="A1797" i="3"/>
  <c r="K1796" i="3"/>
  <c r="I1796" i="3"/>
  <c r="F1796" i="3"/>
  <c r="D1796" i="3"/>
  <c r="B1796" i="3"/>
  <c r="A1796" i="3"/>
  <c r="K1795" i="3"/>
  <c r="I1795" i="3"/>
  <c r="F1795" i="3"/>
  <c r="D1795" i="3"/>
  <c r="B1795" i="3"/>
  <c r="A1795" i="3"/>
  <c r="K1794" i="3"/>
  <c r="I1794" i="3"/>
  <c r="F1794" i="3"/>
  <c r="D1794" i="3"/>
  <c r="B1794" i="3"/>
  <c r="A1794" i="3"/>
  <c r="K1793" i="3"/>
  <c r="I1793" i="3"/>
  <c r="F1793" i="3"/>
  <c r="D1793" i="3"/>
  <c r="B1793" i="3"/>
  <c r="A1793" i="3"/>
  <c r="K1792" i="3"/>
  <c r="I1792" i="3"/>
  <c r="F1792" i="3"/>
  <c r="D1792" i="3"/>
  <c r="B1792" i="3"/>
  <c r="A1792" i="3"/>
  <c r="K1791" i="3"/>
  <c r="I1791" i="3"/>
  <c r="F1791" i="3"/>
  <c r="D1791" i="3"/>
  <c r="B1791" i="3"/>
  <c r="A1791" i="3"/>
  <c r="K1790" i="3"/>
  <c r="I1790" i="3"/>
  <c r="F1790" i="3"/>
  <c r="D1790" i="3"/>
  <c r="B1790" i="3"/>
  <c r="A1790" i="3"/>
  <c r="K1789" i="3"/>
  <c r="I1789" i="3"/>
  <c r="F1789" i="3"/>
  <c r="D1789" i="3"/>
  <c r="B1789" i="3"/>
  <c r="A1789" i="3"/>
  <c r="K1788" i="3"/>
  <c r="I1788" i="3"/>
  <c r="F1788" i="3"/>
  <c r="D1788" i="3"/>
  <c r="B1788" i="3"/>
  <c r="A1788" i="3"/>
  <c r="K1787" i="3"/>
  <c r="I1787" i="3"/>
  <c r="F1787" i="3"/>
  <c r="D1787" i="3"/>
  <c r="B1787" i="3"/>
  <c r="A1787" i="3"/>
  <c r="K1786" i="3"/>
  <c r="I1786" i="3"/>
  <c r="F1786" i="3"/>
  <c r="D1786" i="3"/>
  <c r="B1786" i="3"/>
  <c r="A1786" i="3"/>
  <c r="K1785" i="3"/>
  <c r="I1785" i="3"/>
  <c r="F1785" i="3"/>
  <c r="D1785" i="3"/>
  <c r="B1785" i="3"/>
  <c r="A1785" i="3"/>
  <c r="K1784" i="3"/>
  <c r="I1784" i="3"/>
  <c r="F1784" i="3"/>
  <c r="D1784" i="3"/>
  <c r="B1784" i="3"/>
  <c r="A1784" i="3"/>
  <c r="K1783" i="3"/>
  <c r="I1783" i="3"/>
  <c r="F1783" i="3"/>
  <c r="D1783" i="3"/>
  <c r="B1783" i="3"/>
  <c r="A1783" i="3"/>
  <c r="K1782" i="3"/>
  <c r="I1782" i="3"/>
  <c r="F1782" i="3"/>
  <c r="D1782" i="3"/>
  <c r="B1782" i="3"/>
  <c r="A1782" i="3"/>
  <c r="K1781" i="3"/>
  <c r="I1781" i="3"/>
  <c r="F1781" i="3"/>
  <c r="D1781" i="3"/>
  <c r="B1781" i="3"/>
  <c r="A1781" i="3"/>
  <c r="K1780" i="3"/>
  <c r="I1780" i="3"/>
  <c r="F1780" i="3"/>
  <c r="D1780" i="3"/>
  <c r="B1780" i="3"/>
  <c r="A1780" i="3"/>
  <c r="K1779" i="3"/>
  <c r="I1779" i="3"/>
  <c r="F1779" i="3"/>
  <c r="D1779" i="3"/>
  <c r="B1779" i="3"/>
  <c r="A1779" i="3"/>
  <c r="K1778" i="3"/>
  <c r="I1778" i="3"/>
  <c r="F1778" i="3"/>
  <c r="D1778" i="3"/>
  <c r="B1778" i="3"/>
  <c r="A1778" i="3"/>
  <c r="K1777" i="3"/>
  <c r="I1777" i="3"/>
  <c r="F1777" i="3"/>
  <c r="D1777" i="3"/>
  <c r="B1777" i="3"/>
  <c r="A1777" i="3"/>
  <c r="K1776" i="3"/>
  <c r="I1776" i="3"/>
  <c r="F1776" i="3"/>
  <c r="D1776" i="3"/>
  <c r="B1776" i="3"/>
  <c r="A1776" i="3"/>
  <c r="K1775" i="3"/>
  <c r="I1775" i="3"/>
  <c r="F1775" i="3"/>
  <c r="D1775" i="3"/>
  <c r="B1775" i="3"/>
  <c r="A1775" i="3"/>
  <c r="K1774" i="3"/>
  <c r="I1774" i="3"/>
  <c r="F1774" i="3"/>
  <c r="D1774" i="3"/>
  <c r="B1774" i="3"/>
  <c r="A1774" i="3"/>
  <c r="K1773" i="3"/>
  <c r="I1773" i="3"/>
  <c r="F1773" i="3"/>
  <c r="D1773" i="3"/>
  <c r="B1773" i="3"/>
  <c r="A1773" i="3"/>
  <c r="K1772" i="3"/>
  <c r="I1772" i="3"/>
  <c r="F1772" i="3"/>
  <c r="D1772" i="3"/>
  <c r="B1772" i="3"/>
  <c r="A1772" i="3"/>
  <c r="K1771" i="3"/>
  <c r="I1771" i="3"/>
  <c r="F1771" i="3"/>
  <c r="D1771" i="3"/>
  <c r="B1771" i="3"/>
  <c r="A1771" i="3"/>
  <c r="K1770" i="3"/>
  <c r="I1770" i="3"/>
  <c r="F1770" i="3"/>
  <c r="D1770" i="3"/>
  <c r="B1770" i="3"/>
  <c r="A1770" i="3"/>
  <c r="K1769" i="3"/>
  <c r="I1769" i="3"/>
  <c r="F1769" i="3"/>
  <c r="D1769" i="3"/>
  <c r="B1769" i="3"/>
  <c r="A1769" i="3"/>
  <c r="K1768" i="3"/>
  <c r="I1768" i="3"/>
  <c r="F1768" i="3"/>
  <c r="D1768" i="3"/>
  <c r="B1768" i="3"/>
  <c r="A1768" i="3"/>
  <c r="K1767" i="3"/>
  <c r="I1767" i="3"/>
  <c r="F1767" i="3"/>
  <c r="D1767" i="3"/>
  <c r="B1767" i="3"/>
  <c r="A1767" i="3"/>
  <c r="K1766" i="3"/>
  <c r="I1766" i="3"/>
  <c r="F1766" i="3"/>
  <c r="D1766" i="3"/>
  <c r="B1766" i="3"/>
  <c r="A1766" i="3"/>
  <c r="K1765" i="3"/>
  <c r="I1765" i="3"/>
  <c r="F1765" i="3"/>
  <c r="D1765" i="3"/>
  <c r="B1765" i="3"/>
  <c r="A1765" i="3"/>
  <c r="K1764" i="3"/>
  <c r="I1764" i="3"/>
  <c r="F1764" i="3"/>
  <c r="D1764" i="3"/>
  <c r="B1764" i="3"/>
  <c r="A1764" i="3"/>
  <c r="K1763" i="3"/>
  <c r="I1763" i="3"/>
  <c r="F1763" i="3"/>
  <c r="D1763" i="3"/>
  <c r="B1763" i="3"/>
  <c r="A1763" i="3"/>
  <c r="K1762" i="3"/>
  <c r="I1762" i="3"/>
  <c r="F1762" i="3"/>
  <c r="D1762" i="3"/>
  <c r="B1762" i="3"/>
  <c r="A1762" i="3"/>
  <c r="K1761" i="3"/>
  <c r="I1761" i="3"/>
  <c r="F1761" i="3"/>
  <c r="D1761" i="3"/>
  <c r="B1761" i="3"/>
  <c r="A1761" i="3"/>
  <c r="K1760" i="3"/>
  <c r="I1760" i="3"/>
  <c r="F1760" i="3"/>
  <c r="D1760" i="3"/>
  <c r="B1760" i="3"/>
  <c r="A1760" i="3"/>
  <c r="K1759" i="3"/>
  <c r="I1759" i="3"/>
  <c r="F1759" i="3"/>
  <c r="B1759" i="3"/>
  <c r="A1759" i="3"/>
  <c r="K1758" i="3"/>
  <c r="I1758" i="3"/>
  <c r="F1758" i="3"/>
  <c r="B1758" i="3"/>
  <c r="A1758" i="3"/>
  <c r="K1757" i="3"/>
  <c r="I1757" i="3"/>
  <c r="F1757" i="3"/>
  <c r="D1757" i="3"/>
  <c r="B1757" i="3"/>
  <c r="A1757" i="3"/>
  <c r="K1756" i="3"/>
  <c r="I1756" i="3"/>
  <c r="F1756" i="3"/>
  <c r="D1756" i="3"/>
  <c r="B1756" i="3"/>
  <c r="A1756" i="3"/>
  <c r="K1755" i="3"/>
  <c r="I1755" i="3"/>
  <c r="F1755" i="3"/>
  <c r="D1755" i="3"/>
  <c r="B1755" i="3"/>
  <c r="A1755" i="3"/>
  <c r="K1754" i="3"/>
  <c r="I1754" i="3"/>
  <c r="F1754" i="3"/>
  <c r="B1754" i="3"/>
  <c r="A1754" i="3"/>
  <c r="K1753" i="3"/>
  <c r="I1753" i="3"/>
  <c r="F1753" i="3"/>
  <c r="D1753" i="3"/>
  <c r="B1753" i="3"/>
  <c r="A1753" i="3"/>
  <c r="K1752" i="3"/>
  <c r="I1752" i="3"/>
  <c r="F1752" i="3"/>
  <c r="D1752" i="3"/>
  <c r="B1752" i="3"/>
  <c r="A1752" i="3"/>
  <c r="K1751" i="3"/>
  <c r="I1751" i="3"/>
  <c r="F1751" i="3"/>
  <c r="E1751" i="3"/>
  <c r="D1751" i="3"/>
  <c r="B1751" i="3"/>
  <c r="A1751" i="3"/>
  <c r="K1750" i="3"/>
  <c r="I1750" i="3"/>
  <c r="F1750" i="3"/>
  <c r="D1750" i="3"/>
  <c r="B1750" i="3"/>
  <c r="A1750" i="3"/>
  <c r="K1749" i="3"/>
  <c r="I1749" i="3"/>
  <c r="F1749" i="3"/>
  <c r="D1749" i="3"/>
  <c r="B1749" i="3"/>
  <c r="A1749" i="3"/>
  <c r="K1748" i="3"/>
  <c r="I1748" i="3"/>
  <c r="F1748" i="3"/>
  <c r="D1748" i="3"/>
  <c r="B1748" i="3"/>
  <c r="A1748" i="3"/>
  <c r="K1747" i="3"/>
  <c r="I1747" i="3"/>
  <c r="F1747" i="3"/>
  <c r="D1747" i="3"/>
  <c r="B1747" i="3"/>
  <c r="A1747" i="3"/>
  <c r="K1746" i="3"/>
  <c r="I1746" i="3"/>
  <c r="F1746" i="3"/>
  <c r="D1746" i="3"/>
  <c r="B1746" i="3"/>
  <c r="A1746" i="3"/>
  <c r="K1745" i="3"/>
  <c r="I1745" i="3"/>
  <c r="F1745" i="3"/>
  <c r="E1745" i="3"/>
  <c r="D1745" i="3"/>
  <c r="A1745" i="3"/>
  <c r="K1744" i="3"/>
  <c r="I1744" i="3"/>
  <c r="F1744" i="3"/>
  <c r="D1744" i="3"/>
  <c r="B1744" i="3"/>
  <c r="A1744" i="3"/>
  <c r="K1743" i="3"/>
  <c r="I1743" i="3"/>
  <c r="F1743" i="3"/>
  <c r="D1743" i="3"/>
  <c r="B1743" i="3"/>
  <c r="A1743" i="3"/>
  <c r="K1742" i="3"/>
  <c r="I1742" i="3"/>
  <c r="F1742" i="3"/>
  <c r="D1742" i="3"/>
  <c r="B1742" i="3"/>
  <c r="A1742" i="3"/>
  <c r="K1741" i="3"/>
  <c r="I1741" i="3"/>
  <c r="F1741" i="3"/>
  <c r="E1741" i="3"/>
  <c r="D1741" i="3"/>
  <c r="B1741" i="3"/>
  <c r="A1741" i="3"/>
  <c r="K1740" i="3"/>
  <c r="I1740" i="3"/>
  <c r="F1740" i="3"/>
  <c r="D1740" i="3"/>
  <c r="B1740" i="3"/>
  <c r="A1740" i="3"/>
  <c r="K1739" i="3"/>
  <c r="I1739" i="3"/>
  <c r="F1739" i="3"/>
  <c r="D1739" i="3"/>
  <c r="B1739" i="3"/>
  <c r="A1739" i="3"/>
  <c r="K1738" i="3"/>
  <c r="I1738" i="3"/>
  <c r="F1738" i="3"/>
  <c r="D1738" i="3"/>
  <c r="B1738" i="3"/>
  <c r="A1738" i="3"/>
  <c r="K1737" i="3"/>
  <c r="I1737" i="3"/>
  <c r="F1737" i="3"/>
  <c r="D1737" i="3"/>
  <c r="B1737" i="3"/>
  <c r="A1737" i="3"/>
  <c r="K1736" i="3"/>
  <c r="I1736" i="3"/>
  <c r="F1736" i="3"/>
  <c r="D1736" i="3"/>
  <c r="B1736" i="3"/>
  <c r="A1736" i="3"/>
  <c r="K1735" i="3"/>
  <c r="I1735" i="3"/>
  <c r="F1735" i="3"/>
  <c r="D1735" i="3"/>
  <c r="B1735" i="3"/>
  <c r="A1735" i="3"/>
  <c r="K1734" i="3"/>
  <c r="I1734" i="3"/>
  <c r="F1734" i="3"/>
  <c r="D1734" i="3"/>
  <c r="B1734" i="3"/>
  <c r="A1734" i="3"/>
  <c r="K1733" i="3"/>
  <c r="I1733" i="3"/>
  <c r="F1733" i="3"/>
  <c r="D1733" i="3"/>
  <c r="B1733" i="3"/>
  <c r="A1733" i="3"/>
  <c r="K1732" i="3"/>
  <c r="I1732" i="3"/>
  <c r="F1732" i="3"/>
  <c r="D1732" i="3"/>
  <c r="B1732" i="3"/>
  <c r="A1732" i="3"/>
  <c r="K1731" i="3"/>
  <c r="I1731" i="3"/>
  <c r="F1731" i="3"/>
  <c r="D1731" i="3"/>
  <c r="B1731" i="3"/>
  <c r="A1731" i="3"/>
  <c r="K1730" i="3"/>
  <c r="I1730" i="3"/>
  <c r="F1730" i="3"/>
  <c r="D1730" i="3"/>
  <c r="B1730" i="3"/>
  <c r="A1730" i="3"/>
  <c r="K1729" i="3"/>
  <c r="I1729" i="3"/>
  <c r="F1729" i="3"/>
  <c r="D1729" i="3"/>
  <c r="B1729" i="3"/>
  <c r="A1729" i="3"/>
  <c r="K1728" i="3"/>
  <c r="I1728" i="3"/>
  <c r="F1728" i="3"/>
  <c r="D1728" i="3"/>
  <c r="B1728" i="3"/>
  <c r="A1728" i="3"/>
  <c r="K1727" i="3"/>
  <c r="I1727" i="3"/>
  <c r="F1727" i="3"/>
  <c r="D1727" i="3"/>
  <c r="B1727" i="3"/>
  <c r="A1727" i="3"/>
  <c r="K1726" i="3"/>
  <c r="I1726" i="3"/>
  <c r="F1726" i="3"/>
  <c r="D1726" i="3"/>
  <c r="B1726" i="3"/>
  <c r="A1726" i="3"/>
  <c r="K1725" i="3"/>
  <c r="I1725" i="3"/>
  <c r="F1725" i="3"/>
  <c r="D1725" i="3"/>
  <c r="B1725" i="3"/>
  <c r="A1725" i="3"/>
  <c r="K1724" i="3"/>
  <c r="I1724" i="3"/>
  <c r="F1724" i="3"/>
  <c r="D1724" i="3"/>
  <c r="B1724" i="3"/>
  <c r="A1724" i="3"/>
  <c r="K1723" i="3"/>
  <c r="I1723" i="3"/>
  <c r="F1723" i="3"/>
  <c r="E1723" i="3"/>
  <c r="D1723" i="3"/>
  <c r="B1723" i="3"/>
  <c r="A1723" i="3"/>
  <c r="K1722" i="3"/>
  <c r="I1722" i="3"/>
  <c r="F1722" i="3"/>
  <c r="D1722" i="3"/>
  <c r="B1722" i="3"/>
  <c r="A1722" i="3"/>
  <c r="K1721" i="3"/>
  <c r="I1721" i="3"/>
  <c r="F1721" i="3"/>
  <c r="D1721" i="3"/>
  <c r="B1721" i="3"/>
  <c r="A1721" i="3"/>
  <c r="K1720" i="3"/>
  <c r="I1720" i="3"/>
  <c r="F1720" i="3"/>
  <c r="D1720" i="3"/>
  <c r="B1720" i="3"/>
  <c r="A1720" i="3"/>
  <c r="K1719" i="3"/>
  <c r="I1719" i="3"/>
  <c r="F1719" i="3"/>
  <c r="D1719" i="3"/>
  <c r="B1719" i="3"/>
  <c r="A1719" i="3"/>
  <c r="K1718" i="3"/>
  <c r="I1718" i="3"/>
  <c r="F1718" i="3"/>
  <c r="D1718" i="3"/>
  <c r="B1718" i="3"/>
  <c r="A1718" i="3"/>
  <c r="K1717" i="3"/>
  <c r="I1717" i="3"/>
  <c r="F1717" i="3"/>
  <c r="D1717" i="3"/>
  <c r="B1717" i="3"/>
  <c r="A1717" i="3"/>
  <c r="K1716" i="3"/>
  <c r="I1716" i="3"/>
  <c r="F1716" i="3"/>
  <c r="D1716" i="3"/>
  <c r="B1716" i="3"/>
  <c r="A1716" i="3"/>
  <c r="K1715" i="3"/>
  <c r="I1715" i="3"/>
  <c r="F1715" i="3"/>
  <c r="D1715" i="3"/>
  <c r="B1715" i="3"/>
  <c r="A1715" i="3"/>
  <c r="K1714" i="3"/>
  <c r="I1714" i="3"/>
  <c r="F1714" i="3"/>
  <c r="D1714" i="3"/>
  <c r="B1714" i="3"/>
  <c r="A1714" i="3"/>
  <c r="K1713" i="3"/>
  <c r="I1713" i="3"/>
  <c r="F1713" i="3"/>
  <c r="D1713" i="3"/>
  <c r="B1713" i="3"/>
  <c r="A1713" i="3"/>
  <c r="K1712" i="3"/>
  <c r="I1712" i="3"/>
  <c r="F1712" i="3"/>
  <c r="D1712" i="3"/>
  <c r="B1712" i="3"/>
  <c r="A1712" i="3"/>
  <c r="K1711" i="3"/>
  <c r="I1711" i="3"/>
  <c r="F1711" i="3"/>
  <c r="D1711" i="3"/>
  <c r="B1711" i="3"/>
  <c r="A1711" i="3"/>
  <c r="K1710" i="3"/>
  <c r="I1710" i="3"/>
  <c r="F1710" i="3"/>
  <c r="D1710" i="3"/>
  <c r="B1710" i="3"/>
  <c r="A1710" i="3"/>
  <c r="K1709" i="3"/>
  <c r="I1709" i="3"/>
  <c r="F1709" i="3"/>
  <c r="D1709" i="3"/>
  <c r="B1709" i="3"/>
  <c r="A1709" i="3"/>
  <c r="K1708" i="3"/>
  <c r="I1708" i="3"/>
  <c r="F1708" i="3"/>
  <c r="B1708" i="3"/>
  <c r="A1708" i="3"/>
  <c r="K1707" i="3"/>
  <c r="I1707" i="3"/>
  <c r="F1707" i="3"/>
  <c r="D1707" i="3"/>
  <c r="B1707" i="3"/>
  <c r="A1707" i="3"/>
  <c r="K1706" i="3"/>
  <c r="I1706" i="3"/>
  <c r="F1706" i="3"/>
  <c r="D1706" i="3"/>
  <c r="B1706" i="3"/>
  <c r="A1706" i="3"/>
  <c r="K1705" i="3"/>
  <c r="I1705" i="3"/>
  <c r="F1705" i="3"/>
  <c r="D1705" i="3"/>
  <c r="B1705" i="3"/>
  <c r="A1705" i="3"/>
  <c r="K1704" i="3"/>
  <c r="I1704" i="3"/>
  <c r="F1704" i="3"/>
  <c r="D1704" i="3"/>
  <c r="B1704" i="3"/>
  <c r="A1704" i="3"/>
  <c r="K1703" i="3"/>
  <c r="I1703" i="3"/>
  <c r="F1703" i="3"/>
  <c r="D1703" i="3"/>
  <c r="B1703" i="3"/>
  <c r="A1703" i="3"/>
  <c r="K1702" i="3"/>
  <c r="I1702" i="3"/>
  <c r="F1702" i="3"/>
  <c r="D1702" i="3"/>
  <c r="B1702" i="3"/>
  <c r="A1702" i="3"/>
  <c r="K1701" i="3"/>
  <c r="I1701" i="3"/>
  <c r="F1701" i="3"/>
  <c r="D1701" i="3"/>
  <c r="B1701" i="3"/>
  <c r="A1701" i="3"/>
  <c r="K1700" i="3"/>
  <c r="I1700" i="3"/>
  <c r="F1700" i="3"/>
  <c r="D1700" i="3"/>
  <c r="B1700" i="3"/>
  <c r="A1700" i="3"/>
  <c r="K1699" i="3"/>
  <c r="I1699" i="3"/>
  <c r="F1699" i="3"/>
  <c r="D1699" i="3"/>
  <c r="B1699" i="3"/>
  <c r="A1699" i="3"/>
  <c r="K1698" i="3"/>
  <c r="I1698" i="3"/>
  <c r="F1698" i="3"/>
  <c r="D1698" i="3"/>
  <c r="B1698" i="3"/>
  <c r="A1698" i="3"/>
  <c r="K1697" i="3"/>
  <c r="I1697" i="3"/>
  <c r="F1697" i="3"/>
  <c r="D1697" i="3"/>
  <c r="B1697" i="3"/>
  <c r="A1697" i="3"/>
  <c r="K1696" i="3"/>
  <c r="I1696" i="3"/>
  <c r="F1696" i="3"/>
  <c r="D1696" i="3"/>
  <c r="B1696" i="3"/>
  <c r="A1696" i="3"/>
  <c r="K1695" i="3"/>
  <c r="I1695" i="3"/>
  <c r="F1695" i="3"/>
  <c r="D1695" i="3"/>
  <c r="B1695" i="3"/>
  <c r="A1695" i="3"/>
  <c r="K1694" i="3"/>
  <c r="I1694" i="3"/>
  <c r="F1694" i="3"/>
  <c r="D1694" i="3"/>
  <c r="B1694" i="3"/>
  <c r="A1694" i="3"/>
  <c r="K1693" i="3"/>
  <c r="I1693" i="3"/>
  <c r="F1693" i="3"/>
  <c r="D1693" i="3"/>
  <c r="B1693" i="3"/>
  <c r="A1693" i="3"/>
  <c r="K1692" i="3"/>
  <c r="I1692" i="3"/>
  <c r="F1692" i="3"/>
  <c r="D1692" i="3"/>
  <c r="B1692" i="3"/>
  <c r="A1692" i="3"/>
  <c r="K1691" i="3"/>
  <c r="I1691" i="3"/>
  <c r="F1691" i="3"/>
  <c r="D1691" i="3"/>
  <c r="B1691" i="3"/>
  <c r="A1691" i="3"/>
  <c r="K1690" i="3"/>
  <c r="I1690" i="3"/>
  <c r="F1690" i="3"/>
  <c r="E1690" i="3"/>
  <c r="D1690" i="3"/>
  <c r="B1690" i="3"/>
  <c r="A1690" i="3"/>
  <c r="K1689" i="3"/>
  <c r="I1689" i="3"/>
  <c r="F1689" i="3"/>
  <c r="E1689" i="3"/>
  <c r="D1689" i="3"/>
  <c r="B1689" i="3"/>
  <c r="A1689" i="3"/>
  <c r="K1688" i="3"/>
  <c r="I1688" i="3"/>
  <c r="F1688" i="3"/>
  <c r="D1688" i="3"/>
  <c r="B1688" i="3"/>
  <c r="A1688" i="3"/>
  <c r="K1687" i="3"/>
  <c r="I1687" i="3"/>
  <c r="F1687" i="3"/>
  <c r="D1687" i="3"/>
  <c r="B1687" i="3"/>
  <c r="A1687" i="3"/>
  <c r="K1686" i="3"/>
  <c r="I1686" i="3"/>
  <c r="F1686" i="3"/>
  <c r="D1686" i="3"/>
  <c r="B1686" i="3"/>
  <c r="A1686" i="3"/>
  <c r="K1685" i="3"/>
  <c r="I1685" i="3"/>
  <c r="F1685" i="3"/>
  <c r="D1685" i="3"/>
  <c r="B1685" i="3"/>
  <c r="A1685" i="3"/>
  <c r="K1684" i="3"/>
  <c r="I1684" i="3"/>
  <c r="F1684" i="3"/>
  <c r="D1684" i="3"/>
  <c r="B1684" i="3"/>
  <c r="A1684" i="3"/>
  <c r="K1683" i="3"/>
  <c r="I1683" i="3"/>
  <c r="F1683" i="3"/>
  <c r="D1683" i="3"/>
  <c r="B1683" i="3"/>
  <c r="A1683" i="3"/>
  <c r="K1682" i="3"/>
  <c r="I1682" i="3"/>
  <c r="F1682" i="3"/>
  <c r="D1682" i="3"/>
  <c r="B1682" i="3"/>
  <c r="A1682" i="3"/>
  <c r="K1681" i="3"/>
  <c r="I1681" i="3"/>
  <c r="F1681" i="3"/>
  <c r="D1681" i="3"/>
  <c r="B1681" i="3"/>
  <c r="A1681" i="3"/>
  <c r="K1680" i="3"/>
  <c r="I1680" i="3"/>
  <c r="F1680" i="3"/>
  <c r="D1680" i="3"/>
  <c r="B1680" i="3"/>
  <c r="A1680" i="3"/>
  <c r="K1679" i="3"/>
  <c r="I1679" i="3"/>
  <c r="F1679" i="3"/>
  <c r="D1679" i="3"/>
  <c r="B1679" i="3"/>
  <c r="A1679" i="3"/>
  <c r="K1678" i="3"/>
  <c r="I1678" i="3"/>
  <c r="F1678" i="3"/>
  <c r="D1678" i="3"/>
  <c r="B1678" i="3"/>
  <c r="A1678" i="3"/>
  <c r="K1677" i="3"/>
  <c r="I1677" i="3"/>
  <c r="F1677" i="3"/>
  <c r="D1677" i="3"/>
  <c r="B1677" i="3"/>
  <c r="A1677" i="3"/>
  <c r="K1676" i="3"/>
  <c r="I1676" i="3"/>
  <c r="F1676" i="3"/>
  <c r="D1676" i="3"/>
  <c r="B1676" i="3"/>
  <c r="A1676" i="3"/>
  <c r="K1675" i="3"/>
  <c r="I1675" i="3"/>
  <c r="F1675" i="3"/>
  <c r="D1675" i="3"/>
  <c r="B1675" i="3"/>
  <c r="A1675" i="3"/>
  <c r="K1674" i="3"/>
  <c r="I1674" i="3"/>
  <c r="F1674" i="3"/>
  <c r="D1674" i="3"/>
  <c r="B1674" i="3"/>
  <c r="A1674" i="3"/>
  <c r="K1673" i="3"/>
  <c r="I1673" i="3"/>
  <c r="F1673" i="3"/>
  <c r="D1673" i="3"/>
  <c r="B1673" i="3"/>
  <c r="A1673" i="3"/>
  <c r="K1672" i="3"/>
  <c r="I1672" i="3"/>
  <c r="F1672" i="3"/>
  <c r="D1672" i="3"/>
  <c r="B1672" i="3"/>
  <c r="A1672" i="3"/>
  <c r="K1671" i="3"/>
  <c r="I1671" i="3"/>
  <c r="F1671" i="3"/>
  <c r="D1671" i="3"/>
  <c r="B1671" i="3"/>
  <c r="A1671" i="3"/>
  <c r="K1670" i="3"/>
  <c r="I1670" i="3"/>
  <c r="F1670" i="3"/>
  <c r="D1670" i="3"/>
  <c r="B1670" i="3"/>
  <c r="A1670" i="3"/>
  <c r="K1669" i="3"/>
  <c r="I1669" i="3"/>
  <c r="F1669" i="3"/>
  <c r="D1669" i="3"/>
  <c r="B1669" i="3"/>
  <c r="A1669" i="3"/>
  <c r="K1668" i="3"/>
  <c r="I1668" i="3"/>
  <c r="F1668" i="3"/>
  <c r="D1668" i="3"/>
  <c r="B1668" i="3"/>
  <c r="A1668" i="3"/>
  <c r="K1667" i="3"/>
  <c r="I1667" i="3"/>
  <c r="F1667" i="3"/>
  <c r="D1667" i="3"/>
  <c r="B1667" i="3"/>
  <c r="A1667" i="3"/>
  <c r="K1666" i="3"/>
  <c r="I1666" i="3"/>
  <c r="F1666" i="3"/>
  <c r="D1666" i="3"/>
  <c r="B1666" i="3"/>
  <c r="A1666" i="3"/>
  <c r="K1665" i="3"/>
  <c r="I1665" i="3"/>
  <c r="F1665" i="3"/>
  <c r="D1665" i="3"/>
  <c r="B1665" i="3"/>
  <c r="A1665" i="3"/>
  <c r="K1664" i="3"/>
  <c r="I1664" i="3"/>
  <c r="F1664" i="3"/>
  <c r="D1664" i="3"/>
  <c r="B1664" i="3"/>
  <c r="A1664" i="3"/>
  <c r="K1663" i="3"/>
  <c r="I1663" i="3"/>
  <c r="F1663" i="3"/>
  <c r="D1663" i="3"/>
  <c r="A1663" i="3"/>
  <c r="K1662" i="3"/>
  <c r="I1662" i="3"/>
  <c r="F1662" i="3"/>
  <c r="D1662" i="3"/>
  <c r="B1662" i="3"/>
  <c r="A1662" i="3"/>
  <c r="K1661" i="3"/>
  <c r="I1661" i="3"/>
  <c r="F1661" i="3"/>
  <c r="D1661" i="3"/>
  <c r="B1661" i="3"/>
  <c r="A1661" i="3"/>
  <c r="K1660" i="3"/>
  <c r="I1660" i="3"/>
  <c r="F1660" i="3"/>
  <c r="D1660" i="3"/>
  <c r="B1660" i="3"/>
  <c r="A1660" i="3"/>
  <c r="K1659" i="3"/>
  <c r="I1659" i="3"/>
  <c r="F1659" i="3"/>
  <c r="D1659" i="3"/>
  <c r="B1659" i="3"/>
  <c r="A1659" i="3"/>
  <c r="K1658" i="3"/>
  <c r="I1658" i="3"/>
  <c r="F1658" i="3"/>
  <c r="D1658" i="3"/>
  <c r="B1658" i="3"/>
  <c r="A1658" i="3"/>
  <c r="K1657" i="3"/>
  <c r="I1657" i="3"/>
  <c r="F1657" i="3"/>
  <c r="D1657" i="3"/>
  <c r="B1657" i="3"/>
  <c r="A1657" i="3"/>
  <c r="K1656" i="3"/>
  <c r="I1656" i="3"/>
  <c r="F1656" i="3"/>
  <c r="D1656" i="3"/>
  <c r="B1656" i="3"/>
  <c r="A1656" i="3"/>
  <c r="K1655" i="3"/>
  <c r="I1655" i="3"/>
  <c r="F1655" i="3"/>
  <c r="D1655" i="3"/>
  <c r="B1655" i="3"/>
  <c r="A1655" i="3"/>
  <c r="K1654" i="3"/>
  <c r="I1654" i="3"/>
  <c r="F1654" i="3"/>
  <c r="D1654" i="3"/>
  <c r="B1654" i="3"/>
  <c r="A1654" i="3"/>
  <c r="K1653" i="3"/>
  <c r="I1653" i="3"/>
  <c r="F1653" i="3"/>
  <c r="D1653" i="3"/>
  <c r="B1653" i="3"/>
  <c r="A1653" i="3"/>
  <c r="K1652" i="3"/>
  <c r="I1652" i="3"/>
  <c r="F1652" i="3"/>
  <c r="D1652" i="3"/>
  <c r="B1652" i="3"/>
  <c r="A1652" i="3"/>
  <c r="K1651" i="3"/>
  <c r="I1651" i="3"/>
  <c r="F1651" i="3"/>
  <c r="D1651" i="3"/>
  <c r="B1651" i="3"/>
  <c r="A1651" i="3"/>
  <c r="K1650" i="3"/>
  <c r="I1650" i="3"/>
  <c r="F1650" i="3"/>
  <c r="D1650" i="3"/>
  <c r="B1650" i="3"/>
  <c r="A1650" i="3"/>
  <c r="K1649" i="3"/>
  <c r="I1649" i="3"/>
  <c r="F1649" i="3"/>
  <c r="D1649" i="3"/>
  <c r="B1649" i="3"/>
  <c r="A1649" i="3"/>
  <c r="K1648" i="3"/>
  <c r="I1648" i="3"/>
  <c r="F1648" i="3"/>
  <c r="D1648" i="3"/>
  <c r="B1648" i="3"/>
  <c r="A1648" i="3"/>
  <c r="K1647" i="3"/>
  <c r="I1647" i="3"/>
  <c r="F1647" i="3"/>
  <c r="D1647" i="3"/>
  <c r="B1647" i="3"/>
  <c r="A1647" i="3"/>
  <c r="K1646" i="3"/>
  <c r="I1646" i="3"/>
  <c r="F1646" i="3"/>
  <c r="D1646" i="3"/>
  <c r="B1646" i="3"/>
  <c r="A1646" i="3"/>
  <c r="K1645" i="3"/>
  <c r="I1645" i="3"/>
  <c r="F1645" i="3"/>
  <c r="D1645" i="3"/>
  <c r="B1645" i="3"/>
  <c r="A1645" i="3"/>
  <c r="K1644" i="3"/>
  <c r="I1644" i="3"/>
  <c r="F1644" i="3"/>
  <c r="D1644" i="3"/>
  <c r="B1644" i="3"/>
  <c r="A1644" i="3"/>
  <c r="K1643" i="3"/>
  <c r="I1643" i="3"/>
  <c r="F1643" i="3"/>
  <c r="D1643" i="3"/>
  <c r="B1643" i="3"/>
  <c r="A1643" i="3"/>
  <c r="K1642" i="3"/>
  <c r="I1642" i="3"/>
  <c r="F1642" i="3"/>
  <c r="D1642" i="3"/>
  <c r="B1642" i="3"/>
  <c r="A1642" i="3"/>
  <c r="K1641" i="3"/>
  <c r="I1641" i="3"/>
  <c r="F1641" i="3"/>
  <c r="D1641" i="3"/>
  <c r="B1641" i="3"/>
  <c r="A1641" i="3"/>
  <c r="K1640" i="3"/>
  <c r="I1640" i="3"/>
  <c r="F1640" i="3"/>
  <c r="D1640" i="3"/>
  <c r="B1640" i="3"/>
  <c r="A1640" i="3"/>
  <c r="K1639" i="3"/>
  <c r="I1639" i="3"/>
  <c r="F1639" i="3"/>
  <c r="D1639" i="3"/>
  <c r="B1639" i="3"/>
  <c r="A1639" i="3"/>
  <c r="K1638" i="3"/>
  <c r="I1638" i="3"/>
  <c r="F1638" i="3"/>
  <c r="D1638" i="3"/>
  <c r="B1638" i="3"/>
  <c r="A1638" i="3"/>
  <c r="K1637" i="3"/>
  <c r="I1637" i="3"/>
  <c r="F1637" i="3"/>
  <c r="D1637" i="3"/>
  <c r="B1637" i="3"/>
  <c r="A1637" i="3"/>
  <c r="K1636" i="3"/>
  <c r="I1636" i="3"/>
  <c r="F1636" i="3"/>
  <c r="D1636" i="3"/>
  <c r="A1636" i="3"/>
  <c r="K1635" i="3"/>
  <c r="I1635" i="3"/>
  <c r="F1635" i="3"/>
  <c r="D1635" i="3"/>
  <c r="B1635" i="3"/>
  <c r="A1635" i="3"/>
  <c r="K1634" i="3"/>
  <c r="I1634" i="3"/>
  <c r="F1634" i="3"/>
  <c r="D1634" i="3"/>
  <c r="B1634" i="3"/>
  <c r="A1634" i="3"/>
  <c r="K1633" i="3"/>
  <c r="I1633" i="3"/>
  <c r="F1633" i="3"/>
  <c r="D1633" i="3"/>
  <c r="B1633" i="3"/>
  <c r="A1633" i="3"/>
  <c r="K1632" i="3"/>
  <c r="I1632" i="3"/>
  <c r="F1632" i="3"/>
  <c r="D1632" i="3"/>
  <c r="B1632" i="3"/>
  <c r="A1632" i="3"/>
  <c r="K1631" i="3"/>
  <c r="I1631" i="3"/>
  <c r="F1631" i="3"/>
  <c r="D1631" i="3"/>
  <c r="B1631" i="3"/>
  <c r="A1631" i="3"/>
  <c r="K1630" i="3"/>
  <c r="I1630" i="3"/>
  <c r="F1630" i="3"/>
  <c r="D1630" i="3"/>
  <c r="B1630" i="3"/>
  <c r="A1630" i="3"/>
  <c r="K1629" i="3"/>
  <c r="I1629" i="3"/>
  <c r="F1629" i="3"/>
  <c r="D1629" i="3"/>
  <c r="B1629" i="3"/>
  <c r="A1629" i="3"/>
  <c r="K1628" i="3"/>
  <c r="I1628" i="3"/>
  <c r="F1628" i="3"/>
  <c r="D1628" i="3"/>
  <c r="B1628" i="3"/>
  <c r="A1628" i="3"/>
  <c r="K1627" i="3"/>
  <c r="I1627" i="3"/>
  <c r="F1627" i="3"/>
  <c r="D1627" i="3"/>
  <c r="B1627" i="3"/>
  <c r="A1627" i="3"/>
  <c r="K1626" i="3"/>
  <c r="I1626" i="3"/>
  <c r="F1626" i="3"/>
  <c r="D1626" i="3"/>
  <c r="B1626" i="3"/>
  <c r="A1626" i="3"/>
  <c r="K1625" i="3"/>
  <c r="I1625" i="3"/>
  <c r="F1625" i="3"/>
  <c r="D1625" i="3"/>
  <c r="B1625" i="3"/>
  <c r="A1625" i="3"/>
  <c r="K1624" i="3"/>
  <c r="I1624" i="3"/>
  <c r="F1624" i="3"/>
  <c r="D1624" i="3"/>
  <c r="B1624" i="3"/>
  <c r="A1624" i="3"/>
  <c r="K1623" i="3"/>
  <c r="I1623" i="3"/>
  <c r="F1623" i="3"/>
  <c r="D1623" i="3"/>
  <c r="B1623" i="3"/>
  <c r="A1623" i="3"/>
  <c r="K1622" i="3"/>
  <c r="I1622" i="3"/>
  <c r="F1622" i="3"/>
  <c r="D1622" i="3"/>
  <c r="B1622" i="3"/>
  <c r="A1622" i="3"/>
  <c r="K1621" i="3"/>
  <c r="I1621" i="3"/>
  <c r="F1621" i="3"/>
  <c r="D1621" i="3"/>
  <c r="B1621" i="3"/>
  <c r="A1621" i="3"/>
  <c r="K1620" i="3"/>
  <c r="I1620" i="3"/>
  <c r="F1620" i="3"/>
  <c r="D1620" i="3"/>
  <c r="B1620" i="3"/>
  <c r="A1620" i="3"/>
  <c r="K1619" i="3"/>
  <c r="I1619" i="3"/>
  <c r="F1619" i="3"/>
  <c r="D1619" i="3"/>
  <c r="B1619" i="3"/>
  <c r="A1619" i="3"/>
  <c r="K1618" i="3"/>
  <c r="I1618" i="3"/>
  <c r="F1618" i="3"/>
  <c r="D1618" i="3"/>
  <c r="B1618" i="3"/>
  <c r="A1618" i="3"/>
  <c r="K1617" i="3"/>
  <c r="I1617" i="3"/>
  <c r="F1617" i="3"/>
  <c r="D1617" i="3"/>
  <c r="B1617" i="3"/>
  <c r="A1617" i="3"/>
  <c r="K1616" i="3"/>
  <c r="I1616" i="3"/>
  <c r="F1616" i="3"/>
  <c r="D1616" i="3"/>
  <c r="B1616" i="3"/>
  <c r="A1616" i="3"/>
  <c r="K1615" i="3"/>
  <c r="I1615" i="3"/>
  <c r="F1615" i="3"/>
  <c r="D1615" i="3"/>
  <c r="A1615" i="3"/>
  <c r="K1614" i="3"/>
  <c r="I1614" i="3"/>
  <c r="F1614" i="3"/>
  <c r="D1614" i="3"/>
  <c r="B1614" i="3"/>
  <c r="A1614" i="3"/>
  <c r="K1613" i="3"/>
  <c r="I1613" i="3"/>
  <c r="F1613" i="3"/>
  <c r="D1613" i="3"/>
  <c r="B1613" i="3"/>
  <c r="A1613" i="3"/>
  <c r="K1612" i="3"/>
  <c r="I1612" i="3"/>
  <c r="F1612" i="3"/>
  <c r="D1612" i="3"/>
  <c r="B1612" i="3"/>
  <c r="A1612" i="3"/>
  <c r="K1611" i="3"/>
  <c r="I1611" i="3"/>
  <c r="F1611" i="3"/>
  <c r="D1611" i="3"/>
  <c r="B1611" i="3"/>
  <c r="A1611" i="3"/>
  <c r="K1610" i="3"/>
  <c r="I1610" i="3"/>
  <c r="F1610" i="3"/>
  <c r="D1610" i="3"/>
  <c r="B1610" i="3"/>
  <c r="A1610" i="3"/>
  <c r="K1609" i="3"/>
  <c r="I1609" i="3"/>
  <c r="F1609" i="3"/>
  <c r="D1609" i="3"/>
  <c r="B1609" i="3"/>
  <c r="A1609" i="3"/>
  <c r="K1608" i="3"/>
  <c r="I1608" i="3"/>
  <c r="F1608" i="3"/>
  <c r="D1608" i="3"/>
  <c r="B1608" i="3"/>
  <c r="A1608" i="3"/>
  <c r="K1607" i="3"/>
  <c r="I1607" i="3"/>
  <c r="F1607" i="3"/>
  <c r="D1607" i="3"/>
  <c r="B1607" i="3"/>
  <c r="A1607" i="3"/>
  <c r="K1606" i="3"/>
  <c r="I1606" i="3"/>
  <c r="F1606" i="3"/>
  <c r="D1606" i="3"/>
  <c r="B1606" i="3"/>
  <c r="A1606" i="3"/>
  <c r="K1605" i="3"/>
  <c r="I1605" i="3"/>
  <c r="F1605" i="3"/>
  <c r="D1605" i="3"/>
  <c r="B1605" i="3"/>
  <c r="A1605" i="3"/>
  <c r="K1604" i="3"/>
  <c r="I1604" i="3"/>
  <c r="F1604" i="3"/>
  <c r="D1604" i="3"/>
  <c r="B1604" i="3"/>
  <c r="A1604" i="3"/>
  <c r="K1603" i="3"/>
  <c r="I1603" i="3"/>
  <c r="F1603" i="3"/>
  <c r="D1603" i="3"/>
  <c r="B1603" i="3"/>
  <c r="A1603" i="3"/>
  <c r="K1602" i="3"/>
  <c r="I1602" i="3"/>
  <c r="F1602" i="3"/>
  <c r="D1602" i="3"/>
  <c r="B1602" i="3"/>
  <c r="A1602" i="3"/>
  <c r="K1601" i="3"/>
  <c r="I1601" i="3"/>
  <c r="F1601" i="3"/>
  <c r="D1601" i="3"/>
  <c r="B1601" i="3"/>
  <c r="A1601" i="3"/>
  <c r="K1600" i="3"/>
  <c r="I1600" i="3"/>
  <c r="F1600" i="3"/>
  <c r="D1600" i="3"/>
  <c r="B1600" i="3"/>
  <c r="A1600" i="3"/>
  <c r="K1599" i="3"/>
  <c r="I1599" i="3"/>
  <c r="F1599" i="3"/>
  <c r="D1599" i="3"/>
  <c r="B1599" i="3"/>
  <c r="A1599" i="3"/>
  <c r="K1598" i="3"/>
  <c r="I1598" i="3"/>
  <c r="F1598" i="3"/>
  <c r="D1598" i="3"/>
  <c r="B1598" i="3"/>
  <c r="A1598" i="3"/>
  <c r="K1597" i="3"/>
  <c r="I1597" i="3"/>
  <c r="F1597" i="3"/>
  <c r="D1597" i="3"/>
  <c r="B1597" i="3"/>
  <c r="A1597" i="3"/>
  <c r="K1596" i="3"/>
  <c r="I1596" i="3"/>
  <c r="F1596" i="3"/>
  <c r="D1596" i="3"/>
  <c r="B1596" i="3"/>
  <c r="A1596" i="3"/>
  <c r="K1595" i="3"/>
  <c r="I1595" i="3"/>
  <c r="F1595" i="3"/>
  <c r="D1595" i="3"/>
  <c r="B1595" i="3"/>
  <c r="A1595" i="3"/>
  <c r="K1594" i="3"/>
  <c r="I1594" i="3"/>
  <c r="F1594" i="3"/>
  <c r="D1594" i="3"/>
  <c r="B1594" i="3"/>
  <c r="A1594" i="3"/>
  <c r="K1593" i="3"/>
  <c r="I1593" i="3"/>
  <c r="F1593" i="3"/>
  <c r="D1593" i="3"/>
  <c r="B1593" i="3"/>
  <c r="A1593" i="3"/>
  <c r="K1592" i="3"/>
  <c r="I1592" i="3"/>
  <c r="F1592" i="3"/>
  <c r="D1592" i="3"/>
  <c r="B1592" i="3"/>
  <c r="A1592" i="3"/>
  <c r="K1591" i="3"/>
  <c r="I1591" i="3"/>
  <c r="F1591" i="3"/>
  <c r="D1591" i="3"/>
  <c r="B1591" i="3"/>
  <c r="A1591" i="3"/>
  <c r="K1590" i="3"/>
  <c r="I1590" i="3"/>
  <c r="F1590" i="3"/>
  <c r="D1590" i="3"/>
  <c r="B1590" i="3"/>
  <c r="A1590" i="3"/>
  <c r="K1589" i="3"/>
  <c r="I1589" i="3"/>
  <c r="F1589" i="3"/>
  <c r="D1589" i="3"/>
  <c r="B1589" i="3"/>
  <c r="A1589" i="3"/>
  <c r="K1588" i="3"/>
  <c r="I1588" i="3"/>
  <c r="F1588" i="3"/>
  <c r="B1588" i="3"/>
  <c r="A1588" i="3"/>
  <c r="K1587" i="3"/>
  <c r="I1587" i="3"/>
  <c r="F1587" i="3"/>
  <c r="D1587" i="3"/>
  <c r="B1587" i="3"/>
  <c r="A1587" i="3"/>
  <c r="K1586" i="3"/>
  <c r="I1586" i="3"/>
  <c r="F1586" i="3"/>
  <c r="D1586" i="3"/>
  <c r="B1586" i="3"/>
  <c r="A1586" i="3"/>
  <c r="K1585" i="3"/>
  <c r="I1585" i="3"/>
  <c r="F1585" i="3"/>
  <c r="D1585" i="3"/>
  <c r="B1585" i="3"/>
  <c r="A1585" i="3"/>
  <c r="K1584" i="3"/>
  <c r="I1584" i="3"/>
  <c r="F1584" i="3"/>
  <c r="D1584" i="3"/>
  <c r="B1584" i="3"/>
  <c r="A1584" i="3"/>
  <c r="K1583" i="3"/>
  <c r="I1583" i="3"/>
  <c r="F1583" i="3"/>
  <c r="D1583" i="3"/>
  <c r="B1583" i="3"/>
  <c r="A1583" i="3"/>
  <c r="K1582" i="3"/>
  <c r="I1582" i="3"/>
  <c r="F1582" i="3"/>
  <c r="D1582" i="3"/>
  <c r="B1582" i="3"/>
  <c r="A1582" i="3"/>
  <c r="K1581" i="3"/>
  <c r="I1581" i="3"/>
  <c r="F1581" i="3"/>
  <c r="D1581" i="3"/>
  <c r="B1581" i="3"/>
  <c r="A1581" i="3"/>
  <c r="K1580" i="3"/>
  <c r="I1580" i="3"/>
  <c r="F1580" i="3"/>
  <c r="D1580" i="3"/>
  <c r="B1580" i="3"/>
  <c r="A1580" i="3"/>
  <c r="K1579" i="3"/>
  <c r="I1579" i="3"/>
  <c r="F1579" i="3"/>
  <c r="D1579" i="3"/>
  <c r="B1579" i="3"/>
  <c r="A1579" i="3"/>
  <c r="K1578" i="3"/>
  <c r="I1578" i="3"/>
  <c r="F1578" i="3"/>
  <c r="D1578" i="3"/>
  <c r="B1578" i="3"/>
  <c r="A1578" i="3"/>
  <c r="K1577" i="3"/>
  <c r="I1577" i="3"/>
  <c r="F1577" i="3"/>
  <c r="B1577" i="3"/>
  <c r="A1577" i="3"/>
  <c r="K1576" i="3"/>
  <c r="I1576" i="3"/>
  <c r="F1576" i="3"/>
  <c r="B1576" i="3"/>
  <c r="A1576" i="3"/>
  <c r="K1575" i="3"/>
  <c r="I1575" i="3"/>
  <c r="F1575" i="3"/>
  <c r="B1575" i="3"/>
  <c r="A1575" i="3"/>
  <c r="K1574" i="3"/>
  <c r="I1574" i="3"/>
  <c r="F1574" i="3"/>
  <c r="D1574" i="3"/>
  <c r="B1574" i="3"/>
  <c r="A1574" i="3"/>
  <c r="K1573" i="3"/>
  <c r="I1573" i="3"/>
  <c r="F1573" i="3"/>
  <c r="D1573" i="3"/>
  <c r="B1573" i="3"/>
  <c r="A1573" i="3"/>
  <c r="K1572" i="3"/>
  <c r="I1572" i="3"/>
  <c r="F1572" i="3"/>
  <c r="D1572" i="3"/>
  <c r="B1572" i="3"/>
  <c r="A1572" i="3"/>
  <c r="K1571" i="3"/>
  <c r="I1571" i="3"/>
  <c r="F1571" i="3"/>
  <c r="D1571" i="3"/>
  <c r="B1571" i="3"/>
  <c r="A1571" i="3"/>
  <c r="K1570" i="3"/>
  <c r="I1570" i="3"/>
  <c r="F1570" i="3"/>
  <c r="D1570" i="3"/>
  <c r="B1570" i="3"/>
  <c r="A1570" i="3"/>
  <c r="K1569" i="3"/>
  <c r="I1569" i="3"/>
  <c r="F1569" i="3"/>
  <c r="D1569" i="3"/>
  <c r="B1569" i="3"/>
  <c r="A1569" i="3"/>
  <c r="K1568" i="3"/>
  <c r="I1568" i="3"/>
  <c r="F1568" i="3"/>
  <c r="D1568" i="3"/>
  <c r="B1568" i="3"/>
  <c r="A1568" i="3"/>
  <c r="K1567" i="3"/>
  <c r="I1567" i="3"/>
  <c r="F1567" i="3"/>
  <c r="D1567" i="3"/>
  <c r="B1567" i="3"/>
  <c r="A1567" i="3"/>
  <c r="K1566" i="3"/>
  <c r="I1566" i="3"/>
  <c r="F1566" i="3"/>
  <c r="D1566" i="3"/>
  <c r="B1566" i="3"/>
  <c r="A1566" i="3"/>
  <c r="K1565" i="3"/>
  <c r="I1565" i="3"/>
  <c r="F1565" i="3"/>
  <c r="B1565" i="3"/>
  <c r="A1565" i="3"/>
  <c r="K1564" i="3"/>
  <c r="I1564" i="3"/>
  <c r="F1564" i="3"/>
  <c r="D1564" i="3"/>
  <c r="B1564" i="3"/>
  <c r="A1564" i="3"/>
  <c r="K1563" i="3"/>
  <c r="I1563" i="3"/>
  <c r="F1563" i="3"/>
  <c r="D1563" i="3"/>
  <c r="B1563" i="3"/>
  <c r="A1563" i="3"/>
  <c r="K1562" i="3"/>
  <c r="I1562" i="3"/>
  <c r="F1562" i="3"/>
  <c r="D1562" i="3"/>
  <c r="B1562" i="3"/>
  <c r="A1562" i="3"/>
  <c r="K1561" i="3"/>
  <c r="I1561" i="3"/>
  <c r="F1561" i="3"/>
  <c r="D1561" i="3"/>
  <c r="B1561" i="3"/>
  <c r="A1561" i="3"/>
  <c r="K1560" i="3"/>
  <c r="I1560" i="3"/>
  <c r="F1560" i="3"/>
  <c r="D1560" i="3"/>
  <c r="B1560" i="3"/>
  <c r="A1560" i="3"/>
  <c r="K1559" i="3"/>
  <c r="I1559" i="3"/>
  <c r="F1559" i="3"/>
  <c r="D1559" i="3"/>
  <c r="B1559" i="3"/>
  <c r="A1559" i="3"/>
  <c r="K1558" i="3"/>
  <c r="I1558" i="3"/>
  <c r="F1558" i="3"/>
  <c r="D1558" i="3"/>
  <c r="B1558" i="3"/>
  <c r="A1558" i="3"/>
  <c r="K1557" i="3"/>
  <c r="I1557" i="3"/>
  <c r="F1557" i="3"/>
  <c r="D1557" i="3"/>
  <c r="B1557" i="3"/>
  <c r="A1557" i="3"/>
  <c r="K1556" i="3"/>
  <c r="I1556" i="3"/>
  <c r="F1556" i="3"/>
  <c r="D1556" i="3"/>
  <c r="B1556" i="3"/>
  <c r="A1556" i="3"/>
  <c r="K1555" i="3"/>
  <c r="I1555" i="3"/>
  <c r="F1555" i="3"/>
  <c r="D1555" i="3"/>
  <c r="B1555" i="3"/>
  <c r="A1555" i="3"/>
  <c r="K1554" i="3"/>
  <c r="I1554" i="3"/>
  <c r="F1554" i="3"/>
  <c r="D1554" i="3"/>
  <c r="B1554" i="3"/>
  <c r="A1554" i="3"/>
  <c r="K1553" i="3"/>
  <c r="I1553" i="3"/>
  <c r="F1553" i="3"/>
  <c r="D1553" i="3"/>
  <c r="B1553" i="3"/>
  <c r="A1553" i="3"/>
  <c r="K1552" i="3"/>
  <c r="I1552" i="3"/>
  <c r="F1552" i="3"/>
  <c r="D1552" i="3"/>
  <c r="B1552" i="3"/>
  <c r="A1552" i="3"/>
  <c r="K1551" i="3"/>
  <c r="I1551" i="3"/>
  <c r="F1551" i="3"/>
  <c r="D1551" i="3"/>
  <c r="B1551" i="3"/>
  <c r="A1551" i="3"/>
  <c r="K1550" i="3"/>
  <c r="I1550" i="3"/>
  <c r="F1550" i="3"/>
  <c r="D1550" i="3"/>
  <c r="B1550" i="3"/>
  <c r="A1550" i="3"/>
  <c r="K1549" i="3"/>
  <c r="I1549" i="3"/>
  <c r="F1549" i="3"/>
  <c r="D1549" i="3"/>
  <c r="B1549" i="3"/>
  <c r="A1549" i="3"/>
  <c r="K1548" i="3"/>
  <c r="I1548" i="3"/>
  <c r="F1548" i="3"/>
  <c r="D1548" i="3"/>
  <c r="B1548" i="3"/>
  <c r="A1548" i="3"/>
  <c r="K1547" i="3"/>
  <c r="I1547" i="3"/>
  <c r="F1547" i="3"/>
  <c r="D1547" i="3"/>
  <c r="B1547" i="3"/>
  <c r="A1547" i="3"/>
  <c r="K1546" i="3"/>
  <c r="I1546" i="3"/>
  <c r="F1546" i="3"/>
  <c r="D1546" i="3"/>
  <c r="B1546" i="3"/>
  <c r="A1546" i="3"/>
  <c r="K1545" i="3"/>
  <c r="I1545" i="3"/>
  <c r="F1545" i="3"/>
  <c r="D1545" i="3"/>
  <c r="B1545" i="3"/>
  <c r="A1545" i="3"/>
  <c r="K1544" i="3"/>
  <c r="I1544" i="3"/>
  <c r="F1544" i="3"/>
  <c r="D1544" i="3"/>
  <c r="B1544" i="3"/>
  <c r="A1544" i="3"/>
  <c r="K1543" i="3"/>
  <c r="I1543" i="3"/>
  <c r="F1543" i="3"/>
  <c r="D1543" i="3"/>
  <c r="B1543" i="3"/>
  <c r="A1543" i="3"/>
  <c r="K1542" i="3"/>
  <c r="I1542" i="3"/>
  <c r="F1542" i="3"/>
  <c r="D1542" i="3"/>
  <c r="B1542" i="3"/>
  <c r="A1542" i="3"/>
  <c r="K1541" i="3"/>
  <c r="I1541" i="3"/>
  <c r="F1541" i="3"/>
  <c r="D1541" i="3"/>
  <c r="B1541" i="3"/>
  <c r="A1541" i="3"/>
  <c r="K1540" i="3"/>
  <c r="I1540" i="3"/>
  <c r="F1540" i="3"/>
  <c r="D1540" i="3"/>
  <c r="B1540" i="3"/>
  <c r="A1540" i="3"/>
  <c r="K1539" i="3"/>
  <c r="I1539" i="3"/>
  <c r="F1539" i="3"/>
  <c r="D1539" i="3"/>
  <c r="B1539" i="3"/>
  <c r="A1539" i="3"/>
  <c r="K1538" i="3"/>
  <c r="I1538" i="3"/>
  <c r="F1538" i="3"/>
  <c r="D1538" i="3"/>
  <c r="B1538" i="3"/>
  <c r="A1538" i="3"/>
  <c r="K1537" i="3"/>
  <c r="I1537" i="3"/>
  <c r="F1537" i="3"/>
  <c r="D1537" i="3"/>
  <c r="B1537" i="3"/>
  <c r="A1537" i="3"/>
  <c r="K1536" i="3"/>
  <c r="I1536" i="3"/>
  <c r="F1536" i="3"/>
  <c r="D1536" i="3"/>
  <c r="B1536" i="3"/>
  <c r="A1536" i="3"/>
  <c r="K1535" i="3"/>
  <c r="I1535" i="3"/>
  <c r="F1535" i="3"/>
  <c r="D1535" i="3"/>
  <c r="B1535" i="3"/>
  <c r="A1535" i="3"/>
  <c r="K1534" i="3"/>
  <c r="I1534" i="3"/>
  <c r="F1534" i="3"/>
  <c r="D1534" i="3"/>
  <c r="B1534" i="3"/>
  <c r="A1534" i="3"/>
  <c r="K1533" i="3"/>
  <c r="I1533" i="3"/>
  <c r="F1533" i="3"/>
  <c r="D1533" i="3"/>
  <c r="B1533" i="3"/>
  <c r="A1533" i="3"/>
  <c r="K1532" i="3"/>
  <c r="I1532" i="3"/>
  <c r="F1532" i="3"/>
  <c r="D1532" i="3"/>
  <c r="B1532" i="3"/>
  <c r="A1532" i="3"/>
  <c r="K1531" i="3"/>
  <c r="I1531" i="3"/>
  <c r="F1531" i="3"/>
  <c r="D1531" i="3"/>
  <c r="B1531" i="3"/>
  <c r="A1531" i="3"/>
  <c r="K1530" i="3"/>
  <c r="I1530" i="3"/>
  <c r="F1530" i="3"/>
  <c r="D1530" i="3"/>
  <c r="B1530" i="3"/>
  <c r="A1530" i="3"/>
  <c r="K1529" i="3"/>
  <c r="I1529" i="3"/>
  <c r="F1529" i="3"/>
  <c r="D1529" i="3"/>
  <c r="B1529" i="3"/>
  <c r="A1529" i="3"/>
  <c r="K1528" i="3"/>
  <c r="I1528" i="3"/>
  <c r="F1528" i="3"/>
  <c r="D1528" i="3"/>
  <c r="B1528" i="3"/>
  <c r="A1528" i="3"/>
  <c r="K1527" i="3"/>
  <c r="I1527" i="3"/>
  <c r="F1527" i="3"/>
  <c r="D1527" i="3"/>
  <c r="B1527" i="3"/>
  <c r="A1527" i="3"/>
  <c r="K1526" i="3"/>
  <c r="I1526" i="3"/>
  <c r="F1526" i="3"/>
  <c r="E1526" i="3"/>
  <c r="D1526" i="3"/>
  <c r="B1526" i="3"/>
  <c r="A1526" i="3"/>
  <c r="K1525" i="3"/>
  <c r="I1525" i="3"/>
  <c r="F1525" i="3"/>
  <c r="D1525" i="3"/>
  <c r="B1525" i="3"/>
  <c r="A1525" i="3"/>
  <c r="K1524" i="3"/>
  <c r="I1524" i="3"/>
  <c r="F1524" i="3"/>
  <c r="D1524" i="3"/>
  <c r="B1524" i="3"/>
  <c r="A1524" i="3"/>
  <c r="K1523" i="3"/>
  <c r="I1523" i="3"/>
  <c r="F1523" i="3"/>
  <c r="D1523" i="3"/>
  <c r="B1523" i="3"/>
  <c r="A1523" i="3"/>
  <c r="K1522" i="3"/>
  <c r="I1522" i="3"/>
  <c r="F1522" i="3"/>
  <c r="D1522" i="3"/>
  <c r="B1522" i="3"/>
  <c r="A1522" i="3"/>
  <c r="K1521" i="3"/>
  <c r="I1521" i="3"/>
  <c r="F1521" i="3"/>
  <c r="D1521" i="3"/>
  <c r="B1521" i="3"/>
  <c r="A1521" i="3"/>
  <c r="K1520" i="3"/>
  <c r="I1520" i="3"/>
  <c r="F1520" i="3"/>
  <c r="D1520" i="3"/>
  <c r="B1520" i="3"/>
  <c r="A1520" i="3"/>
  <c r="K1519" i="3"/>
  <c r="I1519" i="3"/>
  <c r="F1519" i="3"/>
  <c r="D1519" i="3"/>
  <c r="B1519" i="3"/>
  <c r="A1519" i="3"/>
  <c r="K1518" i="3"/>
  <c r="I1518" i="3"/>
  <c r="F1518" i="3"/>
  <c r="D1518" i="3"/>
  <c r="B1518" i="3"/>
  <c r="A1518" i="3"/>
  <c r="K1517" i="3"/>
  <c r="I1517" i="3"/>
  <c r="F1517" i="3"/>
  <c r="D1517" i="3"/>
  <c r="B1517" i="3"/>
  <c r="A1517" i="3"/>
  <c r="K1516" i="3"/>
  <c r="I1516" i="3"/>
  <c r="F1516" i="3"/>
  <c r="D1516" i="3"/>
  <c r="B1516" i="3"/>
  <c r="A1516" i="3"/>
  <c r="K1515" i="3"/>
  <c r="I1515" i="3"/>
  <c r="F1515" i="3"/>
  <c r="D1515" i="3"/>
  <c r="B1515" i="3"/>
  <c r="A1515" i="3"/>
  <c r="K1514" i="3"/>
  <c r="I1514" i="3"/>
  <c r="F1514" i="3"/>
  <c r="D1514" i="3"/>
  <c r="B1514" i="3"/>
  <c r="A1514" i="3"/>
  <c r="K1513" i="3"/>
  <c r="I1513" i="3"/>
  <c r="F1513" i="3"/>
  <c r="D1513" i="3"/>
  <c r="B1513" i="3"/>
  <c r="A1513" i="3"/>
  <c r="K1512" i="3"/>
  <c r="I1512" i="3"/>
  <c r="F1512" i="3"/>
  <c r="D1512" i="3"/>
  <c r="B1512" i="3"/>
  <c r="A1512" i="3"/>
  <c r="K1511" i="3"/>
  <c r="I1511" i="3"/>
  <c r="F1511" i="3"/>
  <c r="D1511" i="3"/>
  <c r="B1511" i="3"/>
  <c r="A1511" i="3"/>
  <c r="K1510" i="3"/>
  <c r="I1510" i="3"/>
  <c r="F1510" i="3"/>
  <c r="D1510" i="3"/>
  <c r="B1510" i="3"/>
  <c r="A1510" i="3"/>
  <c r="K1509" i="3"/>
  <c r="I1509" i="3"/>
  <c r="F1509" i="3"/>
  <c r="D1509" i="3"/>
  <c r="B1509" i="3"/>
  <c r="A1509" i="3"/>
  <c r="K1508" i="3"/>
  <c r="I1508" i="3"/>
  <c r="F1508" i="3"/>
  <c r="D1508" i="3"/>
  <c r="B1508" i="3"/>
  <c r="A1508" i="3"/>
  <c r="K1507" i="3"/>
  <c r="I1507" i="3"/>
  <c r="F1507" i="3"/>
  <c r="D1507" i="3"/>
  <c r="B1507" i="3"/>
  <c r="A1507" i="3"/>
  <c r="K1506" i="3"/>
  <c r="I1506" i="3"/>
  <c r="F1506" i="3"/>
  <c r="D1506" i="3"/>
  <c r="B1506" i="3"/>
  <c r="A1506" i="3"/>
  <c r="K1505" i="3"/>
  <c r="I1505" i="3"/>
  <c r="F1505" i="3"/>
  <c r="D1505" i="3"/>
  <c r="B1505" i="3"/>
  <c r="A1505" i="3"/>
  <c r="K1504" i="3"/>
  <c r="I1504" i="3"/>
  <c r="F1504" i="3"/>
  <c r="D1504" i="3"/>
  <c r="B1504" i="3"/>
  <c r="A1504" i="3"/>
  <c r="K1503" i="3"/>
  <c r="I1503" i="3"/>
  <c r="F1503" i="3"/>
  <c r="D1503" i="3"/>
  <c r="B1503" i="3"/>
  <c r="A1503" i="3"/>
  <c r="K1502" i="3"/>
  <c r="I1502" i="3"/>
  <c r="F1502" i="3"/>
  <c r="D1502" i="3"/>
  <c r="B1502" i="3"/>
  <c r="A1502" i="3"/>
  <c r="K1501" i="3"/>
  <c r="I1501" i="3"/>
  <c r="F1501" i="3"/>
  <c r="D1501" i="3"/>
  <c r="B1501" i="3"/>
  <c r="A1501" i="3"/>
  <c r="K1500" i="3"/>
  <c r="I1500" i="3"/>
  <c r="F1500" i="3"/>
  <c r="B1500" i="3"/>
  <c r="A1500" i="3"/>
  <c r="K1499" i="3"/>
  <c r="I1499" i="3"/>
  <c r="F1499" i="3"/>
  <c r="D1499" i="3"/>
  <c r="B1499" i="3"/>
  <c r="A1499" i="3"/>
  <c r="K1498" i="3"/>
  <c r="I1498" i="3"/>
  <c r="F1498" i="3"/>
  <c r="D1498" i="3"/>
  <c r="B1498" i="3"/>
  <c r="A1498" i="3"/>
  <c r="K1497" i="3"/>
  <c r="I1497" i="3"/>
  <c r="F1497" i="3"/>
  <c r="D1497" i="3"/>
  <c r="B1497" i="3"/>
  <c r="A1497" i="3"/>
  <c r="K1496" i="3"/>
  <c r="I1496" i="3"/>
  <c r="F1496" i="3"/>
  <c r="D1496" i="3"/>
  <c r="B1496" i="3"/>
  <c r="A1496" i="3"/>
  <c r="K1495" i="3"/>
  <c r="I1495" i="3"/>
  <c r="F1495" i="3"/>
  <c r="E1495" i="3"/>
  <c r="D1495" i="3"/>
  <c r="B1495" i="3"/>
  <c r="A1495" i="3"/>
  <c r="K1494" i="3"/>
  <c r="I1494" i="3"/>
  <c r="F1494" i="3"/>
  <c r="E1494" i="3"/>
  <c r="D1494" i="3"/>
  <c r="B1494" i="3"/>
  <c r="A1494" i="3"/>
  <c r="K1493" i="3"/>
  <c r="I1493" i="3"/>
  <c r="F1493" i="3"/>
  <c r="B1493" i="3"/>
  <c r="A1493" i="3"/>
  <c r="K1492" i="3"/>
  <c r="I1492" i="3"/>
  <c r="F1492" i="3"/>
  <c r="D1492" i="3"/>
  <c r="B1492" i="3"/>
  <c r="A1492" i="3"/>
  <c r="K1491" i="3"/>
  <c r="I1491" i="3"/>
  <c r="F1491" i="3"/>
  <c r="D1491" i="3"/>
  <c r="B1491" i="3"/>
  <c r="A1491" i="3"/>
  <c r="K1490" i="3"/>
  <c r="I1490" i="3"/>
  <c r="D1490" i="3"/>
  <c r="B1490" i="3"/>
  <c r="A1490" i="3"/>
  <c r="K1489" i="3"/>
  <c r="I1489" i="3"/>
  <c r="F1489" i="3"/>
  <c r="D1489" i="3"/>
  <c r="B1489" i="3"/>
  <c r="A1489" i="3"/>
  <c r="K1488" i="3"/>
  <c r="I1488" i="3"/>
  <c r="F1488" i="3"/>
  <c r="D1488" i="3"/>
  <c r="B1488" i="3"/>
  <c r="A1488" i="3"/>
  <c r="K1487" i="3"/>
  <c r="I1487" i="3"/>
  <c r="F1487" i="3"/>
  <c r="D1487" i="3"/>
  <c r="B1487" i="3"/>
  <c r="A1487" i="3"/>
  <c r="K1486" i="3"/>
  <c r="I1486" i="3"/>
  <c r="F1486" i="3"/>
  <c r="D1486" i="3"/>
  <c r="B1486" i="3"/>
  <c r="A1486" i="3"/>
  <c r="K1485" i="3"/>
  <c r="I1485" i="3"/>
  <c r="F1485" i="3"/>
  <c r="D1485" i="3"/>
  <c r="B1485" i="3"/>
  <c r="A1485" i="3"/>
  <c r="K1484" i="3"/>
  <c r="I1484" i="3"/>
  <c r="F1484" i="3"/>
  <c r="E1484" i="3"/>
  <c r="D1484" i="3"/>
  <c r="B1484" i="3"/>
  <c r="A1484" i="3"/>
  <c r="K1483" i="3"/>
  <c r="I1483" i="3"/>
  <c r="F1483" i="3"/>
  <c r="D1483" i="3"/>
  <c r="B1483" i="3"/>
  <c r="A1483" i="3"/>
  <c r="K1482" i="3"/>
  <c r="I1482" i="3"/>
  <c r="F1482" i="3"/>
  <c r="D1482" i="3"/>
  <c r="B1482" i="3"/>
  <c r="A1482" i="3"/>
  <c r="K1481" i="3"/>
  <c r="I1481" i="3"/>
  <c r="F1481" i="3"/>
  <c r="D1481" i="3"/>
  <c r="B1481" i="3"/>
  <c r="A1481" i="3"/>
  <c r="K1480" i="3"/>
  <c r="I1480" i="3"/>
  <c r="F1480" i="3"/>
  <c r="D1480" i="3"/>
  <c r="B1480" i="3"/>
  <c r="A1480" i="3"/>
  <c r="K1479" i="3"/>
  <c r="I1479" i="3"/>
  <c r="F1479" i="3"/>
  <c r="D1479" i="3"/>
  <c r="B1479" i="3"/>
  <c r="A1479" i="3"/>
  <c r="K1478" i="3"/>
  <c r="I1478" i="3"/>
  <c r="F1478" i="3"/>
  <c r="D1478" i="3"/>
  <c r="B1478" i="3"/>
  <c r="A1478" i="3"/>
  <c r="K1477" i="3"/>
  <c r="I1477" i="3"/>
  <c r="F1477" i="3"/>
  <c r="D1477" i="3"/>
  <c r="B1477" i="3"/>
  <c r="A1477" i="3"/>
  <c r="K1476" i="3"/>
  <c r="I1476" i="3"/>
  <c r="F1476" i="3"/>
  <c r="D1476" i="3"/>
  <c r="B1476" i="3"/>
  <c r="A1476" i="3"/>
  <c r="K1475" i="3"/>
  <c r="I1475" i="3"/>
  <c r="F1475" i="3"/>
  <c r="D1475" i="3"/>
  <c r="B1475" i="3"/>
  <c r="A1475" i="3"/>
  <c r="K1474" i="3"/>
  <c r="I1474" i="3"/>
  <c r="F1474" i="3"/>
  <c r="D1474" i="3"/>
  <c r="B1474" i="3"/>
  <c r="A1474" i="3"/>
  <c r="K1473" i="3"/>
  <c r="I1473" i="3"/>
  <c r="F1473" i="3"/>
  <c r="D1473" i="3"/>
  <c r="B1473" i="3"/>
  <c r="A1473" i="3"/>
  <c r="K1472" i="3"/>
  <c r="I1472" i="3"/>
  <c r="F1472" i="3"/>
  <c r="D1472" i="3"/>
  <c r="B1472" i="3"/>
  <c r="A1472" i="3"/>
  <c r="K1471" i="3"/>
  <c r="I1471" i="3"/>
  <c r="F1471" i="3"/>
  <c r="D1471" i="3"/>
  <c r="B1471" i="3"/>
  <c r="A1471" i="3"/>
  <c r="K1470" i="3"/>
  <c r="I1470" i="3"/>
  <c r="F1470" i="3"/>
  <c r="D1470" i="3"/>
  <c r="B1470" i="3"/>
  <c r="A1470" i="3"/>
  <c r="K1469" i="3"/>
  <c r="I1469" i="3"/>
  <c r="F1469" i="3"/>
  <c r="D1469" i="3"/>
  <c r="B1469" i="3"/>
  <c r="A1469" i="3"/>
  <c r="K1468" i="3"/>
  <c r="I1468" i="3"/>
  <c r="F1468" i="3"/>
  <c r="D1468" i="3"/>
  <c r="B1468" i="3"/>
  <c r="A1468" i="3"/>
  <c r="K1467" i="3"/>
  <c r="I1467" i="3"/>
  <c r="F1467" i="3"/>
  <c r="D1467" i="3"/>
  <c r="B1467" i="3"/>
  <c r="A1467" i="3"/>
  <c r="K1466" i="3"/>
  <c r="I1466" i="3"/>
  <c r="F1466" i="3"/>
  <c r="D1466" i="3"/>
  <c r="B1466" i="3"/>
  <c r="A1466" i="3"/>
  <c r="K1465" i="3"/>
  <c r="I1465" i="3"/>
  <c r="F1465" i="3"/>
  <c r="D1465" i="3"/>
  <c r="B1465" i="3"/>
  <c r="A1465" i="3"/>
  <c r="K1464" i="3"/>
  <c r="I1464" i="3"/>
  <c r="F1464" i="3"/>
  <c r="D1464" i="3"/>
  <c r="B1464" i="3"/>
  <c r="A1464" i="3"/>
  <c r="K1463" i="3"/>
  <c r="I1463" i="3"/>
  <c r="F1463" i="3"/>
  <c r="D1463" i="3"/>
  <c r="B1463" i="3"/>
  <c r="A1463" i="3"/>
  <c r="K1462" i="3"/>
  <c r="I1462" i="3"/>
  <c r="F1462" i="3"/>
  <c r="D1462" i="3"/>
  <c r="B1462" i="3"/>
  <c r="A1462" i="3"/>
  <c r="K1461" i="3"/>
  <c r="I1461" i="3"/>
  <c r="F1461" i="3"/>
  <c r="D1461" i="3"/>
  <c r="B1461" i="3"/>
  <c r="A1461" i="3"/>
  <c r="K1460" i="3"/>
  <c r="I1460" i="3"/>
  <c r="F1460" i="3"/>
  <c r="D1460" i="3"/>
  <c r="B1460" i="3"/>
  <c r="A1460" i="3"/>
  <c r="K1459" i="3"/>
  <c r="I1459" i="3"/>
  <c r="F1459" i="3"/>
  <c r="D1459" i="3"/>
  <c r="B1459" i="3"/>
  <c r="A1459" i="3"/>
  <c r="K1458" i="3"/>
  <c r="I1458" i="3"/>
  <c r="F1458" i="3"/>
  <c r="D1458" i="3"/>
  <c r="B1458" i="3"/>
  <c r="A1458" i="3"/>
  <c r="K1457" i="3"/>
  <c r="I1457" i="3"/>
  <c r="F1457" i="3"/>
  <c r="D1457" i="3"/>
  <c r="B1457" i="3"/>
  <c r="A1457" i="3"/>
  <c r="K1456" i="3"/>
  <c r="I1456" i="3"/>
  <c r="F1456" i="3"/>
  <c r="D1456" i="3"/>
  <c r="B1456" i="3"/>
  <c r="A1456" i="3"/>
  <c r="K1455" i="3"/>
  <c r="I1455" i="3"/>
  <c r="F1455" i="3"/>
  <c r="D1455" i="3"/>
  <c r="B1455" i="3"/>
  <c r="A1455" i="3"/>
  <c r="K1454" i="3"/>
  <c r="I1454" i="3"/>
  <c r="F1454" i="3"/>
  <c r="D1454" i="3"/>
  <c r="B1454" i="3"/>
  <c r="A1454" i="3"/>
  <c r="K1453" i="3"/>
  <c r="I1453" i="3"/>
  <c r="F1453" i="3"/>
  <c r="D1453" i="3"/>
  <c r="B1453" i="3"/>
  <c r="A1453" i="3"/>
  <c r="K1452" i="3"/>
  <c r="I1452" i="3"/>
  <c r="F1452" i="3"/>
  <c r="D1452" i="3"/>
  <c r="B1452" i="3"/>
  <c r="A1452" i="3"/>
  <c r="K1451" i="3"/>
  <c r="I1451" i="3"/>
  <c r="F1451" i="3"/>
  <c r="D1451" i="3"/>
  <c r="B1451" i="3"/>
  <c r="A1451" i="3"/>
  <c r="K1450" i="3"/>
  <c r="I1450" i="3"/>
  <c r="F1450" i="3"/>
  <c r="D1450" i="3"/>
  <c r="B1450" i="3"/>
  <c r="A1450" i="3"/>
  <c r="K1449" i="3"/>
  <c r="I1449" i="3"/>
  <c r="F1449" i="3"/>
  <c r="D1449" i="3"/>
  <c r="B1449" i="3"/>
  <c r="A1449" i="3"/>
  <c r="K1448" i="3"/>
  <c r="I1448" i="3"/>
  <c r="F1448" i="3"/>
  <c r="D1448" i="3"/>
  <c r="B1448" i="3"/>
  <c r="A1448" i="3"/>
  <c r="K1447" i="3"/>
  <c r="I1447" i="3"/>
  <c r="F1447" i="3"/>
  <c r="D1447" i="3"/>
  <c r="B1447" i="3"/>
  <c r="A1447" i="3"/>
  <c r="K1446" i="3"/>
  <c r="I1446" i="3"/>
  <c r="F1446" i="3"/>
  <c r="D1446" i="3"/>
  <c r="B1446" i="3"/>
  <c r="A1446" i="3"/>
  <c r="K1445" i="3"/>
  <c r="I1445" i="3"/>
  <c r="F1445" i="3"/>
  <c r="D1445" i="3"/>
  <c r="B1445" i="3"/>
  <c r="A1445" i="3"/>
  <c r="K1444" i="3"/>
  <c r="I1444" i="3"/>
  <c r="F1444" i="3"/>
  <c r="D1444" i="3"/>
  <c r="B1444" i="3"/>
  <c r="A1444" i="3"/>
  <c r="K1443" i="3"/>
  <c r="I1443" i="3"/>
  <c r="F1443" i="3"/>
  <c r="D1443" i="3"/>
  <c r="B1443" i="3"/>
  <c r="A1443" i="3"/>
  <c r="K1442" i="3"/>
  <c r="I1442" i="3"/>
  <c r="F1442" i="3"/>
  <c r="D1442" i="3"/>
  <c r="B1442" i="3"/>
  <c r="A1442" i="3"/>
  <c r="K1441" i="3"/>
  <c r="I1441" i="3"/>
  <c r="F1441" i="3"/>
  <c r="D1441" i="3"/>
  <c r="B1441" i="3"/>
  <c r="A1441" i="3"/>
  <c r="K1440" i="3"/>
  <c r="I1440" i="3"/>
  <c r="F1440" i="3"/>
  <c r="D1440" i="3"/>
  <c r="B1440" i="3"/>
  <c r="A1440" i="3"/>
  <c r="K1439" i="3"/>
  <c r="I1439" i="3"/>
  <c r="F1439" i="3"/>
  <c r="D1439" i="3"/>
  <c r="B1439" i="3"/>
  <c r="A1439" i="3"/>
  <c r="K1438" i="3"/>
  <c r="I1438" i="3"/>
  <c r="F1438" i="3"/>
  <c r="D1438" i="3"/>
  <c r="B1438" i="3"/>
  <c r="A1438" i="3"/>
  <c r="K1437" i="3"/>
  <c r="I1437" i="3"/>
  <c r="F1437" i="3"/>
  <c r="D1437" i="3"/>
  <c r="B1437" i="3"/>
  <c r="A1437" i="3"/>
  <c r="K1436" i="3"/>
  <c r="I1436" i="3"/>
  <c r="F1436" i="3"/>
  <c r="D1436" i="3"/>
  <c r="B1436" i="3"/>
  <c r="A1436" i="3"/>
  <c r="K1435" i="3"/>
  <c r="I1435" i="3"/>
  <c r="F1435" i="3"/>
  <c r="D1435" i="3"/>
  <c r="B1435" i="3"/>
  <c r="A1435" i="3"/>
  <c r="K1434" i="3"/>
  <c r="I1434" i="3"/>
  <c r="F1434" i="3"/>
  <c r="D1434" i="3"/>
  <c r="B1434" i="3"/>
  <c r="A1434" i="3"/>
  <c r="K1433" i="3"/>
  <c r="I1433" i="3"/>
  <c r="F1433" i="3"/>
  <c r="D1433" i="3"/>
  <c r="B1433" i="3"/>
  <c r="A1433" i="3"/>
  <c r="K1432" i="3"/>
  <c r="I1432" i="3"/>
  <c r="F1432" i="3"/>
  <c r="D1432" i="3"/>
  <c r="B1432" i="3"/>
  <c r="A1432" i="3"/>
  <c r="K1431" i="3"/>
  <c r="I1431" i="3"/>
  <c r="F1431" i="3"/>
  <c r="D1431" i="3"/>
  <c r="B1431" i="3"/>
  <c r="A1431" i="3"/>
  <c r="K1430" i="3"/>
  <c r="I1430" i="3"/>
  <c r="F1430" i="3"/>
  <c r="D1430" i="3"/>
  <c r="B1430" i="3"/>
  <c r="A1430" i="3"/>
  <c r="K1429" i="3"/>
  <c r="I1429" i="3"/>
  <c r="F1429" i="3"/>
  <c r="D1429" i="3"/>
  <c r="B1429" i="3"/>
  <c r="A1429" i="3"/>
  <c r="K1428" i="3"/>
  <c r="I1428" i="3"/>
  <c r="F1428" i="3"/>
  <c r="D1428" i="3"/>
  <c r="B1428" i="3"/>
  <c r="A1428" i="3"/>
  <c r="K1427" i="3"/>
  <c r="I1427" i="3"/>
  <c r="F1427" i="3"/>
  <c r="D1427" i="3"/>
  <c r="B1427" i="3"/>
  <c r="A1427" i="3"/>
  <c r="K1426" i="3"/>
  <c r="I1426" i="3"/>
  <c r="F1426" i="3"/>
  <c r="D1426" i="3"/>
  <c r="B1426" i="3"/>
  <c r="A1426" i="3"/>
  <c r="K1425" i="3"/>
  <c r="I1425" i="3"/>
  <c r="F1425" i="3"/>
  <c r="D1425" i="3"/>
  <c r="B1425" i="3"/>
  <c r="A1425" i="3"/>
  <c r="K1424" i="3"/>
  <c r="I1424" i="3"/>
  <c r="F1424" i="3"/>
  <c r="D1424" i="3"/>
  <c r="B1424" i="3"/>
  <c r="A1424" i="3"/>
  <c r="K1423" i="3"/>
  <c r="I1423" i="3"/>
  <c r="F1423" i="3"/>
  <c r="D1423" i="3"/>
  <c r="B1423" i="3"/>
  <c r="A1423" i="3"/>
  <c r="K1422" i="3"/>
  <c r="I1422" i="3"/>
  <c r="F1422" i="3"/>
  <c r="D1422" i="3"/>
  <c r="B1422" i="3"/>
  <c r="A1422" i="3"/>
  <c r="K1421" i="3"/>
  <c r="I1421" i="3"/>
  <c r="F1421" i="3"/>
  <c r="D1421" i="3"/>
  <c r="B1421" i="3"/>
  <c r="A1421" i="3"/>
  <c r="K1420" i="3"/>
  <c r="I1420" i="3"/>
  <c r="F1420" i="3"/>
  <c r="D1420" i="3"/>
  <c r="B1420" i="3"/>
  <c r="A1420" i="3"/>
  <c r="K1419" i="3"/>
  <c r="I1419" i="3"/>
  <c r="F1419" i="3"/>
  <c r="D1419" i="3"/>
  <c r="B1419" i="3"/>
  <c r="A1419" i="3"/>
  <c r="K1418" i="3"/>
  <c r="I1418" i="3"/>
  <c r="F1418" i="3"/>
  <c r="D1418" i="3"/>
  <c r="B1418" i="3"/>
  <c r="A1418" i="3"/>
  <c r="K1417" i="3"/>
  <c r="I1417" i="3"/>
  <c r="F1417" i="3"/>
  <c r="D1417" i="3"/>
  <c r="B1417" i="3"/>
  <c r="A1417" i="3"/>
  <c r="K1416" i="3"/>
  <c r="I1416" i="3"/>
  <c r="F1416" i="3"/>
  <c r="D1416" i="3"/>
  <c r="B1416" i="3"/>
  <c r="A1416" i="3"/>
  <c r="K1415" i="3"/>
  <c r="I1415" i="3"/>
  <c r="F1415" i="3"/>
  <c r="D1415" i="3"/>
  <c r="B1415" i="3"/>
  <c r="A1415" i="3"/>
  <c r="K1414" i="3"/>
  <c r="I1414" i="3"/>
  <c r="F1414" i="3"/>
  <c r="D1414" i="3"/>
  <c r="B1414" i="3"/>
  <c r="A1414" i="3"/>
  <c r="K1413" i="3"/>
  <c r="I1413" i="3"/>
  <c r="F1413" i="3"/>
  <c r="D1413" i="3"/>
  <c r="B1413" i="3"/>
  <c r="A1413" i="3"/>
  <c r="K1412" i="3"/>
  <c r="I1412" i="3"/>
  <c r="F1412" i="3"/>
  <c r="D1412" i="3"/>
  <c r="B1412" i="3"/>
  <c r="A1412" i="3"/>
  <c r="K1411" i="3"/>
  <c r="I1411" i="3"/>
  <c r="F1411" i="3"/>
  <c r="D1411" i="3"/>
  <c r="B1411" i="3"/>
  <c r="A1411" i="3"/>
  <c r="K1410" i="3"/>
  <c r="I1410" i="3"/>
  <c r="D1410" i="3"/>
  <c r="B1410" i="3"/>
  <c r="A1410" i="3"/>
  <c r="K1409" i="3"/>
  <c r="I1409" i="3"/>
  <c r="F1409" i="3"/>
  <c r="D1409" i="3"/>
  <c r="B1409" i="3"/>
  <c r="A1409" i="3"/>
  <c r="K1408" i="3"/>
  <c r="I1408" i="3"/>
  <c r="F1408" i="3"/>
  <c r="D1408" i="3"/>
  <c r="B1408" i="3"/>
  <c r="A1408" i="3"/>
  <c r="K1407" i="3"/>
  <c r="I1407" i="3"/>
  <c r="F1407" i="3"/>
  <c r="D1407" i="3"/>
  <c r="B1407" i="3"/>
  <c r="A1407" i="3"/>
  <c r="K1406" i="3"/>
  <c r="I1406" i="3"/>
  <c r="F1406" i="3"/>
  <c r="D1406" i="3"/>
  <c r="B1406" i="3"/>
  <c r="A1406" i="3"/>
  <c r="K1405" i="3"/>
  <c r="I1405" i="3"/>
  <c r="F1405" i="3"/>
  <c r="D1405" i="3"/>
  <c r="B1405" i="3"/>
  <c r="A1405" i="3"/>
  <c r="K1404" i="3"/>
  <c r="I1404" i="3"/>
  <c r="F1404" i="3"/>
  <c r="D1404" i="3"/>
  <c r="B1404" i="3"/>
  <c r="A1404" i="3"/>
  <c r="K1403" i="3"/>
  <c r="I1403" i="3"/>
  <c r="F1403" i="3"/>
  <c r="D1403" i="3"/>
  <c r="B1403" i="3"/>
  <c r="A1403" i="3"/>
  <c r="K1402" i="3"/>
  <c r="I1402" i="3"/>
  <c r="F1402" i="3"/>
  <c r="D1402" i="3"/>
  <c r="B1402" i="3"/>
  <c r="A1402" i="3"/>
  <c r="K1401" i="3"/>
  <c r="I1401" i="3"/>
  <c r="F1401" i="3"/>
  <c r="D1401" i="3"/>
  <c r="B1401" i="3"/>
  <c r="A1401" i="3"/>
  <c r="K1400" i="3"/>
  <c r="I1400" i="3"/>
  <c r="F1400" i="3"/>
  <c r="D1400" i="3"/>
  <c r="B1400" i="3"/>
  <c r="A1400" i="3"/>
  <c r="K1399" i="3"/>
  <c r="I1399" i="3"/>
  <c r="F1399" i="3"/>
  <c r="D1399" i="3"/>
  <c r="B1399" i="3"/>
  <c r="A1399" i="3"/>
  <c r="K1398" i="3"/>
  <c r="I1398" i="3"/>
  <c r="F1398" i="3"/>
  <c r="D1398" i="3"/>
  <c r="B1398" i="3"/>
  <c r="A1398" i="3"/>
  <c r="K1397" i="3"/>
  <c r="I1397" i="3"/>
  <c r="F1397" i="3"/>
  <c r="D1397" i="3"/>
  <c r="B1397" i="3"/>
  <c r="A1397" i="3"/>
  <c r="K1396" i="3"/>
  <c r="I1396" i="3"/>
  <c r="F1396" i="3"/>
  <c r="D1396" i="3"/>
  <c r="B1396" i="3"/>
  <c r="A1396" i="3"/>
  <c r="K1395" i="3"/>
  <c r="I1395" i="3"/>
  <c r="F1395" i="3"/>
  <c r="B1395" i="3"/>
  <c r="A1395" i="3"/>
  <c r="K1394" i="3"/>
  <c r="I1394" i="3"/>
  <c r="F1394" i="3"/>
  <c r="D1394" i="3"/>
  <c r="B1394" i="3"/>
  <c r="A1394" i="3"/>
  <c r="K1393" i="3"/>
  <c r="I1393" i="3"/>
  <c r="F1393" i="3"/>
  <c r="D1393" i="3"/>
  <c r="B1393" i="3"/>
  <c r="A1393" i="3"/>
  <c r="K1392" i="3"/>
  <c r="I1392" i="3"/>
  <c r="F1392" i="3"/>
  <c r="D1392" i="3"/>
  <c r="B1392" i="3"/>
  <c r="A1392" i="3"/>
  <c r="K1391" i="3"/>
  <c r="I1391" i="3"/>
  <c r="F1391" i="3"/>
  <c r="B1391" i="3"/>
  <c r="A1391" i="3"/>
  <c r="K1390" i="3"/>
  <c r="I1390" i="3"/>
  <c r="F1390" i="3"/>
  <c r="D1390" i="3"/>
  <c r="B1390" i="3"/>
  <c r="A1390" i="3"/>
  <c r="K1389" i="3"/>
  <c r="I1389" i="3"/>
  <c r="F1389" i="3"/>
  <c r="D1389" i="3"/>
  <c r="B1389" i="3"/>
  <c r="A1389" i="3"/>
  <c r="K1388" i="3"/>
  <c r="I1388" i="3"/>
  <c r="F1388" i="3"/>
  <c r="D1388" i="3"/>
  <c r="B1388" i="3"/>
  <c r="A1388" i="3"/>
  <c r="K1387" i="3"/>
  <c r="I1387" i="3"/>
  <c r="F1387" i="3"/>
  <c r="D1387" i="3"/>
  <c r="B1387" i="3"/>
  <c r="A1387" i="3"/>
  <c r="K1386" i="3"/>
  <c r="I1386" i="3"/>
  <c r="F1386" i="3"/>
  <c r="D1386" i="3"/>
  <c r="B1386" i="3"/>
  <c r="A1386" i="3"/>
  <c r="K1385" i="3"/>
  <c r="I1385" i="3"/>
  <c r="F1385" i="3"/>
  <c r="D1385" i="3"/>
  <c r="B1385" i="3"/>
  <c r="A1385" i="3"/>
  <c r="K1384" i="3"/>
  <c r="I1384" i="3"/>
  <c r="F1384" i="3"/>
  <c r="E1384" i="3"/>
  <c r="D1384" i="3"/>
  <c r="B1384" i="3"/>
  <c r="A1384" i="3"/>
  <c r="K1383" i="3"/>
  <c r="I1383" i="3"/>
  <c r="F1383" i="3"/>
  <c r="D1383" i="3"/>
  <c r="B1383" i="3"/>
  <c r="A1383" i="3"/>
  <c r="K1382" i="3"/>
  <c r="I1382" i="3"/>
  <c r="F1382" i="3"/>
  <c r="D1382" i="3"/>
  <c r="B1382" i="3"/>
  <c r="A1382" i="3"/>
  <c r="K1381" i="3"/>
  <c r="I1381" i="3"/>
  <c r="F1381" i="3"/>
  <c r="D1381" i="3"/>
  <c r="B1381" i="3"/>
  <c r="A1381" i="3"/>
  <c r="K1380" i="3"/>
  <c r="I1380" i="3"/>
  <c r="F1380" i="3"/>
  <c r="D1380" i="3"/>
  <c r="B1380" i="3"/>
  <c r="A1380" i="3"/>
  <c r="K1379" i="3"/>
  <c r="I1379" i="3"/>
  <c r="F1379" i="3"/>
  <c r="D1379" i="3"/>
  <c r="B1379" i="3"/>
  <c r="A1379" i="3"/>
  <c r="K1378" i="3"/>
  <c r="I1378" i="3"/>
  <c r="F1378" i="3"/>
  <c r="D1378" i="3"/>
  <c r="B1378" i="3"/>
  <c r="A1378" i="3"/>
  <c r="K1377" i="3"/>
  <c r="I1377" i="3"/>
  <c r="F1377" i="3"/>
  <c r="D1377" i="3"/>
  <c r="B1377" i="3"/>
  <c r="A1377" i="3"/>
  <c r="K1376" i="3"/>
  <c r="I1376" i="3"/>
  <c r="F1376" i="3"/>
  <c r="D1376" i="3"/>
  <c r="B1376" i="3"/>
  <c r="A1376" i="3"/>
  <c r="K1375" i="3"/>
  <c r="I1375" i="3"/>
  <c r="F1375" i="3"/>
  <c r="D1375" i="3"/>
  <c r="B1375" i="3"/>
  <c r="A1375" i="3"/>
  <c r="K1374" i="3"/>
  <c r="I1374" i="3"/>
  <c r="F1374" i="3"/>
  <c r="D1374" i="3"/>
  <c r="B1374" i="3"/>
  <c r="A1374" i="3"/>
  <c r="K1373" i="3"/>
  <c r="I1373" i="3"/>
  <c r="F1373" i="3"/>
  <c r="D1373" i="3"/>
  <c r="B1373" i="3"/>
  <c r="A1373" i="3"/>
  <c r="K1372" i="3"/>
  <c r="I1372" i="3"/>
  <c r="F1372" i="3"/>
  <c r="D1372" i="3"/>
  <c r="B1372" i="3"/>
  <c r="A1372" i="3"/>
  <c r="K1371" i="3"/>
  <c r="I1371" i="3"/>
  <c r="F1371" i="3"/>
  <c r="D1371" i="3"/>
  <c r="B1371" i="3"/>
  <c r="A1371" i="3"/>
  <c r="K1370" i="3"/>
  <c r="I1370" i="3"/>
  <c r="F1370" i="3"/>
  <c r="D1370" i="3"/>
  <c r="B1370" i="3"/>
  <c r="A1370" i="3"/>
  <c r="K1369" i="3"/>
  <c r="I1369" i="3"/>
  <c r="F1369" i="3"/>
  <c r="D1369" i="3"/>
  <c r="B1369" i="3"/>
  <c r="A1369" i="3"/>
  <c r="K1368" i="3"/>
  <c r="I1368" i="3"/>
  <c r="F1368" i="3"/>
  <c r="D1368" i="3"/>
  <c r="B1368" i="3"/>
  <c r="A1368" i="3"/>
  <c r="K1367" i="3"/>
  <c r="I1367" i="3"/>
  <c r="F1367" i="3"/>
  <c r="D1367" i="3"/>
  <c r="B1367" i="3"/>
  <c r="A1367" i="3"/>
  <c r="K1366" i="3"/>
  <c r="I1366" i="3"/>
  <c r="F1366" i="3"/>
  <c r="D1366" i="3"/>
  <c r="B1366" i="3"/>
  <c r="A1366" i="3"/>
  <c r="K1365" i="3"/>
  <c r="I1365" i="3"/>
  <c r="F1365" i="3"/>
  <c r="D1365" i="3"/>
  <c r="B1365" i="3"/>
  <c r="A1365" i="3"/>
  <c r="K1364" i="3"/>
  <c r="I1364" i="3"/>
  <c r="F1364" i="3"/>
  <c r="D1364" i="3"/>
  <c r="B1364" i="3"/>
  <c r="A1364" i="3"/>
  <c r="K1363" i="3"/>
  <c r="I1363" i="3"/>
  <c r="F1363" i="3"/>
  <c r="D1363" i="3"/>
  <c r="B1363" i="3"/>
  <c r="A1363" i="3"/>
  <c r="K1362" i="3"/>
  <c r="I1362" i="3"/>
  <c r="F1362" i="3"/>
  <c r="D1362" i="3"/>
  <c r="B1362" i="3"/>
  <c r="A1362" i="3"/>
  <c r="K1361" i="3"/>
  <c r="I1361" i="3"/>
  <c r="F1361" i="3"/>
  <c r="D1361" i="3"/>
  <c r="B1361" i="3"/>
  <c r="A1361" i="3"/>
  <c r="K1360" i="3"/>
  <c r="I1360" i="3"/>
  <c r="F1360" i="3"/>
  <c r="D1360" i="3"/>
  <c r="B1360" i="3"/>
  <c r="A1360" i="3"/>
  <c r="K1359" i="3"/>
  <c r="I1359" i="3"/>
  <c r="F1359" i="3"/>
  <c r="D1359" i="3"/>
  <c r="B1359" i="3"/>
  <c r="A1359" i="3"/>
  <c r="K1358" i="3"/>
  <c r="I1358" i="3"/>
  <c r="F1358" i="3"/>
  <c r="D1358" i="3"/>
  <c r="B1358" i="3"/>
  <c r="A1358" i="3"/>
  <c r="K1357" i="3"/>
  <c r="I1357" i="3"/>
  <c r="F1357" i="3"/>
  <c r="D1357" i="3"/>
  <c r="B1357" i="3"/>
  <c r="A1357" i="3"/>
  <c r="K1356" i="3"/>
  <c r="I1356" i="3"/>
  <c r="F1356" i="3"/>
  <c r="D1356" i="3"/>
  <c r="B1356" i="3"/>
  <c r="A1356" i="3"/>
  <c r="K1355" i="3"/>
  <c r="I1355" i="3"/>
  <c r="F1355" i="3"/>
  <c r="E1355" i="3"/>
  <c r="D1355" i="3"/>
  <c r="B1355" i="3"/>
  <c r="A1355" i="3"/>
  <c r="K1354" i="3"/>
  <c r="I1354" i="3"/>
  <c r="F1354" i="3"/>
  <c r="E1354" i="3"/>
  <c r="D1354" i="3"/>
  <c r="B1354" i="3"/>
  <c r="A1354" i="3"/>
  <c r="K1353" i="3"/>
  <c r="I1353" i="3"/>
  <c r="F1353" i="3"/>
  <c r="D1353" i="3"/>
  <c r="B1353" i="3"/>
  <c r="A1353" i="3"/>
  <c r="K1352" i="3"/>
  <c r="I1352" i="3"/>
  <c r="F1352" i="3"/>
  <c r="D1352" i="3"/>
  <c r="B1352" i="3"/>
  <c r="A1352" i="3"/>
  <c r="K1351" i="3"/>
  <c r="I1351" i="3"/>
  <c r="F1351" i="3"/>
  <c r="D1351" i="3"/>
  <c r="B1351" i="3"/>
  <c r="A1351" i="3"/>
  <c r="K1350" i="3"/>
  <c r="I1350" i="3"/>
  <c r="F1350" i="3"/>
  <c r="E1350" i="3"/>
  <c r="D1350" i="3"/>
  <c r="B1350" i="3"/>
  <c r="A1350" i="3"/>
  <c r="K1349" i="3"/>
  <c r="I1349" i="3"/>
  <c r="F1349" i="3"/>
  <c r="D1349" i="3"/>
  <c r="B1349" i="3"/>
  <c r="A1349" i="3"/>
  <c r="K1348" i="3"/>
  <c r="I1348" i="3"/>
  <c r="F1348" i="3"/>
  <c r="D1348" i="3"/>
  <c r="B1348" i="3"/>
  <c r="A1348" i="3"/>
  <c r="K1347" i="3"/>
  <c r="I1347" i="3"/>
  <c r="F1347" i="3"/>
  <c r="D1347" i="3"/>
  <c r="B1347" i="3"/>
  <c r="A1347" i="3"/>
  <c r="K1346" i="3"/>
  <c r="I1346" i="3"/>
  <c r="F1346" i="3"/>
  <c r="D1346" i="3"/>
  <c r="B1346" i="3"/>
  <c r="A1346" i="3"/>
  <c r="K1345" i="3"/>
  <c r="I1345" i="3"/>
  <c r="F1345" i="3"/>
  <c r="D1345" i="3"/>
  <c r="B1345" i="3"/>
  <c r="A1345" i="3"/>
  <c r="K1344" i="3"/>
  <c r="I1344" i="3"/>
  <c r="F1344" i="3"/>
  <c r="D1344" i="3"/>
  <c r="B1344" i="3"/>
  <c r="A1344" i="3"/>
  <c r="K1343" i="3"/>
  <c r="I1343" i="3"/>
  <c r="F1343" i="3"/>
  <c r="D1343" i="3"/>
  <c r="B1343" i="3"/>
  <c r="A1343" i="3"/>
  <c r="K1342" i="3"/>
  <c r="I1342" i="3"/>
  <c r="F1342" i="3"/>
  <c r="D1342" i="3"/>
  <c r="B1342" i="3"/>
  <c r="A1342" i="3"/>
  <c r="K1341" i="3"/>
  <c r="I1341" i="3"/>
  <c r="F1341" i="3"/>
  <c r="B1341" i="3"/>
  <c r="A1341" i="3"/>
  <c r="K1340" i="3"/>
  <c r="I1340" i="3"/>
  <c r="F1340" i="3"/>
  <c r="D1340" i="3"/>
  <c r="B1340" i="3"/>
  <c r="A1340" i="3"/>
  <c r="K1339" i="3"/>
  <c r="I1339" i="3"/>
  <c r="F1339" i="3"/>
  <c r="D1339" i="3"/>
  <c r="B1339" i="3"/>
  <c r="A1339" i="3"/>
  <c r="K1338" i="3"/>
  <c r="I1338" i="3"/>
  <c r="F1338" i="3"/>
  <c r="D1338" i="3"/>
  <c r="B1338" i="3"/>
  <c r="A1338" i="3"/>
  <c r="K1337" i="3"/>
  <c r="I1337" i="3"/>
  <c r="F1337" i="3"/>
  <c r="B1337" i="3"/>
  <c r="A1337" i="3"/>
  <c r="K1336" i="3"/>
  <c r="I1336" i="3"/>
  <c r="F1336" i="3"/>
  <c r="D1336" i="3"/>
  <c r="B1336" i="3"/>
  <c r="A1336" i="3"/>
  <c r="K1335" i="3"/>
  <c r="I1335" i="3"/>
  <c r="F1335" i="3"/>
  <c r="D1335" i="3"/>
  <c r="B1335" i="3"/>
  <c r="A1335" i="3"/>
  <c r="K1334" i="3"/>
  <c r="I1334" i="3"/>
  <c r="F1334" i="3"/>
  <c r="D1334" i="3"/>
  <c r="B1334" i="3"/>
  <c r="A1334" i="3"/>
  <c r="K1333" i="3"/>
  <c r="I1333" i="3"/>
  <c r="F1333" i="3"/>
  <c r="D1333" i="3"/>
  <c r="B1333" i="3"/>
  <c r="A1333" i="3"/>
  <c r="K1332" i="3"/>
  <c r="I1332" i="3"/>
  <c r="F1332" i="3"/>
  <c r="D1332" i="3"/>
  <c r="B1332" i="3"/>
  <c r="A1332" i="3"/>
  <c r="K1331" i="3"/>
  <c r="I1331" i="3"/>
  <c r="F1331" i="3"/>
  <c r="D1331" i="3"/>
  <c r="B1331" i="3"/>
  <c r="A1331" i="3"/>
  <c r="K1330" i="3"/>
  <c r="I1330" i="3"/>
  <c r="F1330" i="3"/>
  <c r="D1330" i="3"/>
  <c r="B1330" i="3"/>
  <c r="A1330" i="3"/>
  <c r="K1329" i="3"/>
  <c r="I1329" i="3"/>
  <c r="F1329" i="3"/>
  <c r="D1329" i="3"/>
  <c r="B1329" i="3"/>
  <c r="A1329" i="3"/>
  <c r="K1328" i="3"/>
  <c r="I1328" i="3"/>
  <c r="F1328" i="3"/>
  <c r="D1328" i="3"/>
  <c r="B1328" i="3"/>
  <c r="A1328" i="3"/>
  <c r="K1327" i="3"/>
  <c r="I1327" i="3"/>
  <c r="F1327" i="3"/>
  <c r="D1327" i="3"/>
  <c r="B1327" i="3"/>
  <c r="A1327" i="3"/>
  <c r="K1326" i="3"/>
  <c r="I1326" i="3"/>
  <c r="F1326" i="3"/>
  <c r="D1326" i="3"/>
  <c r="B1326" i="3"/>
  <c r="A1326" i="3"/>
  <c r="K1325" i="3"/>
  <c r="I1325" i="3"/>
  <c r="F1325" i="3"/>
  <c r="D1325" i="3"/>
  <c r="B1325" i="3"/>
  <c r="A1325" i="3"/>
  <c r="K1324" i="3"/>
  <c r="I1324" i="3"/>
  <c r="F1324" i="3"/>
  <c r="D1324" i="3"/>
  <c r="B1324" i="3"/>
  <c r="A1324" i="3"/>
  <c r="K1323" i="3"/>
  <c r="I1323" i="3"/>
  <c r="F1323" i="3"/>
  <c r="D1323" i="3"/>
  <c r="B1323" i="3"/>
  <c r="A1323" i="3"/>
  <c r="K1322" i="3"/>
  <c r="I1322" i="3"/>
  <c r="F1322" i="3"/>
  <c r="D1322" i="3"/>
  <c r="B1322" i="3"/>
  <c r="A1322" i="3"/>
  <c r="K1321" i="3"/>
  <c r="I1321" i="3"/>
  <c r="F1321" i="3"/>
  <c r="D1321" i="3"/>
  <c r="B1321" i="3"/>
  <c r="A1321" i="3"/>
  <c r="K1320" i="3"/>
  <c r="I1320" i="3"/>
  <c r="F1320" i="3"/>
  <c r="D1320" i="3"/>
  <c r="B1320" i="3"/>
  <c r="A1320" i="3"/>
  <c r="K1319" i="3"/>
  <c r="I1319" i="3"/>
  <c r="F1319" i="3"/>
  <c r="D1319" i="3"/>
  <c r="B1319" i="3"/>
  <c r="A1319" i="3"/>
  <c r="K1318" i="3"/>
  <c r="I1318" i="3"/>
  <c r="F1318" i="3"/>
  <c r="D1318" i="3"/>
  <c r="B1318" i="3"/>
  <c r="A1318" i="3"/>
  <c r="K1317" i="3"/>
  <c r="I1317" i="3"/>
  <c r="F1317" i="3"/>
  <c r="D1317" i="3"/>
  <c r="B1317" i="3"/>
  <c r="A1317" i="3"/>
  <c r="K1316" i="3"/>
  <c r="I1316" i="3"/>
  <c r="F1316" i="3"/>
  <c r="D1316" i="3"/>
  <c r="B1316" i="3"/>
  <c r="A1316" i="3"/>
  <c r="K1315" i="3"/>
  <c r="I1315" i="3"/>
  <c r="F1315" i="3"/>
  <c r="D1315" i="3"/>
  <c r="B1315" i="3"/>
  <c r="A1315" i="3"/>
  <c r="K1314" i="3"/>
  <c r="I1314" i="3"/>
  <c r="F1314" i="3"/>
  <c r="D1314" i="3"/>
  <c r="B1314" i="3"/>
  <c r="A1314" i="3"/>
  <c r="K1313" i="3"/>
  <c r="I1313" i="3"/>
  <c r="F1313" i="3"/>
  <c r="D1313" i="3"/>
  <c r="B1313" i="3"/>
  <c r="A1313" i="3"/>
  <c r="K1312" i="3"/>
  <c r="I1312" i="3"/>
  <c r="F1312" i="3"/>
  <c r="D1312" i="3"/>
  <c r="B1312" i="3"/>
  <c r="A1312" i="3"/>
  <c r="K1311" i="3"/>
  <c r="I1311" i="3"/>
  <c r="F1311" i="3"/>
  <c r="D1311" i="3"/>
  <c r="B1311" i="3"/>
  <c r="A1311" i="3"/>
  <c r="K1310" i="3"/>
  <c r="I1310" i="3"/>
  <c r="F1310" i="3"/>
  <c r="D1310" i="3"/>
  <c r="B1310" i="3"/>
  <c r="A1310" i="3"/>
  <c r="K1309" i="3"/>
  <c r="I1309" i="3"/>
  <c r="F1309" i="3"/>
  <c r="D1309" i="3"/>
  <c r="B1309" i="3"/>
  <c r="A1309" i="3"/>
  <c r="K1308" i="3"/>
  <c r="I1308" i="3"/>
  <c r="F1308" i="3"/>
  <c r="D1308" i="3"/>
  <c r="B1308" i="3"/>
  <c r="A1308" i="3"/>
  <c r="K1307" i="3"/>
  <c r="I1307" i="3"/>
  <c r="F1307" i="3"/>
  <c r="D1307" i="3"/>
  <c r="B1307" i="3"/>
  <c r="A1307" i="3"/>
  <c r="K1306" i="3"/>
  <c r="I1306" i="3"/>
  <c r="F1306" i="3"/>
  <c r="D1306" i="3"/>
  <c r="B1306" i="3"/>
  <c r="A1306" i="3"/>
  <c r="K1305" i="3"/>
  <c r="I1305" i="3"/>
  <c r="F1305" i="3"/>
  <c r="D1305" i="3"/>
  <c r="B1305" i="3"/>
  <c r="A1305" i="3"/>
  <c r="K1304" i="3"/>
  <c r="I1304" i="3"/>
  <c r="F1304" i="3"/>
  <c r="D1304" i="3"/>
  <c r="B1304" i="3"/>
  <c r="A1304" i="3"/>
  <c r="K1303" i="3"/>
  <c r="I1303" i="3"/>
  <c r="F1303" i="3"/>
  <c r="D1303" i="3"/>
  <c r="B1303" i="3"/>
  <c r="A1303" i="3"/>
  <c r="K1302" i="3"/>
  <c r="I1302" i="3"/>
  <c r="F1302" i="3"/>
  <c r="D1302" i="3"/>
  <c r="B1302" i="3"/>
  <c r="A1302" i="3"/>
  <c r="K1301" i="3"/>
  <c r="I1301" i="3"/>
  <c r="F1301" i="3"/>
  <c r="D1301" i="3"/>
  <c r="B1301" i="3"/>
  <c r="A1301" i="3"/>
  <c r="K1300" i="3"/>
  <c r="I1300" i="3"/>
  <c r="F1300" i="3"/>
  <c r="D1300" i="3"/>
  <c r="B1300" i="3"/>
  <c r="A1300" i="3"/>
  <c r="K1299" i="3"/>
  <c r="I1299" i="3"/>
  <c r="F1299" i="3"/>
  <c r="D1299" i="3"/>
  <c r="B1299" i="3"/>
  <c r="A1299" i="3"/>
  <c r="K1298" i="3"/>
  <c r="I1298" i="3"/>
  <c r="F1298" i="3"/>
  <c r="E1298" i="3"/>
  <c r="B1298" i="3"/>
  <c r="A1298" i="3"/>
  <c r="K1297" i="3"/>
  <c r="I1297" i="3"/>
  <c r="F1297" i="3"/>
  <c r="D1297" i="3"/>
  <c r="B1297" i="3"/>
  <c r="A1297" i="3"/>
  <c r="K1296" i="3"/>
  <c r="I1296" i="3"/>
  <c r="F1296" i="3"/>
  <c r="D1296" i="3"/>
  <c r="B1296" i="3"/>
  <c r="A1296" i="3"/>
  <c r="K1295" i="3"/>
  <c r="I1295" i="3"/>
  <c r="F1295" i="3"/>
  <c r="D1295" i="3"/>
  <c r="B1295" i="3"/>
  <c r="A1295" i="3"/>
  <c r="K1294" i="3"/>
  <c r="I1294" i="3"/>
  <c r="F1294" i="3"/>
  <c r="B1294" i="3"/>
  <c r="A1294" i="3"/>
  <c r="K1293" i="3"/>
  <c r="I1293" i="3"/>
  <c r="F1293" i="3"/>
  <c r="D1293" i="3"/>
  <c r="B1293" i="3"/>
  <c r="A1293" i="3"/>
  <c r="K1292" i="3"/>
  <c r="I1292" i="3"/>
  <c r="F1292" i="3"/>
  <c r="E1292" i="3"/>
  <c r="D1292" i="3"/>
  <c r="B1292" i="3"/>
  <c r="A1292" i="3"/>
  <c r="K1291" i="3"/>
  <c r="I1291" i="3"/>
  <c r="F1291" i="3"/>
  <c r="D1291" i="3"/>
  <c r="B1291" i="3"/>
  <c r="A1291" i="3"/>
  <c r="K1290" i="3"/>
  <c r="I1290" i="3"/>
  <c r="F1290" i="3"/>
  <c r="D1290" i="3"/>
  <c r="B1290" i="3"/>
  <c r="A1290" i="3"/>
  <c r="K1289" i="3"/>
  <c r="I1289" i="3"/>
  <c r="F1289" i="3"/>
  <c r="D1289" i="3"/>
  <c r="B1289" i="3"/>
  <c r="A1289" i="3"/>
  <c r="K1288" i="3"/>
  <c r="I1288" i="3"/>
  <c r="F1288" i="3"/>
  <c r="D1288" i="3"/>
  <c r="B1288" i="3"/>
  <c r="A1288" i="3"/>
  <c r="K1287" i="3"/>
  <c r="I1287" i="3"/>
  <c r="F1287" i="3"/>
  <c r="D1287" i="3"/>
  <c r="B1287" i="3"/>
  <c r="A1287" i="3"/>
  <c r="K1286" i="3"/>
  <c r="I1286" i="3"/>
  <c r="F1286" i="3"/>
  <c r="D1286" i="3"/>
  <c r="B1286" i="3"/>
  <c r="A1286" i="3"/>
  <c r="K1285" i="3"/>
  <c r="I1285" i="3"/>
  <c r="F1285" i="3"/>
  <c r="D1285" i="3"/>
  <c r="B1285" i="3"/>
  <c r="A1285" i="3"/>
  <c r="K1284" i="3"/>
  <c r="I1284" i="3"/>
  <c r="F1284" i="3"/>
  <c r="D1284" i="3"/>
  <c r="B1284" i="3"/>
  <c r="A1284" i="3"/>
  <c r="K1283" i="3"/>
  <c r="I1283" i="3"/>
  <c r="F1283" i="3"/>
  <c r="B1283" i="3"/>
  <c r="A1283" i="3"/>
  <c r="K1282" i="3"/>
  <c r="I1282" i="3"/>
  <c r="F1282" i="3"/>
  <c r="D1282" i="3"/>
  <c r="B1282" i="3"/>
  <c r="A1282" i="3"/>
  <c r="K1281" i="3"/>
  <c r="I1281" i="3"/>
  <c r="F1281" i="3"/>
  <c r="D1281" i="3"/>
  <c r="B1281" i="3"/>
  <c r="A1281" i="3"/>
  <c r="K1280" i="3"/>
  <c r="I1280" i="3"/>
  <c r="F1280" i="3"/>
  <c r="D1280" i="3"/>
  <c r="B1280" i="3"/>
  <c r="A1280" i="3"/>
  <c r="K1279" i="3"/>
  <c r="I1279" i="3"/>
  <c r="F1279" i="3"/>
  <c r="D1279" i="3"/>
  <c r="B1279" i="3"/>
  <c r="A1279" i="3"/>
  <c r="K1278" i="3"/>
  <c r="I1278" i="3"/>
  <c r="F1278" i="3"/>
  <c r="D1278" i="3"/>
  <c r="B1278" i="3"/>
  <c r="A1278" i="3"/>
  <c r="K1277" i="3"/>
  <c r="I1277" i="3"/>
  <c r="F1277" i="3"/>
  <c r="D1277" i="3"/>
  <c r="B1277" i="3"/>
  <c r="A1277" i="3"/>
  <c r="K1276" i="3"/>
  <c r="I1276" i="3"/>
  <c r="F1276" i="3"/>
  <c r="D1276" i="3"/>
  <c r="B1276" i="3"/>
  <c r="A1276" i="3"/>
  <c r="K1275" i="3"/>
  <c r="I1275" i="3"/>
  <c r="F1275" i="3"/>
  <c r="D1275" i="3"/>
  <c r="B1275" i="3"/>
  <c r="A1275" i="3"/>
  <c r="K1274" i="3"/>
  <c r="I1274" i="3"/>
  <c r="F1274" i="3"/>
  <c r="D1274" i="3"/>
  <c r="B1274" i="3"/>
  <c r="A1274" i="3"/>
  <c r="K1273" i="3"/>
  <c r="I1273" i="3"/>
  <c r="F1273" i="3"/>
  <c r="D1273" i="3"/>
  <c r="B1273" i="3"/>
  <c r="A1273" i="3"/>
  <c r="K1272" i="3"/>
  <c r="I1272" i="3"/>
  <c r="F1272" i="3"/>
  <c r="D1272" i="3"/>
  <c r="B1272" i="3"/>
  <c r="A1272" i="3"/>
  <c r="K1271" i="3"/>
  <c r="I1271" i="3"/>
  <c r="F1271" i="3"/>
  <c r="D1271" i="3"/>
  <c r="B1271" i="3"/>
  <c r="A1271" i="3"/>
  <c r="K1270" i="3"/>
  <c r="I1270" i="3"/>
  <c r="F1270" i="3"/>
  <c r="D1270" i="3"/>
  <c r="B1270" i="3"/>
  <c r="A1270" i="3"/>
  <c r="K1269" i="3"/>
  <c r="I1269" i="3"/>
  <c r="F1269" i="3"/>
  <c r="D1269" i="3"/>
  <c r="B1269" i="3"/>
  <c r="A1269" i="3"/>
  <c r="K1268" i="3"/>
  <c r="I1268" i="3"/>
  <c r="F1268" i="3"/>
  <c r="D1268" i="3"/>
  <c r="B1268" i="3"/>
  <c r="A1268" i="3"/>
  <c r="K1267" i="3"/>
  <c r="I1267" i="3"/>
  <c r="F1267" i="3"/>
  <c r="B1267" i="3"/>
  <c r="A1267" i="3"/>
  <c r="K1266" i="3"/>
  <c r="I1266" i="3"/>
  <c r="F1266" i="3"/>
  <c r="D1266" i="3"/>
  <c r="B1266" i="3"/>
  <c r="A1266" i="3"/>
  <c r="K1265" i="3"/>
  <c r="I1265" i="3"/>
  <c r="F1265" i="3"/>
  <c r="D1265" i="3"/>
  <c r="B1265" i="3"/>
  <c r="A1265" i="3"/>
  <c r="K1264" i="3"/>
  <c r="I1264" i="3"/>
  <c r="F1264" i="3"/>
  <c r="D1264" i="3"/>
  <c r="B1264" i="3"/>
  <c r="A1264" i="3"/>
  <c r="K1263" i="3"/>
  <c r="I1263" i="3"/>
  <c r="F1263" i="3"/>
  <c r="D1263" i="3"/>
  <c r="B1263" i="3"/>
  <c r="A1263" i="3"/>
  <c r="K1262" i="3"/>
  <c r="I1262" i="3"/>
  <c r="F1262" i="3"/>
  <c r="D1262" i="3"/>
  <c r="B1262" i="3"/>
  <c r="A1262" i="3"/>
  <c r="K1261" i="3"/>
  <c r="I1261" i="3"/>
  <c r="F1261" i="3"/>
  <c r="D1261" i="3"/>
  <c r="B1261" i="3"/>
  <c r="A1261" i="3"/>
  <c r="K1260" i="3"/>
  <c r="I1260" i="3"/>
  <c r="F1260" i="3"/>
  <c r="D1260" i="3"/>
  <c r="B1260" i="3"/>
  <c r="A1260" i="3"/>
  <c r="K1259" i="3"/>
  <c r="I1259" i="3"/>
  <c r="F1259" i="3"/>
  <c r="D1259" i="3"/>
  <c r="B1259" i="3"/>
  <c r="A1259" i="3"/>
  <c r="K1258" i="3"/>
  <c r="I1258" i="3"/>
  <c r="F1258" i="3"/>
  <c r="D1258" i="3"/>
  <c r="B1258" i="3"/>
  <c r="A1258" i="3"/>
  <c r="K1257" i="3"/>
  <c r="I1257" i="3"/>
  <c r="F1257" i="3"/>
  <c r="E1257" i="3"/>
  <c r="D1257" i="3"/>
  <c r="B1257" i="3"/>
  <c r="A1257" i="3"/>
  <c r="K1256" i="3"/>
  <c r="I1256" i="3"/>
  <c r="F1256" i="3"/>
  <c r="D1256" i="3"/>
  <c r="B1256" i="3"/>
  <c r="A1256" i="3"/>
  <c r="K1255" i="3"/>
  <c r="I1255" i="3"/>
  <c r="F1255" i="3"/>
  <c r="B1255" i="3"/>
  <c r="A1255" i="3"/>
  <c r="K1254" i="3"/>
  <c r="I1254" i="3"/>
  <c r="F1254" i="3"/>
  <c r="D1254" i="3"/>
  <c r="B1254" i="3"/>
  <c r="A1254" i="3"/>
  <c r="K1253" i="3"/>
  <c r="I1253" i="3"/>
  <c r="F1253" i="3"/>
  <c r="D1253" i="3"/>
  <c r="B1253" i="3"/>
  <c r="A1253" i="3"/>
  <c r="K1252" i="3"/>
  <c r="I1252" i="3"/>
  <c r="F1252" i="3"/>
  <c r="D1252" i="3"/>
  <c r="B1252" i="3"/>
  <c r="A1252" i="3"/>
  <c r="K1251" i="3"/>
  <c r="I1251" i="3"/>
  <c r="F1251" i="3"/>
  <c r="D1251" i="3"/>
  <c r="B1251" i="3"/>
  <c r="A1251" i="3"/>
  <c r="K1250" i="3"/>
  <c r="I1250" i="3"/>
  <c r="F1250" i="3"/>
  <c r="D1250" i="3"/>
  <c r="B1250" i="3"/>
  <c r="A1250" i="3"/>
  <c r="K1249" i="3"/>
  <c r="I1249" i="3"/>
  <c r="F1249" i="3"/>
  <c r="D1249" i="3"/>
  <c r="B1249" i="3"/>
  <c r="A1249" i="3"/>
  <c r="K1248" i="3"/>
  <c r="I1248" i="3"/>
  <c r="F1248" i="3"/>
  <c r="D1248" i="3"/>
  <c r="B1248" i="3"/>
  <c r="A1248" i="3"/>
  <c r="K1247" i="3"/>
  <c r="I1247" i="3"/>
  <c r="F1247" i="3"/>
  <c r="D1247" i="3"/>
  <c r="B1247" i="3"/>
  <c r="A1247" i="3"/>
  <c r="K1246" i="3"/>
  <c r="I1246" i="3"/>
  <c r="F1246" i="3"/>
  <c r="D1246" i="3"/>
  <c r="B1246" i="3"/>
  <c r="A1246" i="3"/>
  <c r="K1245" i="3"/>
  <c r="I1245" i="3"/>
  <c r="F1245" i="3"/>
  <c r="D1245" i="3"/>
  <c r="B1245" i="3"/>
  <c r="A1245" i="3"/>
  <c r="K1244" i="3"/>
  <c r="I1244" i="3"/>
  <c r="F1244" i="3"/>
  <c r="D1244" i="3"/>
  <c r="B1244" i="3"/>
  <c r="A1244" i="3"/>
  <c r="K1243" i="3"/>
  <c r="I1243" i="3"/>
  <c r="F1243" i="3"/>
  <c r="D1243" i="3"/>
  <c r="B1243" i="3"/>
  <c r="A1243" i="3"/>
  <c r="K1242" i="3"/>
  <c r="I1242" i="3"/>
  <c r="F1242" i="3"/>
  <c r="D1242" i="3"/>
  <c r="B1242" i="3"/>
  <c r="A1242" i="3"/>
  <c r="K1241" i="3"/>
  <c r="I1241" i="3"/>
  <c r="F1241" i="3"/>
  <c r="D1241" i="3"/>
  <c r="B1241" i="3"/>
  <c r="A1241" i="3"/>
  <c r="K1240" i="3"/>
  <c r="I1240" i="3"/>
  <c r="F1240" i="3"/>
  <c r="D1240" i="3"/>
  <c r="B1240" i="3"/>
  <c r="A1240" i="3"/>
  <c r="K1239" i="3"/>
  <c r="I1239" i="3"/>
  <c r="F1239" i="3"/>
  <c r="D1239" i="3"/>
  <c r="B1239" i="3"/>
  <c r="A1239" i="3"/>
  <c r="K1238" i="3"/>
  <c r="I1238" i="3"/>
  <c r="F1238" i="3"/>
  <c r="D1238" i="3"/>
  <c r="B1238" i="3"/>
  <c r="A1238" i="3"/>
  <c r="K1237" i="3"/>
  <c r="I1237" i="3"/>
  <c r="F1237" i="3"/>
  <c r="D1237" i="3"/>
  <c r="B1237" i="3"/>
  <c r="A1237" i="3"/>
  <c r="K1236" i="3"/>
  <c r="I1236" i="3"/>
  <c r="F1236" i="3"/>
  <c r="D1236" i="3"/>
  <c r="B1236" i="3"/>
  <c r="A1236" i="3"/>
  <c r="K1235" i="3"/>
  <c r="I1235" i="3"/>
  <c r="F1235" i="3"/>
  <c r="D1235" i="3"/>
  <c r="B1235" i="3"/>
  <c r="A1235" i="3"/>
  <c r="K1234" i="3"/>
  <c r="I1234" i="3"/>
  <c r="F1234" i="3"/>
  <c r="D1234" i="3"/>
  <c r="B1234" i="3"/>
  <c r="A1234" i="3"/>
  <c r="K1233" i="3"/>
  <c r="I1233" i="3"/>
  <c r="F1233" i="3"/>
  <c r="D1233" i="3"/>
  <c r="B1233" i="3"/>
  <c r="A1233" i="3"/>
  <c r="K1232" i="3"/>
  <c r="I1232" i="3"/>
  <c r="F1232" i="3"/>
  <c r="D1232" i="3"/>
  <c r="B1232" i="3"/>
  <c r="A1232" i="3"/>
  <c r="K1231" i="3"/>
  <c r="I1231" i="3"/>
  <c r="F1231" i="3"/>
  <c r="D1231" i="3"/>
  <c r="B1231" i="3"/>
  <c r="A1231" i="3"/>
  <c r="K1230" i="3"/>
  <c r="I1230" i="3"/>
  <c r="F1230" i="3"/>
  <c r="D1230" i="3"/>
  <c r="B1230" i="3"/>
  <c r="A1230" i="3"/>
  <c r="K1229" i="3"/>
  <c r="I1229" i="3"/>
  <c r="F1229" i="3"/>
  <c r="D1229" i="3"/>
  <c r="B1229" i="3"/>
  <c r="A1229" i="3"/>
  <c r="K1228" i="3"/>
  <c r="I1228" i="3"/>
  <c r="F1228" i="3"/>
  <c r="D1228" i="3"/>
  <c r="B1228" i="3"/>
  <c r="A1228" i="3"/>
  <c r="K1227" i="3"/>
  <c r="I1227" i="3"/>
  <c r="F1227" i="3"/>
  <c r="D1227" i="3"/>
  <c r="B1227" i="3"/>
  <c r="A1227" i="3"/>
  <c r="K1226" i="3"/>
  <c r="I1226" i="3"/>
  <c r="F1226" i="3"/>
  <c r="D1226" i="3"/>
  <c r="B1226" i="3"/>
  <c r="A1226" i="3"/>
  <c r="K1225" i="3"/>
  <c r="I1225" i="3"/>
  <c r="F1225" i="3"/>
  <c r="B1225" i="3"/>
  <c r="A1225" i="3"/>
  <c r="K1224" i="3"/>
  <c r="I1224" i="3"/>
  <c r="F1224" i="3"/>
  <c r="D1224" i="3"/>
  <c r="B1224" i="3"/>
  <c r="A1224" i="3"/>
  <c r="K1223" i="3"/>
  <c r="I1223" i="3"/>
  <c r="F1223" i="3"/>
  <c r="D1223" i="3"/>
  <c r="B1223" i="3"/>
  <c r="A1223" i="3"/>
  <c r="K1222" i="3"/>
  <c r="I1222" i="3"/>
  <c r="F1222" i="3"/>
  <c r="D1222" i="3"/>
  <c r="B1222" i="3"/>
  <c r="A1222" i="3"/>
  <c r="K1221" i="3"/>
  <c r="I1221" i="3"/>
  <c r="F1221" i="3"/>
  <c r="D1221" i="3"/>
  <c r="B1221" i="3"/>
  <c r="A1221" i="3"/>
  <c r="K1220" i="3"/>
  <c r="I1220" i="3"/>
  <c r="F1220" i="3"/>
  <c r="D1220" i="3"/>
  <c r="B1220" i="3"/>
  <c r="A1220" i="3"/>
  <c r="K1219" i="3"/>
  <c r="I1219" i="3"/>
  <c r="F1219" i="3"/>
  <c r="D1219" i="3"/>
  <c r="B1219" i="3"/>
  <c r="A1219" i="3"/>
  <c r="K1218" i="3"/>
  <c r="I1218" i="3"/>
  <c r="F1218" i="3"/>
  <c r="D1218" i="3"/>
  <c r="B1218" i="3"/>
  <c r="A1218" i="3"/>
  <c r="K1217" i="3"/>
  <c r="I1217" i="3"/>
  <c r="F1217" i="3"/>
  <c r="D1217" i="3"/>
  <c r="B1217" i="3"/>
  <c r="A1217" i="3"/>
  <c r="K1216" i="3"/>
  <c r="I1216" i="3"/>
  <c r="F1216" i="3"/>
  <c r="D1216" i="3"/>
  <c r="B1216" i="3"/>
  <c r="A1216" i="3"/>
  <c r="K1215" i="3"/>
  <c r="I1215" i="3"/>
  <c r="F1215" i="3"/>
  <c r="D1215" i="3"/>
  <c r="B1215" i="3"/>
  <c r="A1215" i="3"/>
  <c r="K1214" i="3"/>
  <c r="I1214" i="3"/>
  <c r="F1214" i="3"/>
  <c r="D1214" i="3"/>
  <c r="B1214" i="3"/>
  <c r="A1214" i="3"/>
  <c r="K1213" i="3"/>
  <c r="I1213" i="3"/>
  <c r="F1213" i="3"/>
  <c r="D1213" i="3"/>
  <c r="B1213" i="3"/>
  <c r="A1213" i="3"/>
  <c r="K1212" i="3"/>
  <c r="I1212" i="3"/>
  <c r="F1212" i="3"/>
  <c r="D1212" i="3"/>
  <c r="B1212" i="3"/>
  <c r="A1212" i="3"/>
  <c r="K1211" i="3"/>
  <c r="I1211" i="3"/>
  <c r="F1211" i="3"/>
  <c r="D1211" i="3"/>
  <c r="B1211" i="3"/>
  <c r="A1211" i="3"/>
  <c r="K1210" i="3"/>
  <c r="I1210" i="3"/>
  <c r="F1210" i="3"/>
  <c r="D1210" i="3"/>
  <c r="B1210" i="3"/>
  <c r="A1210" i="3"/>
  <c r="K1209" i="3"/>
  <c r="I1209" i="3"/>
  <c r="F1209" i="3"/>
  <c r="D1209" i="3"/>
  <c r="B1209" i="3"/>
  <c r="A1209" i="3"/>
  <c r="K1208" i="3"/>
  <c r="I1208" i="3"/>
  <c r="D1208" i="3"/>
  <c r="B1208" i="3"/>
  <c r="A1208" i="3"/>
  <c r="K1207" i="3"/>
  <c r="I1207" i="3"/>
  <c r="F1207" i="3"/>
  <c r="D1207" i="3"/>
  <c r="B1207" i="3"/>
  <c r="A1207" i="3"/>
  <c r="K1206" i="3"/>
  <c r="I1206" i="3"/>
  <c r="F1206" i="3"/>
  <c r="D1206" i="3"/>
  <c r="B1206" i="3"/>
  <c r="A1206" i="3"/>
  <c r="K1205" i="3"/>
  <c r="I1205" i="3"/>
  <c r="F1205" i="3"/>
  <c r="D1205" i="3"/>
  <c r="B1205" i="3"/>
  <c r="A1205" i="3"/>
  <c r="K1204" i="3"/>
  <c r="I1204" i="3"/>
  <c r="F1204" i="3"/>
  <c r="D1204" i="3"/>
  <c r="B1204" i="3"/>
  <c r="A1204" i="3"/>
  <c r="K1203" i="3"/>
  <c r="I1203" i="3"/>
  <c r="F1203" i="3"/>
  <c r="D1203" i="3"/>
  <c r="B1203" i="3"/>
  <c r="A1203" i="3"/>
  <c r="K1202" i="3"/>
  <c r="I1202" i="3"/>
  <c r="F1202" i="3"/>
  <c r="D1202" i="3"/>
  <c r="B1202" i="3"/>
  <c r="A1202" i="3"/>
  <c r="K1201" i="3"/>
  <c r="I1201" i="3"/>
  <c r="F1201" i="3"/>
  <c r="D1201" i="3"/>
  <c r="B1201" i="3"/>
  <c r="A1201" i="3"/>
  <c r="K1200" i="3"/>
  <c r="I1200" i="3"/>
  <c r="F1200" i="3"/>
  <c r="D1200" i="3"/>
  <c r="B1200" i="3"/>
  <c r="A1200" i="3"/>
  <c r="K1199" i="3"/>
  <c r="I1199" i="3"/>
  <c r="F1199" i="3"/>
  <c r="D1199" i="3"/>
  <c r="B1199" i="3"/>
  <c r="A1199" i="3"/>
  <c r="K1198" i="3"/>
  <c r="I1198" i="3"/>
  <c r="F1198" i="3"/>
  <c r="D1198" i="3"/>
  <c r="B1198" i="3"/>
  <c r="A1198" i="3"/>
  <c r="K1197" i="3"/>
  <c r="I1197" i="3"/>
  <c r="F1197" i="3"/>
  <c r="D1197" i="3"/>
  <c r="B1197" i="3"/>
  <c r="A1197" i="3"/>
  <c r="K1196" i="3"/>
  <c r="I1196" i="3"/>
  <c r="F1196" i="3"/>
  <c r="D1196" i="3"/>
  <c r="B1196" i="3"/>
  <c r="A1196" i="3"/>
  <c r="K1195" i="3"/>
  <c r="I1195" i="3"/>
  <c r="F1195" i="3"/>
  <c r="D1195" i="3"/>
  <c r="B1195" i="3"/>
  <c r="A1195" i="3"/>
  <c r="K1194" i="3"/>
  <c r="I1194" i="3"/>
  <c r="F1194" i="3"/>
  <c r="D1194" i="3"/>
  <c r="B1194" i="3"/>
  <c r="A1194" i="3"/>
  <c r="K1193" i="3"/>
  <c r="I1193" i="3"/>
  <c r="F1193" i="3"/>
  <c r="D1193" i="3"/>
  <c r="B1193" i="3"/>
  <c r="A1193" i="3"/>
  <c r="K1192" i="3"/>
  <c r="I1192" i="3"/>
  <c r="F1192" i="3"/>
  <c r="D1192" i="3"/>
  <c r="B1192" i="3"/>
  <c r="A1192" i="3"/>
  <c r="K1191" i="3"/>
  <c r="I1191" i="3"/>
  <c r="F1191" i="3"/>
  <c r="D1191" i="3"/>
  <c r="B1191" i="3"/>
  <c r="A1191" i="3"/>
  <c r="K1190" i="3"/>
  <c r="I1190" i="3"/>
  <c r="F1190" i="3"/>
  <c r="D1190" i="3"/>
  <c r="B1190" i="3"/>
  <c r="A1190" i="3"/>
  <c r="K1189" i="3"/>
  <c r="I1189" i="3"/>
  <c r="F1189" i="3"/>
  <c r="D1189" i="3"/>
  <c r="B1189" i="3"/>
  <c r="A1189" i="3"/>
  <c r="K1188" i="3"/>
  <c r="I1188" i="3"/>
  <c r="D1188" i="3"/>
  <c r="B1188" i="3"/>
  <c r="A1188" i="3"/>
  <c r="K1187" i="3"/>
  <c r="I1187" i="3"/>
  <c r="F1187" i="3"/>
  <c r="D1187" i="3"/>
  <c r="B1187" i="3"/>
  <c r="A1187" i="3"/>
  <c r="K1186" i="3"/>
  <c r="I1186" i="3"/>
  <c r="F1186" i="3"/>
  <c r="D1186" i="3"/>
  <c r="B1186" i="3"/>
  <c r="A1186" i="3"/>
  <c r="K1185" i="3"/>
  <c r="I1185" i="3"/>
  <c r="F1185" i="3"/>
  <c r="D1185" i="3"/>
  <c r="B1185" i="3"/>
  <c r="A1185" i="3"/>
  <c r="K1184" i="3"/>
  <c r="I1184" i="3"/>
  <c r="F1184" i="3"/>
  <c r="D1184" i="3"/>
  <c r="B1184" i="3"/>
  <c r="A1184" i="3"/>
  <c r="K1183" i="3"/>
  <c r="I1183" i="3"/>
  <c r="F1183" i="3"/>
  <c r="D1183" i="3"/>
  <c r="B1183" i="3"/>
  <c r="A1183" i="3"/>
  <c r="K1182" i="3"/>
  <c r="I1182" i="3"/>
  <c r="F1182" i="3"/>
  <c r="D1182" i="3"/>
  <c r="B1182" i="3"/>
  <c r="A1182" i="3"/>
  <c r="K1181" i="3"/>
  <c r="I1181" i="3"/>
  <c r="F1181" i="3"/>
  <c r="D1181" i="3"/>
  <c r="B1181" i="3"/>
  <c r="A1181" i="3"/>
  <c r="K1180" i="3"/>
  <c r="I1180" i="3"/>
  <c r="F1180" i="3"/>
  <c r="D1180" i="3"/>
  <c r="B1180" i="3"/>
  <c r="A1180" i="3"/>
  <c r="K1179" i="3"/>
  <c r="I1179" i="3"/>
  <c r="F1179" i="3"/>
  <c r="D1179" i="3"/>
  <c r="B1179" i="3"/>
  <c r="A1179" i="3"/>
  <c r="K1178" i="3"/>
  <c r="I1178" i="3"/>
  <c r="F1178" i="3"/>
  <c r="D1178" i="3"/>
  <c r="B1178" i="3"/>
  <c r="A1178" i="3"/>
  <c r="K1177" i="3"/>
  <c r="I1177" i="3"/>
  <c r="F1177" i="3"/>
  <c r="D1177" i="3"/>
  <c r="B1177" i="3"/>
  <c r="A1177" i="3"/>
  <c r="K1176" i="3"/>
  <c r="I1176" i="3"/>
  <c r="F1176" i="3"/>
  <c r="D1176" i="3"/>
  <c r="B1176" i="3"/>
  <c r="A1176" i="3"/>
  <c r="K1175" i="3"/>
  <c r="I1175" i="3"/>
  <c r="F1175" i="3"/>
  <c r="D1175" i="3"/>
  <c r="B1175" i="3"/>
  <c r="A1175" i="3"/>
  <c r="K1174" i="3"/>
  <c r="I1174" i="3"/>
  <c r="F1174" i="3"/>
  <c r="D1174" i="3"/>
  <c r="B1174" i="3"/>
  <c r="A1174" i="3"/>
  <c r="K1173" i="3"/>
  <c r="I1173" i="3"/>
  <c r="F1173" i="3"/>
  <c r="D1173" i="3"/>
  <c r="B1173" i="3"/>
  <c r="A1173" i="3"/>
  <c r="K1172" i="3"/>
  <c r="I1172" i="3"/>
  <c r="F1172" i="3"/>
  <c r="D1172" i="3"/>
  <c r="B1172" i="3"/>
  <c r="A1172" i="3"/>
  <c r="K1171" i="3"/>
  <c r="I1171" i="3"/>
  <c r="F1171" i="3"/>
  <c r="D1171" i="3"/>
  <c r="B1171" i="3"/>
  <c r="A1171" i="3"/>
  <c r="K1170" i="3"/>
  <c r="I1170" i="3"/>
  <c r="F1170" i="3"/>
  <c r="D1170" i="3"/>
  <c r="B1170" i="3"/>
  <c r="A1170" i="3"/>
  <c r="K1169" i="3"/>
  <c r="I1169" i="3"/>
  <c r="F1169" i="3"/>
  <c r="D1169" i="3"/>
  <c r="B1169" i="3"/>
  <c r="A1169" i="3"/>
  <c r="K1168" i="3"/>
  <c r="I1168" i="3"/>
  <c r="F1168" i="3"/>
  <c r="D1168" i="3"/>
  <c r="B1168" i="3"/>
  <c r="A1168" i="3"/>
  <c r="K1167" i="3"/>
  <c r="I1167" i="3"/>
  <c r="F1167" i="3"/>
  <c r="D1167" i="3"/>
  <c r="B1167" i="3"/>
  <c r="A1167" i="3"/>
  <c r="K1166" i="3"/>
  <c r="I1166" i="3"/>
  <c r="F1166" i="3"/>
  <c r="B1166" i="3"/>
  <c r="A1166" i="3"/>
  <c r="K1165" i="3"/>
  <c r="I1165" i="3"/>
  <c r="F1165" i="3"/>
  <c r="B1165" i="3"/>
  <c r="A1165" i="3"/>
  <c r="K1164" i="3"/>
  <c r="I1164" i="3"/>
  <c r="F1164" i="3"/>
  <c r="D1164" i="3"/>
  <c r="B1164" i="3"/>
  <c r="A1164" i="3"/>
  <c r="K1163" i="3"/>
  <c r="I1163" i="3"/>
  <c r="F1163" i="3"/>
  <c r="D1163" i="3"/>
  <c r="B1163" i="3"/>
  <c r="A1163" i="3"/>
  <c r="K1162" i="3"/>
  <c r="I1162" i="3"/>
  <c r="F1162" i="3"/>
  <c r="D1162" i="3"/>
  <c r="B1162" i="3"/>
  <c r="A1162" i="3"/>
  <c r="K1161" i="3"/>
  <c r="I1161" i="3"/>
  <c r="F1161" i="3"/>
  <c r="D1161" i="3"/>
  <c r="B1161" i="3"/>
  <c r="A1161" i="3"/>
  <c r="K1160" i="3"/>
  <c r="I1160" i="3"/>
  <c r="F1160" i="3"/>
  <c r="D1160" i="3"/>
  <c r="B1160" i="3"/>
  <c r="A1160" i="3"/>
  <c r="K1159" i="3"/>
  <c r="I1159" i="3"/>
  <c r="F1159" i="3"/>
  <c r="D1159" i="3"/>
  <c r="B1159" i="3"/>
  <c r="A1159" i="3"/>
  <c r="K1158" i="3"/>
  <c r="I1158" i="3"/>
  <c r="F1158" i="3"/>
  <c r="D1158" i="3"/>
  <c r="B1158" i="3"/>
  <c r="A1158" i="3"/>
  <c r="K1157" i="3"/>
  <c r="I1157" i="3"/>
  <c r="F1157" i="3"/>
  <c r="D1157" i="3"/>
  <c r="B1157" i="3"/>
  <c r="A1157" i="3"/>
  <c r="K1156" i="3"/>
  <c r="I1156" i="3"/>
  <c r="F1156" i="3"/>
  <c r="D1156" i="3"/>
  <c r="B1156" i="3"/>
  <c r="A1156" i="3"/>
  <c r="K1155" i="3"/>
  <c r="I1155" i="3"/>
  <c r="F1155" i="3"/>
  <c r="D1155" i="3"/>
  <c r="B1155" i="3"/>
  <c r="A1155" i="3"/>
  <c r="K1154" i="3"/>
  <c r="I1154" i="3"/>
  <c r="F1154" i="3"/>
  <c r="D1154" i="3"/>
  <c r="B1154" i="3"/>
  <c r="A1154" i="3"/>
  <c r="K1153" i="3"/>
  <c r="I1153" i="3"/>
  <c r="F1153" i="3"/>
  <c r="D1153" i="3"/>
  <c r="B1153" i="3"/>
  <c r="A1153" i="3"/>
  <c r="K1152" i="3"/>
  <c r="I1152" i="3"/>
  <c r="F1152" i="3"/>
  <c r="D1152" i="3"/>
  <c r="B1152" i="3"/>
  <c r="A1152" i="3"/>
  <c r="K1151" i="3"/>
  <c r="I1151" i="3"/>
  <c r="F1151" i="3"/>
  <c r="D1151" i="3"/>
  <c r="B1151" i="3"/>
  <c r="A1151" i="3"/>
  <c r="K1150" i="3"/>
  <c r="I1150" i="3"/>
  <c r="F1150" i="3"/>
  <c r="D1150" i="3"/>
  <c r="B1150" i="3"/>
  <c r="A1150" i="3"/>
  <c r="K1149" i="3"/>
  <c r="I1149" i="3"/>
  <c r="F1149" i="3"/>
  <c r="D1149" i="3"/>
  <c r="B1149" i="3"/>
  <c r="A1149" i="3"/>
  <c r="K1148" i="3"/>
  <c r="I1148" i="3"/>
  <c r="F1148" i="3"/>
  <c r="D1148" i="3"/>
  <c r="B1148" i="3"/>
  <c r="A1148" i="3"/>
  <c r="K1147" i="3"/>
  <c r="I1147" i="3"/>
  <c r="F1147" i="3"/>
  <c r="D1147" i="3"/>
  <c r="B1147" i="3"/>
  <c r="A1147" i="3"/>
  <c r="K1146" i="3"/>
  <c r="I1146" i="3"/>
  <c r="F1146" i="3"/>
  <c r="D1146" i="3"/>
  <c r="B1146" i="3"/>
  <c r="A1146" i="3"/>
  <c r="K1145" i="3"/>
  <c r="I1145" i="3"/>
  <c r="F1145" i="3"/>
  <c r="D1145" i="3"/>
  <c r="B1145" i="3"/>
  <c r="A1145" i="3"/>
  <c r="K1144" i="3"/>
  <c r="I1144" i="3"/>
  <c r="F1144" i="3"/>
  <c r="E1144" i="3"/>
  <c r="D1144" i="3"/>
  <c r="B1144" i="3"/>
  <c r="A1144" i="3"/>
  <c r="K1143" i="3"/>
  <c r="I1143" i="3"/>
  <c r="F1143" i="3"/>
  <c r="D1143" i="3"/>
  <c r="B1143" i="3"/>
  <c r="A1143" i="3"/>
  <c r="K1142" i="3"/>
  <c r="I1142" i="3"/>
  <c r="F1142" i="3"/>
  <c r="D1142" i="3"/>
  <c r="B1142" i="3"/>
  <c r="A1142" i="3"/>
  <c r="K1141" i="3"/>
  <c r="I1141" i="3"/>
  <c r="F1141" i="3"/>
  <c r="D1141" i="3"/>
  <c r="B1141" i="3"/>
  <c r="A1141" i="3"/>
  <c r="K1140" i="3"/>
  <c r="I1140" i="3"/>
  <c r="F1140" i="3"/>
  <c r="D1140" i="3"/>
  <c r="B1140" i="3"/>
  <c r="A1140" i="3"/>
  <c r="K1139" i="3"/>
  <c r="I1139" i="3"/>
  <c r="F1139" i="3"/>
  <c r="D1139" i="3"/>
  <c r="B1139" i="3"/>
  <c r="A1139" i="3"/>
  <c r="K1138" i="3"/>
  <c r="I1138" i="3"/>
  <c r="F1138" i="3"/>
  <c r="D1138" i="3"/>
  <c r="B1138" i="3"/>
  <c r="A1138" i="3"/>
  <c r="K1137" i="3"/>
  <c r="I1137" i="3"/>
  <c r="F1137" i="3"/>
  <c r="D1137" i="3"/>
  <c r="B1137" i="3"/>
  <c r="A1137" i="3"/>
  <c r="K1136" i="3"/>
  <c r="I1136" i="3"/>
  <c r="F1136" i="3"/>
  <c r="D1136" i="3"/>
  <c r="B1136" i="3"/>
  <c r="A1136" i="3"/>
  <c r="K1135" i="3"/>
  <c r="I1135" i="3"/>
  <c r="F1135" i="3"/>
  <c r="D1135" i="3"/>
  <c r="B1135" i="3"/>
  <c r="A1135" i="3"/>
  <c r="K1134" i="3"/>
  <c r="I1134" i="3"/>
  <c r="F1134" i="3"/>
  <c r="D1134" i="3"/>
  <c r="B1134" i="3"/>
  <c r="A1134" i="3"/>
  <c r="K1133" i="3"/>
  <c r="I1133" i="3"/>
  <c r="F1133" i="3"/>
  <c r="D1133" i="3"/>
  <c r="B1133" i="3"/>
  <c r="A1133" i="3"/>
  <c r="K1132" i="3"/>
  <c r="I1132" i="3"/>
  <c r="F1132" i="3"/>
  <c r="B1132" i="3"/>
  <c r="A1132" i="3"/>
  <c r="K1131" i="3"/>
  <c r="I1131" i="3"/>
  <c r="F1131" i="3"/>
  <c r="E1131" i="3"/>
  <c r="B1131" i="3"/>
  <c r="A1131" i="3"/>
  <c r="K1130" i="3"/>
  <c r="I1130" i="3"/>
  <c r="F1130" i="3"/>
  <c r="D1130" i="3"/>
  <c r="B1130" i="3"/>
  <c r="A1130" i="3"/>
  <c r="K1129" i="3"/>
  <c r="I1129" i="3"/>
  <c r="F1129" i="3"/>
  <c r="D1129" i="3"/>
  <c r="B1129" i="3"/>
  <c r="A1129" i="3"/>
  <c r="K1128" i="3"/>
  <c r="I1128" i="3"/>
  <c r="F1128" i="3"/>
  <c r="D1128" i="3"/>
  <c r="B1128" i="3"/>
  <c r="A1128" i="3"/>
  <c r="K1127" i="3"/>
  <c r="I1127" i="3"/>
  <c r="F1127" i="3"/>
  <c r="D1127" i="3"/>
  <c r="B1127" i="3"/>
  <c r="A1127" i="3"/>
  <c r="K1126" i="3"/>
  <c r="I1126" i="3"/>
  <c r="F1126" i="3"/>
  <c r="D1126" i="3"/>
  <c r="B1126" i="3"/>
  <c r="A1126" i="3"/>
  <c r="K1125" i="3"/>
  <c r="I1125" i="3"/>
  <c r="F1125" i="3"/>
  <c r="D1125" i="3"/>
  <c r="B1125" i="3"/>
  <c r="A1125" i="3"/>
  <c r="K1124" i="3"/>
  <c r="I1124" i="3"/>
  <c r="F1124" i="3"/>
  <c r="D1124" i="3"/>
  <c r="B1124" i="3"/>
  <c r="A1124" i="3"/>
  <c r="K1123" i="3"/>
  <c r="I1123" i="3"/>
  <c r="F1123" i="3"/>
  <c r="D1123" i="3"/>
  <c r="B1123" i="3"/>
  <c r="A1123" i="3"/>
  <c r="K1122" i="3"/>
  <c r="I1122" i="3"/>
  <c r="F1122" i="3"/>
  <c r="D1122" i="3"/>
  <c r="B1122" i="3"/>
  <c r="A1122" i="3"/>
  <c r="K1121" i="3"/>
  <c r="I1121" i="3"/>
  <c r="F1121" i="3"/>
  <c r="D1121" i="3"/>
  <c r="B1121" i="3"/>
  <c r="A1121" i="3"/>
  <c r="K1120" i="3"/>
  <c r="I1120" i="3"/>
  <c r="F1120" i="3"/>
  <c r="D1120" i="3"/>
  <c r="B1120" i="3"/>
  <c r="A1120" i="3"/>
  <c r="K1119" i="3"/>
  <c r="I1119" i="3"/>
  <c r="F1119" i="3"/>
  <c r="D1119" i="3"/>
  <c r="B1119" i="3"/>
  <c r="A1119" i="3"/>
  <c r="K1118" i="3"/>
  <c r="I1118" i="3"/>
  <c r="F1118" i="3"/>
  <c r="E1118" i="3"/>
  <c r="D1118" i="3"/>
  <c r="B1118" i="3"/>
  <c r="A1118" i="3"/>
  <c r="K1117" i="3"/>
  <c r="I1117" i="3"/>
  <c r="F1117" i="3"/>
  <c r="E1117" i="3"/>
  <c r="D1117" i="3"/>
  <c r="B1117" i="3"/>
  <c r="A1117" i="3"/>
  <c r="K1116" i="3"/>
  <c r="I1116" i="3"/>
  <c r="F1116" i="3"/>
  <c r="D1116" i="3"/>
  <c r="B1116" i="3"/>
  <c r="A1116" i="3"/>
  <c r="K1115" i="3"/>
  <c r="I1115" i="3"/>
  <c r="F1115" i="3"/>
  <c r="D1115" i="3"/>
  <c r="B1115" i="3"/>
  <c r="A1115" i="3"/>
  <c r="K1114" i="3"/>
  <c r="I1114" i="3"/>
  <c r="F1114" i="3"/>
  <c r="D1114" i="3"/>
  <c r="B1114" i="3"/>
  <c r="A1114" i="3"/>
  <c r="K1113" i="3"/>
  <c r="I1113" i="3"/>
  <c r="F1113" i="3"/>
  <c r="D1113" i="3"/>
  <c r="B1113" i="3"/>
  <c r="A1113" i="3"/>
  <c r="K1112" i="3"/>
  <c r="I1112" i="3"/>
  <c r="F1112" i="3"/>
  <c r="B1112" i="3"/>
  <c r="A1112" i="3"/>
  <c r="K1111" i="3"/>
  <c r="I1111" i="3"/>
  <c r="F1111" i="3"/>
  <c r="D1111" i="3"/>
  <c r="B1111" i="3"/>
  <c r="A1111" i="3"/>
  <c r="K1110" i="3"/>
  <c r="I1110" i="3"/>
  <c r="F1110" i="3"/>
  <c r="D1110" i="3"/>
  <c r="B1110" i="3"/>
  <c r="A1110" i="3"/>
  <c r="K1109" i="3"/>
  <c r="I1109" i="3"/>
  <c r="F1109" i="3"/>
  <c r="D1109" i="3"/>
  <c r="B1109" i="3"/>
  <c r="A1109" i="3"/>
  <c r="K1108" i="3"/>
  <c r="I1108" i="3"/>
  <c r="F1108" i="3"/>
  <c r="D1108" i="3"/>
  <c r="B1108" i="3"/>
  <c r="A1108" i="3"/>
  <c r="K1107" i="3"/>
  <c r="I1107" i="3"/>
  <c r="F1107" i="3"/>
  <c r="D1107" i="3"/>
  <c r="B1107" i="3"/>
  <c r="A1107" i="3"/>
  <c r="K1106" i="3"/>
  <c r="I1106" i="3"/>
  <c r="F1106" i="3"/>
  <c r="D1106" i="3"/>
  <c r="B1106" i="3"/>
  <c r="A1106" i="3"/>
  <c r="K1105" i="3"/>
  <c r="I1105" i="3"/>
  <c r="D1105" i="3"/>
  <c r="B1105" i="3"/>
  <c r="A1105" i="3"/>
  <c r="K1104" i="3"/>
  <c r="I1104" i="3"/>
  <c r="F1104" i="3"/>
  <c r="D1104" i="3"/>
  <c r="B1104" i="3"/>
  <c r="A1104" i="3"/>
  <c r="K1103" i="3"/>
  <c r="I1103" i="3"/>
  <c r="F1103" i="3"/>
  <c r="D1103" i="3"/>
  <c r="B1103" i="3"/>
  <c r="A1103" i="3"/>
  <c r="K1102" i="3"/>
  <c r="I1102" i="3"/>
  <c r="F1102" i="3"/>
  <c r="D1102" i="3"/>
  <c r="B1102" i="3"/>
  <c r="A1102" i="3"/>
  <c r="K1101" i="3"/>
  <c r="I1101" i="3"/>
  <c r="F1101" i="3"/>
  <c r="D1101" i="3"/>
  <c r="B1101" i="3"/>
  <c r="A1101" i="3"/>
  <c r="K1100" i="3"/>
  <c r="I1100" i="3"/>
  <c r="F1100" i="3"/>
  <c r="D1100" i="3"/>
  <c r="B1100" i="3"/>
  <c r="A1100" i="3"/>
  <c r="K1099" i="3"/>
  <c r="I1099" i="3"/>
  <c r="F1099" i="3"/>
  <c r="E1099" i="3"/>
  <c r="D1099" i="3"/>
  <c r="B1099" i="3"/>
  <c r="A1099" i="3"/>
  <c r="K1098" i="3"/>
  <c r="I1098" i="3"/>
  <c r="F1098" i="3"/>
  <c r="D1098" i="3"/>
  <c r="B1098" i="3"/>
  <c r="A1098" i="3"/>
  <c r="K1097" i="3"/>
  <c r="I1097" i="3"/>
  <c r="F1097" i="3"/>
  <c r="D1097" i="3"/>
  <c r="B1097" i="3"/>
  <c r="A1097" i="3"/>
  <c r="K1096" i="3"/>
  <c r="I1096" i="3"/>
  <c r="F1096" i="3"/>
  <c r="D1096" i="3"/>
  <c r="B1096" i="3"/>
  <c r="A1096" i="3"/>
  <c r="K1095" i="3"/>
  <c r="I1095" i="3"/>
  <c r="F1095" i="3"/>
  <c r="D1095" i="3"/>
  <c r="B1095" i="3"/>
  <c r="A1095" i="3"/>
  <c r="K1094" i="3"/>
  <c r="I1094" i="3"/>
  <c r="F1094" i="3"/>
  <c r="D1094" i="3"/>
  <c r="B1094" i="3"/>
  <c r="A1094" i="3"/>
  <c r="K1093" i="3"/>
  <c r="I1093" i="3"/>
  <c r="F1093" i="3"/>
  <c r="D1093" i="3"/>
  <c r="B1093" i="3"/>
  <c r="A1093" i="3"/>
  <c r="K1092" i="3"/>
  <c r="I1092" i="3"/>
  <c r="F1092" i="3"/>
  <c r="D1092" i="3"/>
  <c r="B1092" i="3"/>
  <c r="A1092" i="3"/>
  <c r="K1091" i="3"/>
  <c r="I1091" i="3"/>
  <c r="F1091" i="3"/>
  <c r="D1091" i="3"/>
  <c r="B1091" i="3"/>
  <c r="A1091" i="3"/>
  <c r="K1090" i="3"/>
  <c r="I1090" i="3"/>
  <c r="F1090" i="3"/>
  <c r="D1090" i="3"/>
  <c r="B1090" i="3"/>
  <c r="A1090" i="3"/>
  <c r="K1089" i="3"/>
  <c r="I1089" i="3"/>
  <c r="F1089" i="3"/>
  <c r="D1089" i="3"/>
  <c r="B1089" i="3"/>
  <c r="A1089" i="3"/>
  <c r="K1088" i="3"/>
  <c r="I1088" i="3"/>
  <c r="F1088" i="3"/>
  <c r="D1088" i="3"/>
  <c r="B1088" i="3"/>
  <c r="A1088" i="3"/>
  <c r="K1087" i="3"/>
  <c r="I1087" i="3"/>
  <c r="F1087" i="3"/>
  <c r="D1087" i="3"/>
  <c r="B1087" i="3"/>
  <c r="A1087" i="3"/>
  <c r="K1086" i="3"/>
  <c r="I1086" i="3"/>
  <c r="F1086" i="3"/>
  <c r="D1086" i="3"/>
  <c r="B1086" i="3"/>
  <c r="A1086" i="3"/>
  <c r="K1085" i="3"/>
  <c r="I1085" i="3"/>
  <c r="F1085" i="3"/>
  <c r="D1085" i="3"/>
  <c r="B1085" i="3"/>
  <c r="A1085" i="3"/>
  <c r="K1084" i="3"/>
  <c r="I1084" i="3"/>
  <c r="F1084" i="3"/>
  <c r="D1084" i="3"/>
  <c r="B1084" i="3"/>
  <c r="A1084" i="3"/>
  <c r="K1083" i="3"/>
  <c r="I1083" i="3"/>
  <c r="F1083" i="3"/>
  <c r="E1083" i="3"/>
  <c r="D1083" i="3"/>
  <c r="B1083" i="3"/>
  <c r="A1083" i="3"/>
  <c r="K1082" i="3"/>
  <c r="I1082" i="3"/>
  <c r="F1082" i="3"/>
  <c r="D1082" i="3"/>
  <c r="B1082" i="3"/>
  <c r="A1082" i="3"/>
  <c r="K1081" i="3"/>
  <c r="I1081" i="3"/>
  <c r="F1081" i="3"/>
  <c r="D1081" i="3"/>
  <c r="B1081" i="3"/>
  <c r="A1081" i="3"/>
  <c r="K1080" i="3"/>
  <c r="I1080" i="3"/>
  <c r="F1080" i="3"/>
  <c r="E1080" i="3"/>
  <c r="D1080" i="3"/>
  <c r="B1080" i="3"/>
  <c r="A1080" i="3"/>
  <c r="K1079" i="3"/>
  <c r="I1079" i="3"/>
  <c r="F1079" i="3"/>
  <c r="D1079" i="3"/>
  <c r="B1079" i="3"/>
  <c r="A1079" i="3"/>
  <c r="K1078" i="3"/>
  <c r="I1078" i="3"/>
  <c r="F1078" i="3"/>
  <c r="D1078" i="3"/>
  <c r="B1078" i="3"/>
  <c r="A1078" i="3"/>
  <c r="K1077" i="3"/>
  <c r="I1077" i="3"/>
  <c r="F1077" i="3"/>
  <c r="D1077" i="3"/>
  <c r="B1077" i="3"/>
  <c r="A1077" i="3"/>
  <c r="K1076" i="3"/>
  <c r="I1076" i="3"/>
  <c r="F1076" i="3"/>
  <c r="D1076" i="3"/>
  <c r="B1076" i="3"/>
  <c r="A1076" i="3"/>
  <c r="K1075" i="3"/>
  <c r="I1075" i="3"/>
  <c r="F1075" i="3"/>
  <c r="D1075" i="3"/>
  <c r="B1075" i="3"/>
  <c r="A1075" i="3"/>
  <c r="K1074" i="3"/>
  <c r="I1074" i="3"/>
  <c r="F1074" i="3"/>
  <c r="D1074" i="3"/>
  <c r="B1074" i="3"/>
  <c r="A1074" i="3"/>
  <c r="K1073" i="3"/>
  <c r="I1073" i="3"/>
  <c r="F1073" i="3"/>
  <c r="D1073" i="3"/>
  <c r="B1073" i="3"/>
  <c r="A1073" i="3"/>
  <c r="K1072" i="3"/>
  <c r="I1072" i="3"/>
  <c r="F1072" i="3"/>
  <c r="D1072" i="3"/>
  <c r="B1072" i="3"/>
  <c r="A1072" i="3"/>
  <c r="K1071" i="3"/>
  <c r="I1071" i="3"/>
  <c r="F1071" i="3"/>
  <c r="D1071" i="3"/>
  <c r="B1071" i="3"/>
  <c r="A1071" i="3"/>
  <c r="K1070" i="3"/>
  <c r="I1070" i="3"/>
  <c r="F1070" i="3"/>
  <c r="D1070" i="3"/>
  <c r="B1070" i="3"/>
  <c r="A1070" i="3"/>
  <c r="K1069" i="3"/>
  <c r="I1069" i="3"/>
  <c r="F1069" i="3"/>
  <c r="D1069" i="3"/>
  <c r="B1069" i="3"/>
  <c r="A1069" i="3"/>
  <c r="K1068" i="3"/>
  <c r="I1068" i="3"/>
  <c r="F1068" i="3"/>
  <c r="D1068" i="3"/>
  <c r="B1068" i="3"/>
  <c r="A1068" i="3"/>
  <c r="K1067" i="3"/>
  <c r="I1067" i="3"/>
  <c r="F1067" i="3"/>
  <c r="D1067" i="3"/>
  <c r="B1067" i="3"/>
  <c r="A1067" i="3"/>
  <c r="K1066" i="3"/>
  <c r="I1066" i="3"/>
  <c r="F1066" i="3"/>
  <c r="D1066" i="3"/>
  <c r="B1066" i="3"/>
  <c r="A1066" i="3"/>
  <c r="K1065" i="3"/>
  <c r="I1065" i="3"/>
  <c r="F1065" i="3"/>
  <c r="D1065" i="3"/>
  <c r="B1065" i="3"/>
  <c r="A1065" i="3"/>
  <c r="K1064" i="3"/>
  <c r="I1064" i="3"/>
  <c r="F1064" i="3"/>
  <c r="D1064" i="3"/>
  <c r="B1064" i="3"/>
  <c r="A1064" i="3"/>
  <c r="K1063" i="3"/>
  <c r="I1063" i="3"/>
  <c r="F1063" i="3"/>
  <c r="D1063" i="3"/>
  <c r="B1063" i="3"/>
  <c r="A1063" i="3"/>
  <c r="K1062" i="3"/>
  <c r="I1062" i="3"/>
  <c r="F1062" i="3"/>
  <c r="D1062" i="3"/>
  <c r="B1062" i="3"/>
  <c r="A1062" i="3"/>
  <c r="K1061" i="3"/>
  <c r="I1061" i="3"/>
  <c r="F1061" i="3"/>
  <c r="D1061" i="3"/>
  <c r="B1061" i="3"/>
  <c r="A1061" i="3"/>
  <c r="K1060" i="3"/>
  <c r="I1060" i="3"/>
  <c r="F1060" i="3"/>
  <c r="D1060" i="3"/>
  <c r="B1060" i="3"/>
  <c r="A1060" i="3"/>
  <c r="K1059" i="3"/>
  <c r="I1059" i="3"/>
  <c r="F1059" i="3"/>
  <c r="D1059" i="3"/>
  <c r="B1059" i="3"/>
  <c r="A1059" i="3"/>
  <c r="K1058" i="3"/>
  <c r="I1058" i="3"/>
  <c r="F1058" i="3"/>
  <c r="D1058" i="3"/>
  <c r="B1058" i="3"/>
  <c r="A1058" i="3"/>
  <c r="K1057" i="3"/>
  <c r="I1057" i="3"/>
  <c r="F1057" i="3"/>
  <c r="D1057" i="3"/>
  <c r="B1057" i="3"/>
  <c r="A1057" i="3"/>
  <c r="K1056" i="3"/>
  <c r="I1056" i="3"/>
  <c r="F1056" i="3"/>
  <c r="D1056" i="3"/>
  <c r="B1056" i="3"/>
  <c r="A1056" i="3"/>
  <c r="K1055" i="3"/>
  <c r="I1055" i="3"/>
  <c r="F1055" i="3"/>
  <c r="D1055" i="3"/>
  <c r="B1055" i="3"/>
  <c r="A1055" i="3"/>
  <c r="K1054" i="3"/>
  <c r="I1054" i="3"/>
  <c r="F1054" i="3"/>
  <c r="D1054" i="3"/>
  <c r="B1054" i="3"/>
  <c r="A1054" i="3"/>
  <c r="K1053" i="3"/>
  <c r="I1053" i="3"/>
  <c r="F1053" i="3"/>
  <c r="D1053" i="3"/>
  <c r="B1053" i="3"/>
  <c r="A1053" i="3"/>
  <c r="K1052" i="3"/>
  <c r="I1052" i="3"/>
  <c r="F1052" i="3"/>
  <c r="D1052" i="3"/>
  <c r="B1052" i="3"/>
  <c r="A1052" i="3"/>
  <c r="K1051" i="3"/>
  <c r="I1051" i="3"/>
  <c r="F1051" i="3"/>
  <c r="D1051" i="3"/>
  <c r="B1051" i="3"/>
  <c r="A1051" i="3"/>
  <c r="K1050" i="3"/>
  <c r="I1050" i="3"/>
  <c r="F1050" i="3"/>
  <c r="D1050" i="3"/>
  <c r="B1050" i="3"/>
  <c r="A1050" i="3"/>
  <c r="K1049" i="3"/>
  <c r="I1049" i="3"/>
  <c r="F1049" i="3"/>
  <c r="D1049" i="3"/>
  <c r="B1049" i="3"/>
  <c r="A1049" i="3"/>
  <c r="K1048" i="3"/>
  <c r="I1048" i="3"/>
  <c r="F1048" i="3"/>
  <c r="D1048" i="3"/>
  <c r="B1048" i="3"/>
  <c r="A1048" i="3"/>
  <c r="K1047" i="3"/>
  <c r="I1047" i="3"/>
  <c r="F1047" i="3"/>
  <c r="E1047" i="3"/>
  <c r="D1047" i="3"/>
  <c r="B1047" i="3"/>
  <c r="A1047" i="3"/>
  <c r="K1046" i="3"/>
  <c r="I1046" i="3"/>
  <c r="F1046" i="3"/>
  <c r="D1046" i="3"/>
  <c r="B1046" i="3"/>
  <c r="A1046" i="3"/>
  <c r="K1045" i="3"/>
  <c r="I1045" i="3"/>
  <c r="F1045" i="3"/>
  <c r="D1045" i="3"/>
  <c r="B1045" i="3"/>
  <c r="A1045" i="3"/>
  <c r="K1044" i="3"/>
  <c r="I1044" i="3"/>
  <c r="F1044" i="3"/>
  <c r="D1044" i="3"/>
  <c r="B1044" i="3"/>
  <c r="A1044" i="3"/>
  <c r="K1043" i="3"/>
  <c r="I1043" i="3"/>
  <c r="F1043" i="3"/>
  <c r="D1043" i="3"/>
  <c r="B1043" i="3"/>
  <c r="A1043" i="3"/>
  <c r="K1042" i="3"/>
  <c r="I1042" i="3"/>
  <c r="F1042" i="3"/>
  <c r="D1042" i="3"/>
  <c r="B1042" i="3"/>
  <c r="A1042" i="3"/>
  <c r="K1041" i="3"/>
  <c r="I1041" i="3"/>
  <c r="F1041" i="3"/>
  <c r="D1041" i="3"/>
  <c r="B1041" i="3"/>
  <c r="A1041" i="3"/>
  <c r="K1040" i="3"/>
  <c r="I1040" i="3"/>
  <c r="F1040" i="3"/>
  <c r="D1040" i="3"/>
  <c r="B1040" i="3"/>
  <c r="A1040" i="3"/>
  <c r="K1039" i="3"/>
  <c r="I1039" i="3"/>
  <c r="F1039" i="3"/>
  <c r="D1039" i="3"/>
  <c r="B1039" i="3"/>
  <c r="A1039" i="3"/>
  <c r="K1038" i="3"/>
  <c r="I1038" i="3"/>
  <c r="F1038" i="3"/>
  <c r="D1038" i="3"/>
  <c r="B1038" i="3"/>
  <c r="A1038" i="3"/>
  <c r="K1037" i="3"/>
  <c r="I1037" i="3"/>
  <c r="F1037" i="3"/>
  <c r="D1037" i="3"/>
  <c r="B1037" i="3"/>
  <c r="A1037" i="3"/>
  <c r="K1036" i="3"/>
  <c r="I1036" i="3"/>
  <c r="F1036" i="3"/>
  <c r="D1036" i="3"/>
  <c r="B1036" i="3"/>
  <c r="A1036" i="3"/>
  <c r="K1035" i="3"/>
  <c r="I1035" i="3"/>
  <c r="F1035" i="3"/>
  <c r="D1035" i="3"/>
  <c r="B1035" i="3"/>
  <c r="A1035" i="3"/>
  <c r="K1034" i="3"/>
  <c r="I1034" i="3"/>
  <c r="F1034" i="3"/>
  <c r="D1034" i="3"/>
  <c r="B1034" i="3"/>
  <c r="A1034" i="3"/>
  <c r="K1033" i="3"/>
  <c r="I1033" i="3"/>
  <c r="F1033" i="3"/>
  <c r="D1033" i="3"/>
  <c r="B1033" i="3"/>
  <c r="A1033" i="3"/>
  <c r="K1032" i="3"/>
  <c r="I1032" i="3"/>
  <c r="F1032" i="3"/>
  <c r="D1032" i="3"/>
  <c r="B1032" i="3"/>
  <c r="A1032" i="3"/>
  <c r="K1031" i="3"/>
  <c r="I1031" i="3"/>
  <c r="F1031" i="3"/>
  <c r="D1031" i="3"/>
  <c r="B1031" i="3"/>
  <c r="A1031" i="3"/>
  <c r="K1030" i="3"/>
  <c r="I1030" i="3"/>
  <c r="F1030" i="3"/>
  <c r="D1030" i="3"/>
  <c r="B1030" i="3"/>
  <c r="A1030" i="3"/>
  <c r="K1029" i="3"/>
  <c r="I1029" i="3"/>
  <c r="F1029" i="3"/>
  <c r="D1029" i="3"/>
  <c r="B1029" i="3"/>
  <c r="A1029" i="3"/>
  <c r="K1028" i="3"/>
  <c r="I1028" i="3"/>
  <c r="F1028" i="3"/>
  <c r="D1028" i="3"/>
  <c r="B1028" i="3"/>
  <c r="A1028" i="3"/>
  <c r="K1027" i="3"/>
  <c r="I1027" i="3"/>
  <c r="F1027" i="3"/>
  <c r="D1027" i="3"/>
  <c r="B1027" i="3"/>
  <c r="A1027" i="3"/>
  <c r="K1026" i="3"/>
  <c r="I1026" i="3"/>
  <c r="F1026" i="3"/>
  <c r="D1026" i="3"/>
  <c r="B1026" i="3"/>
  <c r="A1026" i="3"/>
  <c r="K1025" i="3"/>
  <c r="I1025" i="3"/>
  <c r="F1025" i="3"/>
  <c r="D1025" i="3"/>
  <c r="B1025" i="3"/>
  <c r="A1025" i="3"/>
  <c r="K1024" i="3"/>
  <c r="I1024" i="3"/>
  <c r="F1024" i="3"/>
  <c r="D1024" i="3"/>
  <c r="B1024" i="3"/>
  <c r="A1024" i="3"/>
  <c r="K1023" i="3"/>
  <c r="I1023" i="3"/>
  <c r="F1023" i="3"/>
  <c r="D1023" i="3"/>
  <c r="B1023" i="3"/>
  <c r="A1023" i="3"/>
  <c r="K1022" i="3"/>
  <c r="I1022" i="3"/>
  <c r="F1022" i="3"/>
  <c r="D1022" i="3"/>
  <c r="B1022" i="3"/>
  <c r="A1022" i="3"/>
  <c r="K1021" i="3"/>
  <c r="I1021" i="3"/>
  <c r="F1021" i="3"/>
  <c r="D1021" i="3"/>
  <c r="B1021" i="3"/>
  <c r="A1021" i="3"/>
  <c r="K1020" i="3"/>
  <c r="I1020" i="3"/>
  <c r="F1020" i="3"/>
  <c r="D1020" i="3"/>
  <c r="B1020" i="3"/>
  <c r="A1020" i="3"/>
  <c r="K1019" i="3"/>
  <c r="I1019" i="3"/>
  <c r="F1019" i="3"/>
  <c r="D1019" i="3"/>
  <c r="B1019" i="3"/>
  <c r="A1019" i="3"/>
  <c r="K1018" i="3"/>
  <c r="I1018" i="3"/>
  <c r="F1018" i="3"/>
  <c r="D1018" i="3"/>
  <c r="B1018" i="3"/>
  <c r="A1018" i="3"/>
  <c r="K1017" i="3"/>
  <c r="I1017" i="3"/>
  <c r="F1017" i="3"/>
  <c r="D1017" i="3"/>
  <c r="B1017" i="3"/>
  <c r="A1017" i="3"/>
  <c r="K1016" i="3"/>
  <c r="I1016" i="3"/>
  <c r="F1016" i="3"/>
  <c r="D1016" i="3"/>
  <c r="B1016" i="3"/>
  <c r="A1016" i="3"/>
  <c r="K1015" i="3"/>
  <c r="I1015" i="3"/>
  <c r="F1015" i="3"/>
  <c r="D1015" i="3"/>
  <c r="B1015" i="3"/>
  <c r="A1015" i="3"/>
  <c r="K1014" i="3"/>
  <c r="I1014" i="3"/>
  <c r="F1014" i="3"/>
  <c r="D1014" i="3"/>
  <c r="B1014" i="3"/>
  <c r="A1014" i="3"/>
  <c r="K1013" i="3"/>
  <c r="I1013" i="3"/>
  <c r="F1013" i="3"/>
  <c r="D1013" i="3"/>
  <c r="B1013" i="3"/>
  <c r="A1013" i="3"/>
  <c r="K1012" i="3"/>
  <c r="I1012" i="3"/>
  <c r="F1012" i="3"/>
  <c r="D1012" i="3"/>
  <c r="B1012" i="3"/>
  <c r="A1012" i="3"/>
  <c r="K1011" i="3"/>
  <c r="I1011" i="3"/>
  <c r="F1011" i="3"/>
  <c r="D1011" i="3"/>
  <c r="B1011" i="3"/>
  <c r="A1011" i="3"/>
  <c r="K1010" i="3"/>
  <c r="I1010" i="3"/>
  <c r="F1010" i="3"/>
  <c r="D1010" i="3"/>
  <c r="B1010" i="3"/>
  <c r="A1010" i="3"/>
  <c r="K1009" i="3"/>
  <c r="I1009" i="3"/>
  <c r="F1009" i="3"/>
  <c r="D1009" i="3"/>
  <c r="B1009" i="3"/>
  <c r="A1009" i="3"/>
  <c r="K1008" i="3"/>
  <c r="I1008" i="3"/>
  <c r="F1008" i="3"/>
  <c r="D1008" i="3"/>
  <c r="B1008" i="3"/>
  <c r="A1008" i="3"/>
  <c r="K1007" i="3"/>
  <c r="I1007" i="3"/>
  <c r="F1007" i="3"/>
  <c r="D1007" i="3"/>
  <c r="B1007" i="3"/>
  <c r="A1007" i="3"/>
  <c r="K1006" i="3"/>
  <c r="I1006" i="3"/>
  <c r="F1006" i="3"/>
  <c r="D1006" i="3"/>
  <c r="B1006" i="3"/>
  <c r="A1006" i="3"/>
  <c r="K1005" i="3"/>
  <c r="I1005" i="3"/>
  <c r="F1005" i="3"/>
  <c r="D1005" i="3"/>
  <c r="B1005" i="3"/>
  <c r="A1005" i="3"/>
  <c r="K1004" i="3"/>
  <c r="I1004" i="3"/>
  <c r="F1004" i="3"/>
  <c r="E1004" i="3"/>
  <c r="D1004" i="3"/>
  <c r="B1004" i="3"/>
  <c r="A1004" i="3"/>
  <c r="K1003" i="3"/>
  <c r="I1003" i="3"/>
  <c r="F1003" i="3"/>
  <c r="E1003" i="3"/>
  <c r="D1003" i="3"/>
  <c r="B1003" i="3"/>
  <c r="A1003" i="3"/>
  <c r="K1002" i="3"/>
  <c r="I1002" i="3"/>
  <c r="F1002" i="3"/>
  <c r="E1002" i="3"/>
  <c r="D1002" i="3"/>
  <c r="B1002" i="3"/>
  <c r="A1002" i="3"/>
  <c r="K1001" i="3"/>
  <c r="I1001" i="3"/>
  <c r="F1001" i="3"/>
  <c r="D1001" i="3"/>
  <c r="B1001" i="3"/>
  <c r="A1001" i="3"/>
  <c r="K1000" i="3"/>
  <c r="I1000" i="3"/>
  <c r="F1000" i="3"/>
  <c r="D1000" i="3"/>
  <c r="B1000" i="3"/>
  <c r="A1000" i="3"/>
  <c r="K999" i="3"/>
  <c r="I999" i="3"/>
  <c r="F999" i="3"/>
  <c r="D999" i="3"/>
  <c r="B999" i="3"/>
  <c r="A999" i="3"/>
  <c r="K998" i="3"/>
  <c r="I998" i="3"/>
  <c r="F998" i="3"/>
  <c r="D998" i="3"/>
  <c r="B998" i="3"/>
  <c r="A998" i="3"/>
  <c r="K997" i="3"/>
  <c r="I997" i="3"/>
  <c r="F997" i="3"/>
  <c r="D997" i="3"/>
  <c r="B997" i="3"/>
  <c r="A997" i="3"/>
  <c r="K996" i="3"/>
  <c r="I996" i="3"/>
  <c r="F996" i="3"/>
  <c r="D996" i="3"/>
  <c r="B996" i="3"/>
  <c r="A996" i="3"/>
  <c r="K995" i="3"/>
  <c r="I995" i="3"/>
  <c r="F995" i="3"/>
  <c r="D995" i="3"/>
  <c r="B995" i="3"/>
  <c r="A995" i="3"/>
  <c r="K994" i="3"/>
  <c r="I994" i="3"/>
  <c r="F994" i="3"/>
  <c r="D994" i="3"/>
  <c r="B994" i="3"/>
  <c r="A994" i="3"/>
  <c r="K993" i="3"/>
  <c r="I993" i="3"/>
  <c r="F993" i="3"/>
  <c r="D993" i="3"/>
  <c r="B993" i="3"/>
  <c r="A993" i="3"/>
  <c r="K992" i="3"/>
  <c r="I992" i="3"/>
  <c r="F992" i="3"/>
  <c r="D992" i="3"/>
  <c r="B992" i="3"/>
  <c r="A992" i="3"/>
  <c r="K991" i="3"/>
  <c r="I991" i="3"/>
  <c r="F991" i="3"/>
  <c r="D991" i="3"/>
  <c r="B991" i="3"/>
  <c r="A991" i="3"/>
  <c r="K990" i="3"/>
  <c r="I990" i="3"/>
  <c r="F990" i="3"/>
  <c r="D990" i="3"/>
  <c r="B990" i="3"/>
  <c r="A990" i="3"/>
  <c r="K989" i="3"/>
  <c r="I989" i="3"/>
  <c r="F989" i="3"/>
  <c r="D989" i="3"/>
  <c r="B989" i="3"/>
  <c r="A989" i="3"/>
  <c r="K988" i="3"/>
  <c r="I988" i="3"/>
  <c r="F988" i="3"/>
  <c r="D988" i="3"/>
  <c r="B988" i="3"/>
  <c r="A988" i="3"/>
  <c r="K987" i="3"/>
  <c r="I987" i="3"/>
  <c r="F987" i="3"/>
  <c r="D987" i="3"/>
  <c r="B987" i="3"/>
  <c r="A987" i="3"/>
  <c r="K986" i="3"/>
  <c r="I986" i="3"/>
  <c r="F986" i="3"/>
  <c r="D986" i="3"/>
  <c r="B986" i="3"/>
  <c r="A986" i="3"/>
  <c r="K985" i="3"/>
  <c r="I985" i="3"/>
  <c r="F985" i="3"/>
  <c r="D985" i="3"/>
  <c r="B985" i="3"/>
  <c r="A985" i="3"/>
  <c r="K984" i="3"/>
  <c r="I984" i="3"/>
  <c r="F984" i="3"/>
  <c r="D984" i="3"/>
  <c r="B984" i="3"/>
  <c r="A984" i="3"/>
  <c r="K983" i="3"/>
  <c r="I983" i="3"/>
  <c r="F983" i="3"/>
  <c r="D983" i="3"/>
  <c r="B983" i="3"/>
  <c r="A983" i="3"/>
  <c r="K982" i="3"/>
  <c r="I982" i="3"/>
  <c r="F982" i="3"/>
  <c r="D982" i="3"/>
  <c r="B982" i="3"/>
  <c r="A982" i="3"/>
  <c r="K981" i="3"/>
  <c r="I981" i="3"/>
  <c r="F981" i="3"/>
  <c r="D981" i="3"/>
  <c r="B981" i="3"/>
  <c r="A981" i="3"/>
  <c r="K980" i="3"/>
  <c r="I980" i="3"/>
  <c r="F980" i="3"/>
  <c r="D980" i="3"/>
  <c r="B980" i="3"/>
  <c r="A980" i="3"/>
  <c r="K979" i="3"/>
  <c r="I979" i="3"/>
  <c r="F979" i="3"/>
  <c r="D979" i="3"/>
  <c r="B979" i="3"/>
  <c r="A979" i="3"/>
  <c r="K978" i="3"/>
  <c r="I978" i="3"/>
  <c r="F978" i="3"/>
  <c r="D978" i="3"/>
  <c r="B978" i="3"/>
  <c r="A978" i="3"/>
  <c r="K977" i="3"/>
  <c r="I977" i="3"/>
  <c r="F977" i="3"/>
  <c r="D977" i="3"/>
  <c r="B977" i="3"/>
  <c r="A977" i="3"/>
  <c r="K976" i="3"/>
  <c r="I976" i="3"/>
  <c r="F976" i="3"/>
  <c r="D976" i="3"/>
  <c r="B976" i="3"/>
  <c r="A976" i="3"/>
  <c r="K975" i="3"/>
  <c r="I975" i="3"/>
  <c r="F975" i="3"/>
  <c r="D975" i="3"/>
  <c r="B975" i="3"/>
  <c r="A975" i="3"/>
  <c r="K974" i="3"/>
  <c r="I974" i="3"/>
  <c r="F974" i="3"/>
  <c r="D974" i="3"/>
  <c r="B974" i="3"/>
  <c r="A974" i="3"/>
  <c r="K973" i="3"/>
  <c r="I973" i="3"/>
  <c r="F973" i="3"/>
  <c r="D973" i="3"/>
  <c r="B973" i="3"/>
  <c r="A973" i="3"/>
  <c r="K972" i="3"/>
  <c r="I972" i="3"/>
  <c r="F972" i="3"/>
  <c r="D972" i="3"/>
  <c r="B972" i="3"/>
  <c r="A972" i="3"/>
  <c r="K971" i="3"/>
  <c r="I971" i="3"/>
  <c r="F971" i="3"/>
  <c r="D971" i="3"/>
  <c r="B971" i="3"/>
  <c r="A971" i="3"/>
  <c r="K970" i="3"/>
  <c r="I970" i="3"/>
  <c r="F970" i="3"/>
  <c r="D970" i="3"/>
  <c r="B970" i="3"/>
  <c r="A970" i="3"/>
  <c r="K969" i="3"/>
  <c r="I969" i="3"/>
  <c r="D969" i="3"/>
  <c r="B969" i="3"/>
  <c r="A969" i="3"/>
  <c r="K968" i="3"/>
  <c r="I968" i="3"/>
  <c r="F968" i="3"/>
  <c r="D968" i="3"/>
  <c r="B968" i="3"/>
  <c r="A968" i="3"/>
  <c r="K967" i="3"/>
  <c r="I967" i="3"/>
  <c r="F967" i="3"/>
  <c r="D967" i="3"/>
  <c r="B967" i="3"/>
  <c r="A967" i="3"/>
  <c r="K966" i="3"/>
  <c r="I966" i="3"/>
  <c r="F966" i="3"/>
  <c r="D966" i="3"/>
  <c r="B966" i="3"/>
  <c r="A966" i="3"/>
  <c r="K965" i="3"/>
  <c r="I965" i="3"/>
  <c r="F965" i="3"/>
  <c r="D965" i="3"/>
  <c r="B965" i="3"/>
  <c r="A965" i="3"/>
  <c r="K964" i="3"/>
  <c r="I964" i="3"/>
  <c r="F964" i="3"/>
  <c r="D964" i="3"/>
  <c r="B964" i="3"/>
  <c r="A964" i="3"/>
  <c r="K963" i="3"/>
  <c r="I963" i="3"/>
  <c r="F963" i="3"/>
  <c r="D963" i="3"/>
  <c r="B963" i="3"/>
  <c r="A963" i="3"/>
  <c r="K962" i="3"/>
  <c r="I962" i="3"/>
  <c r="F962" i="3"/>
  <c r="D962" i="3"/>
  <c r="B962" i="3"/>
  <c r="A962" i="3"/>
  <c r="K961" i="3"/>
  <c r="I961" i="3"/>
  <c r="F961" i="3"/>
  <c r="D961" i="3"/>
  <c r="B961" i="3"/>
  <c r="A961" i="3"/>
  <c r="K960" i="3"/>
  <c r="I960" i="3"/>
  <c r="F960" i="3"/>
  <c r="D960" i="3"/>
  <c r="B960" i="3"/>
  <c r="A960" i="3"/>
  <c r="K959" i="3"/>
  <c r="I959" i="3"/>
  <c r="F959" i="3"/>
  <c r="D959" i="3"/>
  <c r="B959" i="3"/>
  <c r="A959" i="3"/>
  <c r="K958" i="3"/>
  <c r="I958" i="3"/>
  <c r="F958" i="3"/>
  <c r="D958" i="3"/>
  <c r="B958" i="3"/>
  <c r="A958" i="3"/>
  <c r="K957" i="3"/>
  <c r="I957" i="3"/>
  <c r="F957" i="3"/>
  <c r="D957" i="3"/>
  <c r="B957" i="3"/>
  <c r="A957" i="3"/>
  <c r="K956" i="3"/>
  <c r="I956" i="3"/>
  <c r="F956" i="3"/>
  <c r="D956" i="3"/>
  <c r="B956" i="3"/>
  <c r="A956" i="3"/>
  <c r="K955" i="3"/>
  <c r="I955" i="3"/>
  <c r="F955" i="3"/>
  <c r="D955" i="3"/>
  <c r="B955" i="3"/>
  <c r="A955" i="3"/>
  <c r="K954" i="3"/>
  <c r="I954" i="3"/>
  <c r="F954" i="3"/>
  <c r="D954" i="3"/>
  <c r="B954" i="3"/>
  <c r="A954" i="3"/>
  <c r="K953" i="3"/>
  <c r="I953" i="3"/>
  <c r="F953" i="3"/>
  <c r="D953" i="3"/>
  <c r="B953" i="3"/>
  <c r="A953" i="3"/>
  <c r="K952" i="3"/>
  <c r="I952" i="3"/>
  <c r="F952" i="3"/>
  <c r="D952" i="3"/>
  <c r="B952" i="3"/>
  <c r="A952" i="3"/>
  <c r="K951" i="3"/>
  <c r="I951" i="3"/>
  <c r="F951" i="3"/>
  <c r="D951" i="3"/>
  <c r="B951" i="3"/>
  <c r="A951" i="3"/>
  <c r="K950" i="3"/>
  <c r="I950" i="3"/>
  <c r="F950" i="3"/>
  <c r="D950" i="3"/>
  <c r="B950" i="3"/>
  <c r="A950" i="3"/>
  <c r="K949" i="3"/>
  <c r="I949" i="3"/>
  <c r="F949" i="3"/>
  <c r="D949" i="3"/>
  <c r="B949" i="3"/>
  <c r="A949" i="3"/>
  <c r="K948" i="3"/>
  <c r="I948" i="3"/>
  <c r="F948" i="3"/>
  <c r="D948" i="3"/>
  <c r="B948" i="3"/>
  <c r="A948" i="3"/>
  <c r="K947" i="3"/>
  <c r="I947" i="3"/>
  <c r="F947" i="3"/>
  <c r="D947" i="3"/>
  <c r="B947" i="3"/>
  <c r="A947" i="3"/>
  <c r="K946" i="3"/>
  <c r="I946" i="3"/>
  <c r="F946" i="3"/>
  <c r="D946" i="3"/>
  <c r="B946" i="3"/>
  <c r="A946" i="3"/>
  <c r="K945" i="3"/>
  <c r="I945" i="3"/>
  <c r="F945" i="3"/>
  <c r="D945" i="3"/>
  <c r="B945" i="3"/>
  <c r="A945" i="3"/>
  <c r="K944" i="3"/>
  <c r="I944" i="3"/>
  <c r="F944" i="3"/>
  <c r="D944" i="3"/>
  <c r="B944" i="3"/>
  <c r="A944" i="3"/>
  <c r="K943" i="3"/>
  <c r="I943" i="3"/>
  <c r="F943" i="3"/>
  <c r="E943" i="3"/>
  <c r="D943" i="3"/>
  <c r="B943" i="3"/>
  <c r="A943" i="3"/>
  <c r="K942" i="3"/>
  <c r="I942" i="3"/>
  <c r="F942" i="3"/>
  <c r="D942" i="3"/>
  <c r="B942" i="3"/>
  <c r="A942" i="3"/>
  <c r="K941" i="3"/>
  <c r="I941" i="3"/>
  <c r="F941" i="3"/>
  <c r="D941" i="3"/>
  <c r="B941" i="3"/>
  <c r="A941" i="3"/>
  <c r="K940" i="3"/>
  <c r="I940" i="3"/>
  <c r="F940" i="3"/>
  <c r="E940" i="3"/>
  <c r="D940" i="3"/>
  <c r="B940" i="3"/>
  <c r="A940" i="3"/>
  <c r="K939" i="3"/>
  <c r="I939" i="3"/>
  <c r="F939" i="3"/>
  <c r="D939" i="3"/>
  <c r="B939" i="3"/>
  <c r="A939" i="3"/>
  <c r="K938" i="3"/>
  <c r="I938" i="3"/>
  <c r="F938" i="3"/>
  <c r="D938" i="3"/>
  <c r="B938" i="3"/>
  <c r="A938" i="3"/>
  <c r="K937" i="3"/>
  <c r="I937" i="3"/>
  <c r="F937" i="3"/>
  <c r="D937" i="3"/>
  <c r="B937" i="3"/>
  <c r="A937" i="3"/>
  <c r="K936" i="3"/>
  <c r="I936" i="3"/>
  <c r="F936" i="3"/>
  <c r="D936" i="3"/>
  <c r="B936" i="3"/>
  <c r="A936" i="3"/>
  <c r="K935" i="3"/>
  <c r="I935" i="3"/>
  <c r="F935" i="3"/>
  <c r="D935" i="3"/>
  <c r="B935" i="3"/>
  <c r="A935" i="3"/>
  <c r="K934" i="3"/>
  <c r="I934" i="3"/>
  <c r="F934" i="3"/>
  <c r="D934" i="3"/>
  <c r="B934" i="3"/>
  <c r="A934" i="3"/>
  <c r="K933" i="3"/>
  <c r="I933" i="3"/>
  <c r="F933" i="3"/>
  <c r="D933" i="3"/>
  <c r="B933" i="3"/>
  <c r="A933" i="3"/>
  <c r="K932" i="3"/>
  <c r="I932" i="3"/>
  <c r="F932" i="3"/>
  <c r="D932" i="3"/>
  <c r="B932" i="3"/>
  <c r="A932" i="3"/>
  <c r="K931" i="3"/>
  <c r="I931" i="3"/>
  <c r="F931" i="3"/>
  <c r="D931" i="3"/>
  <c r="B931" i="3"/>
  <c r="A931" i="3"/>
  <c r="K930" i="3"/>
  <c r="I930" i="3"/>
  <c r="F930" i="3"/>
  <c r="D930" i="3"/>
  <c r="B930" i="3"/>
  <c r="A930" i="3"/>
  <c r="K929" i="3"/>
  <c r="I929" i="3"/>
  <c r="F929" i="3"/>
  <c r="D929" i="3"/>
  <c r="B929" i="3"/>
  <c r="A929" i="3"/>
  <c r="K928" i="3"/>
  <c r="I928" i="3"/>
  <c r="F928" i="3"/>
  <c r="E928" i="3"/>
  <c r="D928" i="3"/>
  <c r="B928" i="3"/>
  <c r="A928" i="3"/>
  <c r="K927" i="3"/>
  <c r="I927" i="3"/>
  <c r="F927" i="3"/>
  <c r="D927" i="3"/>
  <c r="B927" i="3"/>
  <c r="A927" i="3"/>
  <c r="K926" i="3"/>
  <c r="I926" i="3"/>
  <c r="F926" i="3"/>
  <c r="D926" i="3"/>
  <c r="B926" i="3"/>
  <c r="A926" i="3"/>
  <c r="K925" i="3"/>
  <c r="I925" i="3"/>
  <c r="F925" i="3"/>
  <c r="D925" i="3"/>
  <c r="B925" i="3"/>
  <c r="A925" i="3"/>
  <c r="K924" i="3"/>
  <c r="I924" i="3"/>
  <c r="F924" i="3"/>
  <c r="D924" i="3"/>
  <c r="B924" i="3"/>
  <c r="A924" i="3"/>
  <c r="K923" i="3"/>
  <c r="I923" i="3"/>
  <c r="F923" i="3"/>
  <c r="D923" i="3"/>
  <c r="B923" i="3"/>
  <c r="A923" i="3"/>
  <c r="K922" i="3"/>
  <c r="I922" i="3"/>
  <c r="F922" i="3"/>
  <c r="E922" i="3"/>
  <c r="D922" i="3"/>
  <c r="B922" i="3"/>
  <c r="A922" i="3"/>
  <c r="K921" i="3"/>
  <c r="I921" i="3"/>
  <c r="F921" i="3"/>
  <c r="D921" i="3"/>
  <c r="B921" i="3"/>
  <c r="A921" i="3"/>
  <c r="K920" i="3"/>
  <c r="I920" i="3"/>
  <c r="F920" i="3"/>
  <c r="D920" i="3"/>
  <c r="B920" i="3"/>
  <c r="A920" i="3"/>
  <c r="K919" i="3"/>
  <c r="I919" i="3"/>
  <c r="F919" i="3"/>
  <c r="D919" i="3"/>
  <c r="B919" i="3"/>
  <c r="A919" i="3"/>
  <c r="K918" i="3"/>
  <c r="I918" i="3"/>
  <c r="F918" i="3"/>
  <c r="D918" i="3"/>
  <c r="B918" i="3"/>
  <c r="A918" i="3"/>
  <c r="K917" i="3"/>
  <c r="I917" i="3"/>
  <c r="F917" i="3"/>
  <c r="D917" i="3"/>
  <c r="B917" i="3"/>
  <c r="A917" i="3"/>
  <c r="K916" i="3"/>
  <c r="I916" i="3"/>
  <c r="F916" i="3"/>
  <c r="D916" i="3"/>
  <c r="B916" i="3"/>
  <c r="A916" i="3"/>
  <c r="K915" i="3"/>
  <c r="I915" i="3"/>
  <c r="F915" i="3"/>
  <c r="D915" i="3"/>
  <c r="B915" i="3"/>
  <c r="A915" i="3"/>
  <c r="K914" i="3"/>
  <c r="I914" i="3"/>
  <c r="F914" i="3"/>
  <c r="D914" i="3"/>
  <c r="B914" i="3"/>
  <c r="A914" i="3"/>
  <c r="K913" i="3"/>
  <c r="I913" i="3"/>
  <c r="F913" i="3"/>
  <c r="D913" i="3"/>
  <c r="B913" i="3"/>
  <c r="A913" i="3"/>
  <c r="K912" i="3"/>
  <c r="I912" i="3"/>
  <c r="F912" i="3"/>
  <c r="D912" i="3"/>
  <c r="B912" i="3"/>
  <c r="A912" i="3"/>
  <c r="K911" i="3"/>
  <c r="I911" i="3"/>
  <c r="F911" i="3"/>
  <c r="D911" i="3"/>
  <c r="B911" i="3"/>
  <c r="A911" i="3"/>
  <c r="K910" i="3"/>
  <c r="I910" i="3"/>
  <c r="F910" i="3"/>
  <c r="D910" i="3"/>
  <c r="B910" i="3"/>
  <c r="A910" i="3"/>
  <c r="K909" i="3"/>
  <c r="I909" i="3"/>
  <c r="F909" i="3"/>
  <c r="D909" i="3"/>
  <c r="B909" i="3"/>
  <c r="A909" i="3"/>
  <c r="K908" i="3"/>
  <c r="I908" i="3"/>
  <c r="F908" i="3"/>
  <c r="D908" i="3"/>
  <c r="B908" i="3"/>
  <c r="A908" i="3"/>
  <c r="K907" i="3"/>
  <c r="I907" i="3"/>
  <c r="F907" i="3"/>
  <c r="D907" i="3"/>
  <c r="B907" i="3"/>
  <c r="A907" i="3"/>
  <c r="K906" i="3"/>
  <c r="I906" i="3"/>
  <c r="F906" i="3"/>
  <c r="D906" i="3"/>
  <c r="B906" i="3"/>
  <c r="A906" i="3"/>
  <c r="K905" i="3"/>
  <c r="I905" i="3"/>
  <c r="F905" i="3"/>
  <c r="D905" i="3"/>
  <c r="B905" i="3"/>
  <c r="A905" i="3"/>
  <c r="K904" i="3"/>
  <c r="I904" i="3"/>
  <c r="D904" i="3"/>
  <c r="B904" i="3"/>
  <c r="A904" i="3"/>
  <c r="K903" i="3"/>
  <c r="I903" i="3"/>
  <c r="F903" i="3"/>
  <c r="D903" i="3"/>
  <c r="B903" i="3"/>
  <c r="A903" i="3"/>
  <c r="K902" i="3"/>
  <c r="I902" i="3"/>
  <c r="F902" i="3"/>
  <c r="D902" i="3"/>
  <c r="B902" i="3"/>
  <c r="A902" i="3"/>
  <c r="K901" i="3"/>
  <c r="I901" i="3"/>
  <c r="F901" i="3"/>
  <c r="D901" i="3"/>
  <c r="B901" i="3"/>
  <c r="A901" i="3"/>
  <c r="K900" i="3"/>
  <c r="I900" i="3"/>
  <c r="F900" i="3"/>
  <c r="D900" i="3"/>
  <c r="B900" i="3"/>
  <c r="A900" i="3"/>
  <c r="K899" i="3"/>
  <c r="I899" i="3"/>
  <c r="F899" i="3"/>
  <c r="D899" i="3"/>
  <c r="B899" i="3"/>
  <c r="A899" i="3"/>
  <c r="K898" i="3"/>
  <c r="I898" i="3"/>
  <c r="F898" i="3"/>
  <c r="D898" i="3"/>
  <c r="B898" i="3"/>
  <c r="A898" i="3"/>
  <c r="K897" i="3"/>
  <c r="I897" i="3"/>
  <c r="F897" i="3"/>
  <c r="D897" i="3"/>
  <c r="B897" i="3"/>
  <c r="A897" i="3"/>
  <c r="K896" i="3"/>
  <c r="I896" i="3"/>
  <c r="F896" i="3"/>
  <c r="D896" i="3"/>
  <c r="B896" i="3"/>
  <c r="A896" i="3"/>
  <c r="K895" i="3"/>
  <c r="I895" i="3"/>
  <c r="F895" i="3"/>
  <c r="D895" i="3"/>
  <c r="B895" i="3"/>
  <c r="A895" i="3"/>
  <c r="K894" i="3"/>
  <c r="I894" i="3"/>
  <c r="F894" i="3"/>
  <c r="D894" i="3"/>
  <c r="B894" i="3"/>
  <c r="A894" i="3"/>
  <c r="K893" i="3"/>
  <c r="I893" i="3"/>
  <c r="F893" i="3"/>
  <c r="D893" i="3"/>
  <c r="B893" i="3"/>
  <c r="A893" i="3"/>
  <c r="K892" i="3"/>
  <c r="I892" i="3"/>
  <c r="F892" i="3"/>
  <c r="D892" i="3"/>
  <c r="B892" i="3"/>
  <c r="A892" i="3"/>
  <c r="K891" i="3"/>
  <c r="I891" i="3"/>
  <c r="F891" i="3"/>
  <c r="D891" i="3"/>
  <c r="B891" i="3"/>
  <c r="A891" i="3"/>
  <c r="K890" i="3"/>
  <c r="I890" i="3"/>
  <c r="F890" i="3"/>
  <c r="D890" i="3"/>
  <c r="B890" i="3"/>
  <c r="A890" i="3"/>
  <c r="K889" i="3"/>
  <c r="I889" i="3"/>
  <c r="F889" i="3"/>
  <c r="D889" i="3"/>
  <c r="B889" i="3"/>
  <c r="A889" i="3"/>
  <c r="K888" i="3"/>
  <c r="I888" i="3"/>
  <c r="F888" i="3"/>
  <c r="D888" i="3"/>
  <c r="B888" i="3"/>
  <c r="A888" i="3"/>
  <c r="K887" i="3"/>
  <c r="I887" i="3"/>
  <c r="F887" i="3"/>
  <c r="D887" i="3"/>
  <c r="B887" i="3"/>
  <c r="A887" i="3"/>
  <c r="K886" i="3"/>
  <c r="I886" i="3"/>
  <c r="F886" i="3"/>
  <c r="D886" i="3"/>
  <c r="B886" i="3"/>
  <c r="A886" i="3"/>
  <c r="K885" i="3"/>
  <c r="I885" i="3"/>
  <c r="F885" i="3"/>
  <c r="D885" i="3"/>
  <c r="B885" i="3"/>
  <c r="A885" i="3"/>
  <c r="K884" i="3"/>
  <c r="I884" i="3"/>
  <c r="F884" i="3"/>
  <c r="D884" i="3"/>
  <c r="B884" i="3"/>
  <c r="A884" i="3"/>
  <c r="K883" i="3"/>
  <c r="I883" i="3"/>
  <c r="F883" i="3"/>
  <c r="D883" i="3"/>
  <c r="B883" i="3"/>
  <c r="A883" i="3"/>
  <c r="K882" i="3"/>
  <c r="I882" i="3"/>
  <c r="F882" i="3"/>
  <c r="D882" i="3"/>
  <c r="B882" i="3"/>
  <c r="A882" i="3"/>
  <c r="K881" i="3"/>
  <c r="I881" i="3"/>
  <c r="F881" i="3"/>
  <c r="D881" i="3"/>
  <c r="B881" i="3"/>
  <c r="A881" i="3"/>
  <c r="K880" i="3"/>
  <c r="I880" i="3"/>
  <c r="F880" i="3"/>
  <c r="D880" i="3"/>
  <c r="B880" i="3"/>
  <c r="A880" i="3"/>
  <c r="K879" i="3"/>
  <c r="I879" i="3"/>
  <c r="F879" i="3"/>
  <c r="D879" i="3"/>
  <c r="B879" i="3"/>
  <c r="A879" i="3"/>
  <c r="K878" i="3"/>
  <c r="I878" i="3"/>
  <c r="F878" i="3"/>
  <c r="D878" i="3"/>
  <c r="B878" i="3"/>
  <c r="A878" i="3"/>
  <c r="K877" i="3"/>
  <c r="I877" i="3"/>
  <c r="F877" i="3"/>
  <c r="D877" i="3"/>
  <c r="B877" i="3"/>
  <c r="A877" i="3"/>
  <c r="K876" i="3"/>
  <c r="I876" i="3"/>
  <c r="F876" i="3"/>
  <c r="D876" i="3"/>
  <c r="B876" i="3"/>
  <c r="A876" i="3"/>
  <c r="K875" i="3"/>
  <c r="I875" i="3"/>
  <c r="F875" i="3"/>
  <c r="D875" i="3"/>
  <c r="B875" i="3"/>
  <c r="A875" i="3"/>
  <c r="K874" i="3"/>
  <c r="I874" i="3"/>
  <c r="F874" i="3"/>
  <c r="D874" i="3"/>
  <c r="B874" i="3"/>
  <c r="A874" i="3"/>
  <c r="K873" i="3"/>
  <c r="I873" i="3"/>
  <c r="F873" i="3"/>
  <c r="D873" i="3"/>
  <c r="B873" i="3"/>
  <c r="A873" i="3"/>
  <c r="K872" i="3"/>
  <c r="I872" i="3"/>
  <c r="F872" i="3"/>
  <c r="D872" i="3"/>
  <c r="B872" i="3"/>
  <c r="A872" i="3"/>
  <c r="K871" i="3"/>
  <c r="I871" i="3"/>
  <c r="F871" i="3"/>
  <c r="D871" i="3"/>
  <c r="B871" i="3"/>
  <c r="A871" i="3"/>
  <c r="K870" i="3"/>
  <c r="I870" i="3"/>
  <c r="F870" i="3"/>
  <c r="D870" i="3"/>
  <c r="B870" i="3"/>
  <c r="A870" i="3"/>
  <c r="K869" i="3"/>
  <c r="I869" i="3"/>
  <c r="F869" i="3"/>
  <c r="D869" i="3"/>
  <c r="B869" i="3"/>
  <c r="A869" i="3"/>
  <c r="K868" i="3"/>
  <c r="I868" i="3"/>
  <c r="F868" i="3"/>
  <c r="D868" i="3"/>
  <c r="B868" i="3"/>
  <c r="A868" i="3"/>
  <c r="K867" i="3"/>
  <c r="I867" i="3"/>
  <c r="F867" i="3"/>
  <c r="D867" i="3"/>
  <c r="B867" i="3"/>
  <c r="A867" i="3"/>
  <c r="K866" i="3"/>
  <c r="I866" i="3"/>
  <c r="F866" i="3"/>
  <c r="D866" i="3"/>
  <c r="B866" i="3"/>
  <c r="A866" i="3"/>
  <c r="K865" i="3"/>
  <c r="I865" i="3"/>
  <c r="F865" i="3"/>
  <c r="D865" i="3"/>
  <c r="B865" i="3"/>
  <c r="A865" i="3"/>
  <c r="K864" i="3"/>
  <c r="I864" i="3"/>
  <c r="F864" i="3"/>
  <c r="D864" i="3"/>
  <c r="B864" i="3"/>
  <c r="A864" i="3"/>
  <c r="K863" i="3"/>
  <c r="I863" i="3"/>
  <c r="F863" i="3"/>
  <c r="D863" i="3"/>
  <c r="B863" i="3"/>
  <c r="A863" i="3"/>
  <c r="K862" i="3"/>
  <c r="I862" i="3"/>
  <c r="F862" i="3"/>
  <c r="D862" i="3"/>
  <c r="B862" i="3"/>
  <c r="A862" i="3"/>
  <c r="K861" i="3"/>
  <c r="I861" i="3"/>
  <c r="F861" i="3"/>
  <c r="D861" i="3"/>
  <c r="B861" i="3"/>
  <c r="A861" i="3"/>
  <c r="K860" i="3"/>
  <c r="I860" i="3"/>
  <c r="F860" i="3"/>
  <c r="D860" i="3"/>
  <c r="B860" i="3"/>
  <c r="A860" i="3"/>
  <c r="K859" i="3"/>
  <c r="I859" i="3"/>
  <c r="F859" i="3"/>
  <c r="D859" i="3"/>
  <c r="B859" i="3"/>
  <c r="A859" i="3"/>
  <c r="K858" i="3"/>
  <c r="I858" i="3"/>
  <c r="F858" i="3"/>
  <c r="D858" i="3"/>
  <c r="B858" i="3"/>
  <c r="A858" i="3"/>
  <c r="K857" i="3"/>
  <c r="I857" i="3"/>
  <c r="F857" i="3"/>
  <c r="D857" i="3"/>
  <c r="B857" i="3"/>
  <c r="A857" i="3"/>
  <c r="K856" i="3"/>
  <c r="I856" i="3"/>
  <c r="F856" i="3"/>
  <c r="D856" i="3"/>
  <c r="B856" i="3"/>
  <c r="A856" i="3"/>
  <c r="K855" i="3"/>
  <c r="I855" i="3"/>
  <c r="F855" i="3"/>
  <c r="D855" i="3"/>
  <c r="B855" i="3"/>
  <c r="A855" i="3"/>
  <c r="K854" i="3"/>
  <c r="I854" i="3"/>
  <c r="F854" i="3"/>
  <c r="D854" i="3"/>
  <c r="B854" i="3"/>
  <c r="A854" i="3"/>
  <c r="K853" i="3"/>
  <c r="I853" i="3"/>
  <c r="F853" i="3"/>
  <c r="D853" i="3"/>
  <c r="B853" i="3"/>
  <c r="A853" i="3"/>
  <c r="K852" i="3"/>
  <c r="I852" i="3"/>
  <c r="F852" i="3"/>
  <c r="D852" i="3"/>
  <c r="B852" i="3"/>
  <c r="A852" i="3"/>
  <c r="K851" i="3"/>
  <c r="I851" i="3"/>
  <c r="F851" i="3"/>
  <c r="D851" i="3"/>
  <c r="B851" i="3"/>
  <c r="A851" i="3"/>
  <c r="K850" i="3"/>
  <c r="I850" i="3"/>
  <c r="F850" i="3"/>
  <c r="D850" i="3"/>
  <c r="B850" i="3"/>
  <c r="A850" i="3"/>
  <c r="K849" i="3"/>
  <c r="I849" i="3"/>
  <c r="F849" i="3"/>
  <c r="D849" i="3"/>
  <c r="B849" i="3"/>
  <c r="A849" i="3"/>
  <c r="K848" i="3"/>
  <c r="I848" i="3"/>
  <c r="F848" i="3"/>
  <c r="D848" i="3"/>
  <c r="B848" i="3"/>
  <c r="A848" i="3"/>
  <c r="K847" i="3"/>
  <c r="I847" i="3"/>
  <c r="F847" i="3"/>
  <c r="D847" i="3"/>
  <c r="B847" i="3"/>
  <c r="A847" i="3"/>
  <c r="K846" i="3"/>
  <c r="I846" i="3"/>
  <c r="F846" i="3"/>
  <c r="D846" i="3"/>
  <c r="B846" i="3"/>
  <c r="A846" i="3"/>
  <c r="K845" i="3"/>
  <c r="I845" i="3"/>
  <c r="F845" i="3"/>
  <c r="D845" i="3"/>
  <c r="B845" i="3"/>
  <c r="A845" i="3"/>
  <c r="K844" i="3"/>
  <c r="I844" i="3"/>
  <c r="F844" i="3"/>
  <c r="D844" i="3"/>
  <c r="B844" i="3"/>
  <c r="A844" i="3"/>
  <c r="K843" i="3"/>
  <c r="I843" i="3"/>
  <c r="F843" i="3"/>
  <c r="B843" i="3"/>
  <c r="A843" i="3"/>
  <c r="K842" i="3"/>
  <c r="I842" i="3"/>
  <c r="F842" i="3"/>
  <c r="D842" i="3"/>
  <c r="B842" i="3"/>
  <c r="A842" i="3"/>
  <c r="K841" i="3"/>
  <c r="I841" i="3"/>
  <c r="F841" i="3"/>
  <c r="D841" i="3"/>
  <c r="B841" i="3"/>
  <c r="A841" i="3"/>
  <c r="K840" i="3"/>
  <c r="I840" i="3"/>
  <c r="F840" i="3"/>
  <c r="D840" i="3"/>
  <c r="B840" i="3"/>
  <c r="A840" i="3"/>
  <c r="K839" i="3"/>
  <c r="I839" i="3"/>
  <c r="F839" i="3"/>
  <c r="D839" i="3"/>
  <c r="B839" i="3"/>
  <c r="A839" i="3"/>
  <c r="K838" i="3"/>
  <c r="I838" i="3"/>
  <c r="F838" i="3"/>
  <c r="D838" i="3"/>
  <c r="B838" i="3"/>
  <c r="A838" i="3"/>
  <c r="K837" i="3"/>
  <c r="I837" i="3"/>
  <c r="F837" i="3"/>
  <c r="D837" i="3"/>
  <c r="B837" i="3"/>
  <c r="A837" i="3"/>
  <c r="K836" i="3"/>
  <c r="I836" i="3"/>
  <c r="F836" i="3"/>
  <c r="D836" i="3"/>
  <c r="B836" i="3"/>
  <c r="A836" i="3"/>
  <c r="K835" i="3"/>
  <c r="I835" i="3"/>
  <c r="F835" i="3"/>
  <c r="D835" i="3"/>
  <c r="B835" i="3"/>
  <c r="A835" i="3"/>
  <c r="K834" i="3"/>
  <c r="I834" i="3"/>
  <c r="F834" i="3"/>
  <c r="D834" i="3"/>
  <c r="B834" i="3"/>
  <c r="A834" i="3"/>
  <c r="K833" i="3"/>
  <c r="I833" i="3"/>
  <c r="F833" i="3"/>
  <c r="D833" i="3"/>
  <c r="B833" i="3"/>
  <c r="A833" i="3"/>
  <c r="K832" i="3"/>
  <c r="I832" i="3"/>
  <c r="F832" i="3"/>
  <c r="D832" i="3"/>
  <c r="B832" i="3"/>
  <c r="A832" i="3"/>
  <c r="K831" i="3"/>
  <c r="I831" i="3"/>
  <c r="F831" i="3"/>
  <c r="D831" i="3"/>
  <c r="B831" i="3"/>
  <c r="A831" i="3"/>
  <c r="K830" i="3"/>
  <c r="I830" i="3"/>
  <c r="F830" i="3"/>
  <c r="D830" i="3"/>
  <c r="B830" i="3"/>
  <c r="A830" i="3"/>
  <c r="K829" i="3"/>
  <c r="I829" i="3"/>
  <c r="F829" i="3"/>
  <c r="D829" i="3"/>
  <c r="B829" i="3"/>
  <c r="A829" i="3"/>
  <c r="K828" i="3"/>
  <c r="I828" i="3"/>
  <c r="F828" i="3"/>
  <c r="D828" i="3"/>
  <c r="B828" i="3"/>
  <c r="A828" i="3"/>
  <c r="K827" i="3"/>
  <c r="I827" i="3"/>
  <c r="F827" i="3"/>
  <c r="D827" i="3"/>
  <c r="B827" i="3"/>
  <c r="A827" i="3"/>
  <c r="K826" i="3"/>
  <c r="I826" i="3"/>
  <c r="F826" i="3"/>
  <c r="D826" i="3"/>
  <c r="B826" i="3"/>
  <c r="A826" i="3"/>
  <c r="K825" i="3"/>
  <c r="I825" i="3"/>
  <c r="F825" i="3"/>
  <c r="D825" i="3"/>
  <c r="B825" i="3"/>
  <c r="A825" i="3"/>
  <c r="K824" i="3"/>
  <c r="I824" i="3"/>
  <c r="F824" i="3"/>
  <c r="D824" i="3"/>
  <c r="B824" i="3"/>
  <c r="A824" i="3"/>
  <c r="K823" i="3"/>
  <c r="I823" i="3"/>
  <c r="F823" i="3"/>
  <c r="D823" i="3"/>
  <c r="B823" i="3"/>
  <c r="A823" i="3"/>
  <c r="K822" i="3"/>
  <c r="I822" i="3"/>
  <c r="F822" i="3"/>
  <c r="D822" i="3"/>
  <c r="B822" i="3"/>
  <c r="A822" i="3"/>
  <c r="K821" i="3"/>
  <c r="I821" i="3"/>
  <c r="F821" i="3"/>
  <c r="D821" i="3"/>
  <c r="B821" i="3"/>
  <c r="A821" i="3"/>
  <c r="K820" i="3"/>
  <c r="I820" i="3"/>
  <c r="F820" i="3"/>
  <c r="D820" i="3"/>
  <c r="B820" i="3"/>
  <c r="A820" i="3"/>
  <c r="K819" i="3"/>
  <c r="I819" i="3"/>
  <c r="F819" i="3"/>
  <c r="D819" i="3"/>
  <c r="B819" i="3"/>
  <c r="A819" i="3"/>
  <c r="K818" i="3"/>
  <c r="I818" i="3"/>
  <c r="F818" i="3"/>
  <c r="D818" i="3"/>
  <c r="B818" i="3"/>
  <c r="A818" i="3"/>
  <c r="K817" i="3"/>
  <c r="I817" i="3"/>
  <c r="F817" i="3"/>
  <c r="D817" i="3"/>
  <c r="B817" i="3"/>
  <c r="A817" i="3"/>
  <c r="K816" i="3"/>
  <c r="I816" i="3"/>
  <c r="F816" i="3"/>
  <c r="D816" i="3"/>
  <c r="B816" i="3"/>
  <c r="A816" i="3"/>
  <c r="K815" i="3"/>
  <c r="I815" i="3"/>
  <c r="F815" i="3"/>
  <c r="D815" i="3"/>
  <c r="B815" i="3"/>
  <c r="A815" i="3"/>
  <c r="K814" i="3"/>
  <c r="I814" i="3"/>
  <c r="F814" i="3"/>
  <c r="D814" i="3"/>
  <c r="B814" i="3"/>
  <c r="A814" i="3"/>
  <c r="K813" i="3"/>
  <c r="I813" i="3"/>
  <c r="F813" i="3"/>
  <c r="D813" i="3"/>
  <c r="B813" i="3"/>
  <c r="A813" i="3"/>
  <c r="K812" i="3"/>
  <c r="I812" i="3"/>
  <c r="F812" i="3"/>
  <c r="B812" i="3"/>
  <c r="A812" i="3"/>
  <c r="K811" i="3"/>
  <c r="I811" i="3"/>
  <c r="F811" i="3"/>
  <c r="D811" i="3"/>
  <c r="B811" i="3"/>
  <c r="A811" i="3"/>
  <c r="K810" i="3"/>
  <c r="I810" i="3"/>
  <c r="F810" i="3"/>
  <c r="D810" i="3"/>
  <c r="B810" i="3"/>
  <c r="A810" i="3"/>
  <c r="K809" i="3"/>
  <c r="I809" i="3"/>
  <c r="F809" i="3"/>
  <c r="E809" i="3"/>
  <c r="D809" i="3"/>
  <c r="B809" i="3"/>
  <c r="A809" i="3"/>
  <c r="K808" i="3"/>
  <c r="I808" i="3"/>
  <c r="F808" i="3"/>
  <c r="D808" i="3"/>
  <c r="B808" i="3"/>
  <c r="A808" i="3"/>
  <c r="K807" i="3"/>
  <c r="I807" i="3"/>
  <c r="F807" i="3"/>
  <c r="D807" i="3"/>
  <c r="B807" i="3"/>
  <c r="A807" i="3"/>
  <c r="K806" i="3"/>
  <c r="I806" i="3"/>
  <c r="F806" i="3"/>
  <c r="D806" i="3"/>
  <c r="B806" i="3"/>
  <c r="A806" i="3"/>
  <c r="K805" i="3"/>
  <c r="I805" i="3"/>
  <c r="F805" i="3"/>
  <c r="D805" i="3"/>
  <c r="B805" i="3"/>
  <c r="A805" i="3"/>
  <c r="K804" i="3"/>
  <c r="I804" i="3"/>
  <c r="F804" i="3"/>
  <c r="D804" i="3"/>
  <c r="B804" i="3"/>
  <c r="A804" i="3"/>
  <c r="K803" i="3"/>
  <c r="I803" i="3"/>
  <c r="F803" i="3"/>
  <c r="D803" i="3"/>
  <c r="B803" i="3"/>
  <c r="A803" i="3"/>
  <c r="K802" i="3"/>
  <c r="I802" i="3"/>
  <c r="F802" i="3"/>
  <c r="D802" i="3"/>
  <c r="B802" i="3"/>
  <c r="A802" i="3"/>
  <c r="K801" i="3"/>
  <c r="I801" i="3"/>
  <c r="F801" i="3"/>
  <c r="D801" i="3"/>
  <c r="B801" i="3"/>
  <c r="A801" i="3"/>
  <c r="K800" i="3"/>
  <c r="I800" i="3"/>
  <c r="F800" i="3"/>
  <c r="D800" i="3"/>
  <c r="B800" i="3"/>
  <c r="A800" i="3"/>
  <c r="K799" i="3"/>
  <c r="I799" i="3"/>
  <c r="F799" i="3"/>
  <c r="D799" i="3"/>
  <c r="B799" i="3"/>
  <c r="A799" i="3"/>
  <c r="K798" i="3"/>
  <c r="I798" i="3"/>
  <c r="F798" i="3"/>
  <c r="D798" i="3"/>
  <c r="B798" i="3"/>
  <c r="A798" i="3"/>
  <c r="K797" i="3"/>
  <c r="I797" i="3"/>
  <c r="F797" i="3"/>
  <c r="D797" i="3"/>
  <c r="B797" i="3"/>
  <c r="A797" i="3"/>
  <c r="K796" i="3"/>
  <c r="I796" i="3"/>
  <c r="F796" i="3"/>
  <c r="D796" i="3"/>
  <c r="B796" i="3"/>
  <c r="A796" i="3"/>
  <c r="K795" i="3"/>
  <c r="I795" i="3"/>
  <c r="F795" i="3"/>
  <c r="D795" i="3"/>
  <c r="B795" i="3"/>
  <c r="A795" i="3"/>
  <c r="K794" i="3"/>
  <c r="I794" i="3"/>
  <c r="F794" i="3"/>
  <c r="D794" i="3"/>
  <c r="B794" i="3"/>
  <c r="A794" i="3"/>
  <c r="K793" i="3"/>
  <c r="I793" i="3"/>
  <c r="F793" i="3"/>
  <c r="D793" i="3"/>
  <c r="B793" i="3"/>
  <c r="A793" i="3"/>
  <c r="K792" i="3"/>
  <c r="I792" i="3"/>
  <c r="F792" i="3"/>
  <c r="D792" i="3"/>
  <c r="B792" i="3"/>
  <c r="A792" i="3"/>
  <c r="K791" i="3"/>
  <c r="I791" i="3"/>
  <c r="F791" i="3"/>
  <c r="D791" i="3"/>
  <c r="B791" i="3"/>
  <c r="A791" i="3"/>
  <c r="K790" i="3"/>
  <c r="I790" i="3"/>
  <c r="F790" i="3"/>
  <c r="D790" i="3"/>
  <c r="B790" i="3"/>
  <c r="A790" i="3"/>
  <c r="K789" i="3"/>
  <c r="I789" i="3"/>
  <c r="F789" i="3"/>
  <c r="D789" i="3"/>
  <c r="B789" i="3"/>
  <c r="A789" i="3"/>
  <c r="K788" i="3"/>
  <c r="I788" i="3"/>
  <c r="D788" i="3"/>
  <c r="B788" i="3"/>
  <c r="A788" i="3"/>
  <c r="K787" i="3"/>
  <c r="I787" i="3"/>
  <c r="F787" i="3"/>
  <c r="D787" i="3"/>
  <c r="B787" i="3"/>
  <c r="A787" i="3"/>
  <c r="K786" i="3"/>
  <c r="I786" i="3"/>
  <c r="F786" i="3"/>
  <c r="D786" i="3"/>
  <c r="B786" i="3"/>
  <c r="A786" i="3"/>
  <c r="K785" i="3"/>
  <c r="I785" i="3"/>
  <c r="F785" i="3"/>
  <c r="D785" i="3"/>
  <c r="B785" i="3"/>
  <c r="A785" i="3"/>
  <c r="K784" i="3"/>
  <c r="I784" i="3"/>
  <c r="F784" i="3"/>
  <c r="D784" i="3"/>
  <c r="B784" i="3"/>
  <c r="A784" i="3"/>
  <c r="K783" i="3"/>
  <c r="I783" i="3"/>
  <c r="F783" i="3"/>
  <c r="D783" i="3"/>
  <c r="B783" i="3"/>
  <c r="A783" i="3"/>
  <c r="K782" i="3"/>
  <c r="I782" i="3"/>
  <c r="F782" i="3"/>
  <c r="D782" i="3"/>
  <c r="B782" i="3"/>
  <c r="A782" i="3"/>
  <c r="K781" i="3"/>
  <c r="I781" i="3"/>
  <c r="F781" i="3"/>
  <c r="D781" i="3"/>
  <c r="B781" i="3"/>
  <c r="A781" i="3"/>
  <c r="K780" i="3"/>
  <c r="I780" i="3"/>
  <c r="F780" i="3"/>
  <c r="D780" i="3"/>
  <c r="B780" i="3"/>
  <c r="A780" i="3"/>
  <c r="K779" i="3"/>
  <c r="I779" i="3"/>
  <c r="F779" i="3"/>
  <c r="D779" i="3"/>
  <c r="B779" i="3"/>
  <c r="A779" i="3"/>
  <c r="K778" i="3"/>
  <c r="I778" i="3"/>
  <c r="F778" i="3"/>
  <c r="D778" i="3"/>
  <c r="B778" i="3"/>
  <c r="A778" i="3"/>
  <c r="K777" i="3"/>
  <c r="I777" i="3"/>
  <c r="F777" i="3"/>
  <c r="D777" i="3"/>
  <c r="B777" i="3"/>
  <c r="A777" i="3"/>
  <c r="K776" i="3"/>
  <c r="I776" i="3"/>
  <c r="F776" i="3"/>
  <c r="D776" i="3"/>
  <c r="B776" i="3"/>
  <c r="A776" i="3"/>
  <c r="K775" i="3"/>
  <c r="I775" i="3"/>
  <c r="F775" i="3"/>
  <c r="D775" i="3"/>
  <c r="B775" i="3"/>
  <c r="A775" i="3"/>
  <c r="K774" i="3"/>
  <c r="I774" i="3"/>
  <c r="F774" i="3"/>
  <c r="D774" i="3"/>
  <c r="B774" i="3"/>
  <c r="A774" i="3"/>
  <c r="K773" i="3"/>
  <c r="I773" i="3"/>
  <c r="F773" i="3"/>
  <c r="D773" i="3"/>
  <c r="B773" i="3"/>
  <c r="A773" i="3"/>
  <c r="K772" i="3"/>
  <c r="I772" i="3"/>
  <c r="F772" i="3"/>
  <c r="D772" i="3"/>
  <c r="B772" i="3"/>
  <c r="A772" i="3"/>
  <c r="K771" i="3"/>
  <c r="I771" i="3"/>
  <c r="F771" i="3"/>
  <c r="D771" i="3"/>
  <c r="B771" i="3"/>
  <c r="A771" i="3"/>
  <c r="K770" i="3"/>
  <c r="I770" i="3"/>
  <c r="F770" i="3"/>
  <c r="D770" i="3"/>
  <c r="B770" i="3"/>
  <c r="A770" i="3"/>
  <c r="K769" i="3"/>
  <c r="I769" i="3"/>
  <c r="F769" i="3"/>
  <c r="D769" i="3"/>
  <c r="B769" i="3"/>
  <c r="A769" i="3"/>
  <c r="K768" i="3"/>
  <c r="I768" i="3"/>
  <c r="F768" i="3"/>
  <c r="D768" i="3"/>
  <c r="B768" i="3"/>
  <c r="A768" i="3"/>
  <c r="K767" i="3"/>
  <c r="I767" i="3"/>
  <c r="F767" i="3"/>
  <c r="D767" i="3"/>
  <c r="B767" i="3"/>
  <c r="A767" i="3"/>
  <c r="K766" i="3"/>
  <c r="I766" i="3"/>
  <c r="F766" i="3"/>
  <c r="D766" i="3"/>
  <c r="B766" i="3"/>
  <c r="A766" i="3"/>
  <c r="K765" i="3"/>
  <c r="I765" i="3"/>
  <c r="F765" i="3"/>
  <c r="D765" i="3"/>
  <c r="B765" i="3"/>
  <c r="A765" i="3"/>
  <c r="K764" i="3"/>
  <c r="I764" i="3"/>
  <c r="F764" i="3"/>
  <c r="D764" i="3"/>
  <c r="B764" i="3"/>
  <c r="A764" i="3"/>
  <c r="K763" i="3"/>
  <c r="I763" i="3"/>
  <c r="F763" i="3"/>
  <c r="D763" i="3"/>
  <c r="B763" i="3"/>
  <c r="A763" i="3"/>
  <c r="K762" i="3"/>
  <c r="I762" i="3"/>
  <c r="F762" i="3"/>
  <c r="D762" i="3"/>
  <c r="B762" i="3"/>
  <c r="A762" i="3"/>
  <c r="K761" i="3"/>
  <c r="I761" i="3"/>
  <c r="F761" i="3"/>
  <c r="D761" i="3"/>
  <c r="B761" i="3"/>
  <c r="A761" i="3"/>
  <c r="K760" i="3"/>
  <c r="I760" i="3"/>
  <c r="F760" i="3"/>
  <c r="D760" i="3"/>
  <c r="B760" i="3"/>
  <c r="A760" i="3"/>
  <c r="K759" i="3"/>
  <c r="I759" i="3"/>
  <c r="F759" i="3"/>
  <c r="D759" i="3"/>
  <c r="B759" i="3"/>
  <c r="A759" i="3"/>
  <c r="K758" i="3"/>
  <c r="I758" i="3"/>
  <c r="F758" i="3"/>
  <c r="D758" i="3"/>
  <c r="B758" i="3"/>
  <c r="A758" i="3"/>
  <c r="K757" i="3"/>
  <c r="I757" i="3"/>
  <c r="F757" i="3"/>
  <c r="D757" i="3"/>
  <c r="B757" i="3"/>
  <c r="A757" i="3"/>
  <c r="K756" i="3"/>
  <c r="I756" i="3"/>
  <c r="F756" i="3"/>
  <c r="D756" i="3"/>
  <c r="B756" i="3"/>
  <c r="A756" i="3"/>
  <c r="K755" i="3"/>
  <c r="I755" i="3"/>
  <c r="F755" i="3"/>
  <c r="D755" i="3"/>
  <c r="B755" i="3"/>
  <c r="A755" i="3"/>
  <c r="K754" i="3"/>
  <c r="I754" i="3"/>
  <c r="F754" i="3"/>
  <c r="D754" i="3"/>
  <c r="B754" i="3"/>
  <c r="A754" i="3"/>
  <c r="K753" i="3"/>
  <c r="I753" i="3"/>
  <c r="F753" i="3"/>
  <c r="D753" i="3"/>
  <c r="B753" i="3"/>
  <c r="A753" i="3"/>
  <c r="K752" i="3"/>
  <c r="I752" i="3"/>
  <c r="F752" i="3"/>
  <c r="D752" i="3"/>
  <c r="B752" i="3"/>
  <c r="A752" i="3"/>
  <c r="K751" i="3"/>
  <c r="I751" i="3"/>
  <c r="F751" i="3"/>
  <c r="D751" i="3"/>
  <c r="B751" i="3"/>
  <c r="A751" i="3"/>
  <c r="K750" i="3"/>
  <c r="I750" i="3"/>
  <c r="F750" i="3"/>
  <c r="D750" i="3"/>
  <c r="B750" i="3"/>
  <c r="A750" i="3"/>
  <c r="K749" i="3"/>
  <c r="I749" i="3"/>
  <c r="F749" i="3"/>
  <c r="D749" i="3"/>
  <c r="B749" i="3"/>
  <c r="A749" i="3"/>
  <c r="K748" i="3"/>
  <c r="I748" i="3"/>
  <c r="F748" i="3"/>
  <c r="D748" i="3"/>
  <c r="B748" i="3"/>
  <c r="A748" i="3"/>
  <c r="K747" i="3"/>
  <c r="I747" i="3"/>
  <c r="F747" i="3"/>
  <c r="D747" i="3"/>
  <c r="B747" i="3"/>
  <c r="A747" i="3"/>
  <c r="K746" i="3"/>
  <c r="I746" i="3"/>
  <c r="F746" i="3"/>
  <c r="D746" i="3"/>
  <c r="B746" i="3"/>
  <c r="A746" i="3"/>
  <c r="K745" i="3"/>
  <c r="I745" i="3"/>
  <c r="F745" i="3"/>
  <c r="D745" i="3"/>
  <c r="B745" i="3"/>
  <c r="A745" i="3"/>
  <c r="K744" i="3"/>
  <c r="I744" i="3"/>
  <c r="F744" i="3"/>
  <c r="D744" i="3"/>
  <c r="B744" i="3"/>
  <c r="A744" i="3"/>
  <c r="K743" i="3"/>
  <c r="I743" i="3"/>
  <c r="F743" i="3"/>
  <c r="D743" i="3"/>
  <c r="B743" i="3"/>
  <c r="A743" i="3"/>
  <c r="K742" i="3"/>
  <c r="I742" i="3"/>
  <c r="F742" i="3"/>
  <c r="D742" i="3"/>
  <c r="B742" i="3"/>
  <c r="A742" i="3"/>
  <c r="K741" i="3"/>
  <c r="I741" i="3"/>
  <c r="F741" i="3"/>
  <c r="D741" i="3"/>
  <c r="B741" i="3"/>
  <c r="A741" i="3"/>
  <c r="K740" i="3"/>
  <c r="I740" i="3"/>
  <c r="F740" i="3"/>
  <c r="D740" i="3"/>
  <c r="B740" i="3"/>
  <c r="A740" i="3"/>
  <c r="K739" i="3"/>
  <c r="I739" i="3"/>
  <c r="F739" i="3"/>
  <c r="D739" i="3"/>
  <c r="B739" i="3"/>
  <c r="A739" i="3"/>
  <c r="K738" i="3"/>
  <c r="I738" i="3"/>
  <c r="F738" i="3"/>
  <c r="D738" i="3"/>
  <c r="B738" i="3"/>
  <c r="A738" i="3"/>
  <c r="K737" i="3"/>
  <c r="I737" i="3"/>
  <c r="F737" i="3"/>
  <c r="D737" i="3"/>
  <c r="B737" i="3"/>
  <c r="A737" i="3"/>
  <c r="K736" i="3"/>
  <c r="I736" i="3"/>
  <c r="F736" i="3"/>
  <c r="D736" i="3"/>
  <c r="B736" i="3"/>
  <c r="A736" i="3"/>
  <c r="K735" i="3"/>
  <c r="I735" i="3"/>
  <c r="F735" i="3"/>
  <c r="D735" i="3"/>
  <c r="B735" i="3"/>
  <c r="A735" i="3"/>
  <c r="K734" i="3"/>
  <c r="I734" i="3"/>
  <c r="F734" i="3"/>
  <c r="D734" i="3"/>
  <c r="B734" i="3"/>
  <c r="A734" i="3"/>
  <c r="K733" i="3"/>
  <c r="I733" i="3"/>
  <c r="F733" i="3"/>
  <c r="D733" i="3"/>
  <c r="B733" i="3"/>
  <c r="A733" i="3"/>
  <c r="K732" i="3"/>
  <c r="I732" i="3"/>
  <c r="F732" i="3"/>
  <c r="D732" i="3"/>
  <c r="B732" i="3"/>
  <c r="A732" i="3"/>
  <c r="K731" i="3"/>
  <c r="I731" i="3"/>
  <c r="F731" i="3"/>
  <c r="D731" i="3"/>
  <c r="B731" i="3"/>
  <c r="A731" i="3"/>
  <c r="K730" i="3"/>
  <c r="I730" i="3"/>
  <c r="F730" i="3"/>
  <c r="D730" i="3"/>
  <c r="B730" i="3"/>
  <c r="A730" i="3"/>
  <c r="K729" i="3"/>
  <c r="I729" i="3"/>
  <c r="F729" i="3"/>
  <c r="D729" i="3"/>
  <c r="B729" i="3"/>
  <c r="A729" i="3"/>
  <c r="K728" i="3"/>
  <c r="I728" i="3"/>
  <c r="F728" i="3"/>
  <c r="D728" i="3"/>
  <c r="B728" i="3"/>
  <c r="A728" i="3"/>
  <c r="K727" i="3"/>
  <c r="I727" i="3"/>
  <c r="F727" i="3"/>
  <c r="B727" i="3"/>
  <c r="A727" i="3"/>
  <c r="K726" i="3"/>
  <c r="I726" i="3"/>
  <c r="B726" i="3"/>
  <c r="A726" i="3"/>
  <c r="K725" i="3"/>
  <c r="I725" i="3"/>
  <c r="F725" i="3"/>
  <c r="D725" i="3"/>
  <c r="B725" i="3"/>
  <c r="A725" i="3"/>
  <c r="K724" i="3"/>
  <c r="I724" i="3"/>
  <c r="F724" i="3"/>
  <c r="D724" i="3"/>
  <c r="B724" i="3"/>
  <c r="A724" i="3"/>
  <c r="K723" i="3"/>
  <c r="I723" i="3"/>
  <c r="F723" i="3"/>
  <c r="D723" i="3"/>
  <c r="B723" i="3"/>
  <c r="A723" i="3"/>
  <c r="K722" i="3"/>
  <c r="I722" i="3"/>
  <c r="F722" i="3"/>
  <c r="D722" i="3"/>
  <c r="B722" i="3"/>
  <c r="A722" i="3"/>
  <c r="K721" i="3"/>
  <c r="I721" i="3"/>
  <c r="F721" i="3"/>
  <c r="D721" i="3"/>
  <c r="B721" i="3"/>
  <c r="A721" i="3"/>
  <c r="K720" i="3"/>
  <c r="I720" i="3"/>
  <c r="F720" i="3"/>
  <c r="B720" i="3"/>
  <c r="A720" i="3"/>
  <c r="K719" i="3"/>
  <c r="I719" i="3"/>
  <c r="F719" i="3"/>
  <c r="D719" i="3"/>
  <c r="B719" i="3"/>
  <c r="A719" i="3"/>
  <c r="K718" i="3"/>
  <c r="I718" i="3"/>
  <c r="F718" i="3"/>
  <c r="D718" i="3"/>
  <c r="B718" i="3"/>
  <c r="A718" i="3"/>
  <c r="K717" i="3"/>
  <c r="I717" i="3"/>
  <c r="F717" i="3"/>
  <c r="D717" i="3"/>
  <c r="B717" i="3"/>
  <c r="A717" i="3"/>
  <c r="K716" i="3"/>
  <c r="I716" i="3"/>
  <c r="F716" i="3"/>
  <c r="D716" i="3"/>
  <c r="B716" i="3"/>
  <c r="A716" i="3"/>
  <c r="K715" i="3"/>
  <c r="I715" i="3"/>
  <c r="F715" i="3"/>
  <c r="D715" i="3"/>
  <c r="B715" i="3"/>
  <c r="A715" i="3"/>
  <c r="K714" i="3"/>
  <c r="I714" i="3"/>
  <c r="F714" i="3"/>
  <c r="D714" i="3"/>
  <c r="B714" i="3"/>
  <c r="A714" i="3"/>
  <c r="K713" i="3"/>
  <c r="I713" i="3"/>
  <c r="F713" i="3"/>
  <c r="D713" i="3"/>
  <c r="B713" i="3"/>
  <c r="A713" i="3"/>
  <c r="K712" i="3"/>
  <c r="I712" i="3"/>
  <c r="F712" i="3"/>
  <c r="D712" i="3"/>
  <c r="B712" i="3"/>
  <c r="A712" i="3"/>
  <c r="K711" i="3"/>
  <c r="I711" i="3"/>
  <c r="F711" i="3"/>
  <c r="D711" i="3"/>
  <c r="B711" i="3"/>
  <c r="A711" i="3"/>
  <c r="K710" i="3"/>
  <c r="I710" i="3"/>
  <c r="F710" i="3"/>
  <c r="D710" i="3"/>
  <c r="B710" i="3"/>
  <c r="A710" i="3"/>
  <c r="K709" i="3"/>
  <c r="I709" i="3"/>
  <c r="F709" i="3"/>
  <c r="D709" i="3"/>
  <c r="B709" i="3"/>
  <c r="A709" i="3"/>
  <c r="K708" i="3"/>
  <c r="I708" i="3"/>
  <c r="F708" i="3"/>
  <c r="D708" i="3"/>
  <c r="B708" i="3"/>
  <c r="A708" i="3"/>
  <c r="K707" i="3"/>
  <c r="I707" i="3"/>
  <c r="F707" i="3"/>
  <c r="D707" i="3"/>
  <c r="B707" i="3"/>
  <c r="A707" i="3"/>
  <c r="K706" i="3"/>
  <c r="I706" i="3"/>
  <c r="F706" i="3"/>
  <c r="D706" i="3"/>
  <c r="B706" i="3"/>
  <c r="A706" i="3"/>
  <c r="K705" i="3"/>
  <c r="I705" i="3"/>
  <c r="F705" i="3"/>
  <c r="D705" i="3"/>
  <c r="B705" i="3"/>
  <c r="A705" i="3"/>
  <c r="K704" i="3"/>
  <c r="I704" i="3"/>
  <c r="F704" i="3"/>
  <c r="D704" i="3"/>
  <c r="B704" i="3"/>
  <c r="A704" i="3"/>
  <c r="K703" i="3"/>
  <c r="I703" i="3"/>
  <c r="F703" i="3"/>
  <c r="D703" i="3"/>
  <c r="B703" i="3"/>
  <c r="A703" i="3"/>
  <c r="K702" i="3"/>
  <c r="I702" i="3"/>
  <c r="F702" i="3"/>
  <c r="D702" i="3"/>
  <c r="B702" i="3"/>
  <c r="A702" i="3"/>
  <c r="K701" i="3"/>
  <c r="I701" i="3"/>
  <c r="F701" i="3"/>
  <c r="D701" i="3"/>
  <c r="B701" i="3"/>
  <c r="A701" i="3"/>
  <c r="K700" i="3"/>
  <c r="I700" i="3"/>
  <c r="F700" i="3"/>
  <c r="D700" i="3"/>
  <c r="B700" i="3"/>
  <c r="A700" i="3"/>
  <c r="K699" i="3"/>
  <c r="I699" i="3"/>
  <c r="F699" i="3"/>
  <c r="D699" i="3"/>
  <c r="B699" i="3"/>
  <c r="A699" i="3"/>
  <c r="K698" i="3"/>
  <c r="I698" i="3"/>
  <c r="F698" i="3"/>
  <c r="D698" i="3"/>
  <c r="B698" i="3"/>
  <c r="A698" i="3"/>
  <c r="K697" i="3"/>
  <c r="I697" i="3"/>
  <c r="F697" i="3"/>
  <c r="D697" i="3"/>
  <c r="B697" i="3"/>
  <c r="A697" i="3"/>
  <c r="K696" i="3"/>
  <c r="I696" i="3"/>
  <c r="F696" i="3"/>
  <c r="D696" i="3"/>
  <c r="B696" i="3"/>
  <c r="A696" i="3"/>
  <c r="K695" i="3"/>
  <c r="I695" i="3"/>
  <c r="F695" i="3"/>
  <c r="D695" i="3"/>
  <c r="B695" i="3"/>
  <c r="A695" i="3"/>
  <c r="K694" i="3"/>
  <c r="I694" i="3"/>
  <c r="F694" i="3"/>
  <c r="D694" i="3"/>
  <c r="B694" i="3"/>
  <c r="A694" i="3"/>
  <c r="K693" i="3"/>
  <c r="I693" i="3"/>
  <c r="F693" i="3"/>
  <c r="D693" i="3"/>
  <c r="B693" i="3"/>
  <c r="A693" i="3"/>
  <c r="K692" i="3"/>
  <c r="I692" i="3"/>
  <c r="F692" i="3"/>
  <c r="D692" i="3"/>
  <c r="B692" i="3"/>
  <c r="A692" i="3"/>
  <c r="K691" i="3"/>
  <c r="I691" i="3"/>
  <c r="F691" i="3"/>
  <c r="D691" i="3"/>
  <c r="B691" i="3"/>
  <c r="A691" i="3"/>
  <c r="K690" i="3"/>
  <c r="I690" i="3"/>
  <c r="F690" i="3"/>
  <c r="D690" i="3"/>
  <c r="B690" i="3"/>
  <c r="A690" i="3"/>
  <c r="K689" i="3"/>
  <c r="I689" i="3"/>
  <c r="F689" i="3"/>
  <c r="D689" i="3"/>
  <c r="B689" i="3"/>
  <c r="A689" i="3"/>
  <c r="K688" i="3"/>
  <c r="I688" i="3"/>
  <c r="F688" i="3"/>
  <c r="D688" i="3"/>
  <c r="B688" i="3"/>
  <c r="A688" i="3"/>
  <c r="K687" i="3"/>
  <c r="I687" i="3"/>
  <c r="F687" i="3"/>
  <c r="D687" i="3"/>
  <c r="B687" i="3"/>
  <c r="A687" i="3"/>
  <c r="K686" i="3"/>
  <c r="I686" i="3"/>
  <c r="F686" i="3"/>
  <c r="D686" i="3"/>
  <c r="B686" i="3"/>
  <c r="A686" i="3"/>
  <c r="K685" i="3"/>
  <c r="I685" i="3"/>
  <c r="F685" i="3"/>
  <c r="D685" i="3"/>
  <c r="B685" i="3"/>
  <c r="A685" i="3"/>
  <c r="K684" i="3"/>
  <c r="I684" i="3"/>
  <c r="F684" i="3"/>
  <c r="D684" i="3"/>
  <c r="B684" i="3"/>
  <c r="A684" i="3"/>
  <c r="K683" i="3"/>
  <c r="I683" i="3"/>
  <c r="D683" i="3"/>
  <c r="B683" i="3"/>
  <c r="A683" i="3"/>
  <c r="K682" i="3"/>
  <c r="I682" i="3"/>
  <c r="F682" i="3"/>
  <c r="D682" i="3"/>
  <c r="B682" i="3"/>
  <c r="A682" i="3"/>
  <c r="K681" i="3"/>
  <c r="I681" i="3"/>
  <c r="F681" i="3"/>
  <c r="D681" i="3"/>
  <c r="B681" i="3"/>
  <c r="A681" i="3"/>
  <c r="K680" i="3"/>
  <c r="I680" i="3"/>
  <c r="B680" i="3"/>
  <c r="A680" i="3"/>
  <c r="K679" i="3"/>
  <c r="I679" i="3"/>
  <c r="F679" i="3"/>
  <c r="D679" i="3"/>
  <c r="B679" i="3"/>
  <c r="A679" i="3"/>
  <c r="K678" i="3"/>
  <c r="I678" i="3"/>
  <c r="F678" i="3"/>
  <c r="D678" i="3"/>
  <c r="B678" i="3"/>
  <c r="A678" i="3"/>
  <c r="K677" i="3"/>
  <c r="I677" i="3"/>
  <c r="F677" i="3"/>
  <c r="D677" i="3"/>
  <c r="B677" i="3"/>
  <c r="A677" i="3"/>
  <c r="K676" i="3"/>
  <c r="I676" i="3"/>
  <c r="F676" i="3"/>
  <c r="D676" i="3"/>
  <c r="B676" i="3"/>
  <c r="A676" i="3"/>
  <c r="K675" i="3"/>
  <c r="I675" i="3"/>
  <c r="F675" i="3"/>
  <c r="D675" i="3"/>
  <c r="B675" i="3"/>
  <c r="A675" i="3"/>
  <c r="K674" i="3"/>
  <c r="I674" i="3"/>
  <c r="F674" i="3"/>
  <c r="B674" i="3"/>
  <c r="A674" i="3"/>
  <c r="K673" i="3"/>
  <c r="I673" i="3"/>
  <c r="F673" i="3"/>
  <c r="D673" i="3"/>
  <c r="B673" i="3"/>
  <c r="A673" i="3"/>
  <c r="K672" i="3"/>
  <c r="I672" i="3"/>
  <c r="F672" i="3"/>
  <c r="D672" i="3"/>
  <c r="B672" i="3"/>
  <c r="A672" i="3"/>
  <c r="K671" i="3"/>
  <c r="I671" i="3"/>
  <c r="F671" i="3"/>
  <c r="D671" i="3"/>
  <c r="B671" i="3"/>
  <c r="A671" i="3"/>
  <c r="K670" i="3"/>
  <c r="I670" i="3"/>
  <c r="F670" i="3"/>
  <c r="D670" i="3"/>
  <c r="B670" i="3"/>
  <c r="A670" i="3"/>
  <c r="K669" i="3"/>
  <c r="I669" i="3"/>
  <c r="F669" i="3"/>
  <c r="D669" i="3"/>
  <c r="B669" i="3"/>
  <c r="A669" i="3"/>
  <c r="K668" i="3"/>
  <c r="I668" i="3"/>
  <c r="F668" i="3"/>
  <c r="D668" i="3"/>
  <c r="B668" i="3"/>
  <c r="A668" i="3"/>
  <c r="K667" i="3"/>
  <c r="I667" i="3"/>
  <c r="F667" i="3"/>
  <c r="D667" i="3"/>
  <c r="B667" i="3"/>
  <c r="A667" i="3"/>
  <c r="K666" i="3"/>
  <c r="I666" i="3"/>
  <c r="F666" i="3"/>
  <c r="D666" i="3"/>
  <c r="B666" i="3"/>
  <c r="A666" i="3"/>
  <c r="K665" i="3"/>
  <c r="I665" i="3"/>
  <c r="F665" i="3"/>
  <c r="D665" i="3"/>
  <c r="B665" i="3"/>
  <c r="A665" i="3"/>
  <c r="K664" i="3"/>
  <c r="I664" i="3"/>
  <c r="F664" i="3"/>
  <c r="D664" i="3"/>
  <c r="B664" i="3"/>
  <c r="A664" i="3"/>
  <c r="K663" i="3"/>
  <c r="I663" i="3"/>
  <c r="F663" i="3"/>
  <c r="D663" i="3"/>
  <c r="B663" i="3"/>
  <c r="A663" i="3"/>
  <c r="K662" i="3"/>
  <c r="I662" i="3"/>
  <c r="F662" i="3"/>
  <c r="D662" i="3"/>
  <c r="B662" i="3"/>
  <c r="A662" i="3"/>
  <c r="K661" i="3"/>
  <c r="I661" i="3"/>
  <c r="F661" i="3"/>
  <c r="D661" i="3"/>
  <c r="B661" i="3"/>
  <c r="A661" i="3"/>
  <c r="K660" i="3"/>
  <c r="I660" i="3"/>
  <c r="F660" i="3"/>
  <c r="D660" i="3"/>
  <c r="B660" i="3"/>
  <c r="A660" i="3"/>
  <c r="K659" i="3"/>
  <c r="I659" i="3"/>
  <c r="F659" i="3"/>
  <c r="D659" i="3"/>
  <c r="B659" i="3"/>
  <c r="A659" i="3"/>
  <c r="K658" i="3"/>
  <c r="I658" i="3"/>
  <c r="F658" i="3"/>
  <c r="D658" i="3"/>
  <c r="B658" i="3"/>
  <c r="A658" i="3"/>
  <c r="K657" i="3"/>
  <c r="I657" i="3"/>
  <c r="F657" i="3"/>
  <c r="E657" i="3"/>
  <c r="D657" i="3"/>
  <c r="B657" i="3"/>
  <c r="A657" i="3"/>
  <c r="K656" i="3"/>
  <c r="I656" i="3"/>
  <c r="F656" i="3"/>
  <c r="D656" i="3"/>
  <c r="B656" i="3"/>
  <c r="A656" i="3"/>
  <c r="K655" i="3"/>
  <c r="I655" i="3"/>
  <c r="F655" i="3"/>
  <c r="D655" i="3"/>
  <c r="B655" i="3"/>
  <c r="A655" i="3"/>
  <c r="K654" i="3"/>
  <c r="I654" i="3"/>
  <c r="F654" i="3"/>
  <c r="D654" i="3"/>
  <c r="B654" i="3"/>
  <c r="A654" i="3"/>
  <c r="K653" i="3"/>
  <c r="I653" i="3"/>
  <c r="F653" i="3"/>
  <c r="D653" i="3"/>
  <c r="B653" i="3"/>
  <c r="A653" i="3"/>
  <c r="K652" i="3"/>
  <c r="I652" i="3"/>
  <c r="F652" i="3"/>
  <c r="D652" i="3"/>
  <c r="B652" i="3"/>
  <c r="A652" i="3"/>
  <c r="K651" i="3"/>
  <c r="I651" i="3"/>
  <c r="F651" i="3"/>
  <c r="D651" i="3"/>
  <c r="B651" i="3"/>
  <c r="A651" i="3"/>
  <c r="K650" i="3"/>
  <c r="I650" i="3"/>
  <c r="F650" i="3"/>
  <c r="D650" i="3"/>
  <c r="B650" i="3"/>
  <c r="A650" i="3"/>
  <c r="K649" i="3"/>
  <c r="I649" i="3"/>
  <c r="F649" i="3"/>
  <c r="D649" i="3"/>
  <c r="B649" i="3"/>
  <c r="A649" i="3"/>
  <c r="K648" i="3"/>
  <c r="I648" i="3"/>
  <c r="F648" i="3"/>
  <c r="D648" i="3"/>
  <c r="B648" i="3"/>
  <c r="A648" i="3"/>
  <c r="K647" i="3"/>
  <c r="I647" i="3"/>
  <c r="F647" i="3"/>
  <c r="D647" i="3"/>
  <c r="B647" i="3"/>
  <c r="A647" i="3"/>
  <c r="K646" i="3"/>
  <c r="I646" i="3"/>
  <c r="F646" i="3"/>
  <c r="D646" i="3"/>
  <c r="B646" i="3"/>
  <c r="A646" i="3"/>
  <c r="K645" i="3"/>
  <c r="I645" i="3"/>
  <c r="F645" i="3"/>
  <c r="D645" i="3"/>
  <c r="B645" i="3"/>
  <c r="A645" i="3"/>
  <c r="K644" i="3"/>
  <c r="I644" i="3"/>
  <c r="F644" i="3"/>
  <c r="D644" i="3"/>
  <c r="B644" i="3"/>
  <c r="A644" i="3"/>
  <c r="K643" i="3"/>
  <c r="I643" i="3"/>
  <c r="F643" i="3"/>
  <c r="D643" i="3"/>
  <c r="B643" i="3"/>
  <c r="A643" i="3"/>
  <c r="K642" i="3"/>
  <c r="I642" i="3"/>
  <c r="F642" i="3"/>
  <c r="D642" i="3"/>
  <c r="B642" i="3"/>
  <c r="A642" i="3"/>
  <c r="K641" i="3"/>
  <c r="I641" i="3"/>
  <c r="F641" i="3"/>
  <c r="D641" i="3"/>
  <c r="B641" i="3"/>
  <c r="A641" i="3"/>
  <c r="K640" i="3"/>
  <c r="I640" i="3"/>
  <c r="F640" i="3"/>
  <c r="D640" i="3"/>
  <c r="B640" i="3"/>
  <c r="A640" i="3"/>
  <c r="K639" i="3"/>
  <c r="I639" i="3"/>
  <c r="F639" i="3"/>
  <c r="D639" i="3"/>
  <c r="B639" i="3"/>
  <c r="A639" i="3"/>
  <c r="K638" i="3"/>
  <c r="I638" i="3"/>
  <c r="F638" i="3"/>
  <c r="B638" i="3"/>
  <c r="A638" i="3"/>
  <c r="K637" i="3"/>
  <c r="I637" i="3"/>
  <c r="F637" i="3"/>
  <c r="D637" i="3"/>
  <c r="B637" i="3"/>
  <c r="A637" i="3"/>
  <c r="K636" i="3"/>
  <c r="I636" i="3"/>
  <c r="F636" i="3"/>
  <c r="D636" i="3"/>
  <c r="B636" i="3"/>
  <c r="A636" i="3"/>
  <c r="K635" i="3"/>
  <c r="I635" i="3"/>
  <c r="F635" i="3"/>
  <c r="D635" i="3"/>
  <c r="B635" i="3"/>
  <c r="A635" i="3"/>
  <c r="K634" i="3"/>
  <c r="I634" i="3"/>
  <c r="F634" i="3"/>
  <c r="D634" i="3"/>
  <c r="B634" i="3"/>
  <c r="A634" i="3"/>
  <c r="K633" i="3"/>
  <c r="I633" i="3"/>
  <c r="F633" i="3"/>
  <c r="D633" i="3"/>
  <c r="B633" i="3"/>
  <c r="A633" i="3"/>
  <c r="K632" i="3"/>
  <c r="I632" i="3"/>
  <c r="F632" i="3"/>
  <c r="D632" i="3"/>
  <c r="B632" i="3"/>
  <c r="A632" i="3"/>
  <c r="K631" i="3"/>
  <c r="I631" i="3"/>
  <c r="F631" i="3"/>
  <c r="D631" i="3"/>
  <c r="B631" i="3"/>
  <c r="A631" i="3"/>
  <c r="K630" i="3"/>
  <c r="I630" i="3"/>
  <c r="F630" i="3"/>
  <c r="D630" i="3"/>
  <c r="B630" i="3"/>
  <c r="A630" i="3"/>
  <c r="K629" i="3"/>
  <c r="I629" i="3"/>
  <c r="F629" i="3"/>
  <c r="D629" i="3"/>
  <c r="B629" i="3"/>
  <c r="A629" i="3"/>
  <c r="K628" i="3"/>
  <c r="I628" i="3"/>
  <c r="F628" i="3"/>
  <c r="D628" i="3"/>
  <c r="B628" i="3"/>
  <c r="A628" i="3"/>
  <c r="K627" i="3"/>
  <c r="I627" i="3"/>
  <c r="F627" i="3"/>
  <c r="D627" i="3"/>
  <c r="B627" i="3"/>
  <c r="A627" i="3"/>
  <c r="K626" i="3"/>
  <c r="I626" i="3"/>
  <c r="F626" i="3"/>
  <c r="D626" i="3"/>
  <c r="B626" i="3"/>
  <c r="A626" i="3"/>
  <c r="K625" i="3"/>
  <c r="I625" i="3"/>
  <c r="F625" i="3"/>
  <c r="D625" i="3"/>
  <c r="B625" i="3"/>
  <c r="A625" i="3"/>
  <c r="K624" i="3"/>
  <c r="I624" i="3"/>
  <c r="F624" i="3"/>
  <c r="D624" i="3"/>
  <c r="B624" i="3"/>
  <c r="A624" i="3"/>
  <c r="K623" i="3"/>
  <c r="I623" i="3"/>
  <c r="F623" i="3"/>
  <c r="D623" i="3"/>
  <c r="B623" i="3"/>
  <c r="A623" i="3"/>
  <c r="K622" i="3"/>
  <c r="I622" i="3"/>
  <c r="F622" i="3"/>
  <c r="D622" i="3"/>
  <c r="B622" i="3"/>
  <c r="A622" i="3"/>
  <c r="K621" i="3"/>
  <c r="I621" i="3"/>
  <c r="F621" i="3"/>
  <c r="D621" i="3"/>
  <c r="B621" i="3"/>
  <c r="A621" i="3"/>
  <c r="K620" i="3"/>
  <c r="I620" i="3"/>
  <c r="F620" i="3"/>
  <c r="D620" i="3"/>
  <c r="B620" i="3"/>
  <c r="A620" i="3"/>
  <c r="K619" i="3"/>
  <c r="I619" i="3"/>
  <c r="F619" i="3"/>
  <c r="D619" i="3"/>
  <c r="B619" i="3"/>
  <c r="A619" i="3"/>
  <c r="K618" i="3"/>
  <c r="I618" i="3"/>
  <c r="F618" i="3"/>
  <c r="D618" i="3"/>
  <c r="B618" i="3"/>
  <c r="A618" i="3"/>
  <c r="K617" i="3"/>
  <c r="I617" i="3"/>
  <c r="F617" i="3"/>
  <c r="D617" i="3"/>
  <c r="B617" i="3"/>
  <c r="A617" i="3"/>
  <c r="K616" i="3"/>
  <c r="I616" i="3"/>
  <c r="F616" i="3"/>
  <c r="D616" i="3"/>
  <c r="B616" i="3"/>
  <c r="A616" i="3"/>
  <c r="K615" i="3"/>
  <c r="I615" i="3"/>
  <c r="F615" i="3"/>
  <c r="D615" i="3"/>
  <c r="B615" i="3"/>
  <c r="A615" i="3"/>
  <c r="K614" i="3"/>
  <c r="I614" i="3"/>
  <c r="F614" i="3"/>
  <c r="D614" i="3"/>
  <c r="B614" i="3"/>
  <c r="A614" i="3"/>
  <c r="K613" i="3"/>
  <c r="I613" i="3"/>
  <c r="F613" i="3"/>
  <c r="D613" i="3"/>
  <c r="B613" i="3"/>
  <c r="A613" i="3"/>
  <c r="K612" i="3"/>
  <c r="I612" i="3"/>
  <c r="F612" i="3"/>
  <c r="D612" i="3"/>
  <c r="B612" i="3"/>
  <c r="A612" i="3"/>
  <c r="K611" i="3"/>
  <c r="I611" i="3"/>
  <c r="F611" i="3"/>
  <c r="D611" i="3"/>
  <c r="B611" i="3"/>
  <c r="A611" i="3"/>
  <c r="K610" i="3"/>
  <c r="I610" i="3"/>
  <c r="F610" i="3"/>
  <c r="D610" i="3"/>
  <c r="B610" i="3"/>
  <c r="A610" i="3"/>
  <c r="K609" i="3"/>
  <c r="I609" i="3"/>
  <c r="F609" i="3"/>
  <c r="D609" i="3"/>
  <c r="B609" i="3"/>
  <c r="A609" i="3"/>
  <c r="K608" i="3"/>
  <c r="I608" i="3"/>
  <c r="F608" i="3"/>
  <c r="D608" i="3"/>
  <c r="B608" i="3"/>
  <c r="A608" i="3"/>
  <c r="K607" i="3"/>
  <c r="I607" i="3"/>
  <c r="F607" i="3"/>
  <c r="D607" i="3"/>
  <c r="B607" i="3"/>
  <c r="A607" i="3"/>
  <c r="K606" i="3"/>
  <c r="I606" i="3"/>
  <c r="F606" i="3"/>
  <c r="D606" i="3"/>
  <c r="B606" i="3"/>
  <c r="A606" i="3"/>
  <c r="K605" i="3"/>
  <c r="I605" i="3"/>
  <c r="F605" i="3"/>
  <c r="D605" i="3"/>
  <c r="A605" i="3"/>
  <c r="K604" i="3"/>
  <c r="I604" i="3"/>
  <c r="F604" i="3"/>
  <c r="D604" i="3"/>
  <c r="B604" i="3"/>
  <c r="A604" i="3"/>
  <c r="K603" i="3"/>
  <c r="I603" i="3"/>
  <c r="F603" i="3"/>
  <c r="D603" i="3"/>
  <c r="B603" i="3"/>
  <c r="A603" i="3"/>
  <c r="K602" i="3"/>
  <c r="I602" i="3"/>
  <c r="F602" i="3"/>
  <c r="D602" i="3"/>
  <c r="B602" i="3"/>
  <c r="A602" i="3"/>
  <c r="K601" i="3"/>
  <c r="I601" i="3"/>
  <c r="F601" i="3"/>
  <c r="D601" i="3"/>
  <c r="B601" i="3"/>
  <c r="A601" i="3"/>
  <c r="K600" i="3"/>
  <c r="I600" i="3"/>
  <c r="F600" i="3"/>
  <c r="D600" i="3"/>
  <c r="B600" i="3"/>
  <c r="A600" i="3"/>
  <c r="K599" i="3"/>
  <c r="I599" i="3"/>
  <c r="F599" i="3"/>
  <c r="D599" i="3"/>
  <c r="B599" i="3"/>
  <c r="A599" i="3"/>
  <c r="K598" i="3"/>
  <c r="I598" i="3"/>
  <c r="F598" i="3"/>
  <c r="D598" i="3"/>
  <c r="B598" i="3"/>
  <c r="A598" i="3"/>
  <c r="K597" i="3"/>
  <c r="I597" i="3"/>
  <c r="F597" i="3"/>
  <c r="D597" i="3"/>
  <c r="B597" i="3"/>
  <c r="A597" i="3"/>
  <c r="K596" i="3"/>
  <c r="I596" i="3"/>
  <c r="F596" i="3"/>
  <c r="D596" i="3"/>
  <c r="B596" i="3"/>
  <c r="A596" i="3"/>
  <c r="K595" i="3"/>
  <c r="I595" i="3"/>
  <c r="F595" i="3"/>
  <c r="D595" i="3"/>
  <c r="B595" i="3"/>
  <c r="A595" i="3"/>
  <c r="K594" i="3"/>
  <c r="I594" i="3"/>
  <c r="F594" i="3"/>
  <c r="D594" i="3"/>
  <c r="B594" i="3"/>
  <c r="A594" i="3"/>
  <c r="K593" i="3"/>
  <c r="I593" i="3"/>
  <c r="F593" i="3"/>
  <c r="D593" i="3"/>
  <c r="B593" i="3"/>
  <c r="A593" i="3"/>
  <c r="K592" i="3"/>
  <c r="I592" i="3"/>
  <c r="F592" i="3"/>
  <c r="D592" i="3"/>
  <c r="B592" i="3"/>
  <c r="A592" i="3"/>
  <c r="K591" i="3"/>
  <c r="I591" i="3"/>
  <c r="F591" i="3"/>
  <c r="D591" i="3"/>
  <c r="B591" i="3"/>
  <c r="A591" i="3"/>
  <c r="K590" i="3"/>
  <c r="I590" i="3"/>
  <c r="F590" i="3"/>
  <c r="D590" i="3"/>
  <c r="B590" i="3"/>
  <c r="A590" i="3"/>
  <c r="K589" i="3"/>
  <c r="I589" i="3"/>
  <c r="F589" i="3"/>
  <c r="E589" i="3"/>
  <c r="D589" i="3"/>
  <c r="B589" i="3"/>
  <c r="A589" i="3"/>
  <c r="K588" i="3"/>
  <c r="I588" i="3"/>
  <c r="F588" i="3"/>
  <c r="D588" i="3"/>
  <c r="B588" i="3"/>
  <c r="A588" i="3"/>
  <c r="K587" i="3"/>
  <c r="I587" i="3"/>
  <c r="F587" i="3"/>
  <c r="D587" i="3"/>
  <c r="B587" i="3"/>
  <c r="A587" i="3"/>
  <c r="K586" i="3"/>
  <c r="I586" i="3"/>
  <c r="F586" i="3"/>
  <c r="D586" i="3"/>
  <c r="B586" i="3"/>
  <c r="A586" i="3"/>
  <c r="K585" i="3"/>
  <c r="I585" i="3"/>
  <c r="F585" i="3"/>
  <c r="D585" i="3"/>
  <c r="B585" i="3"/>
  <c r="A585" i="3"/>
  <c r="K584" i="3"/>
  <c r="I584" i="3"/>
  <c r="F584" i="3"/>
  <c r="D584" i="3"/>
  <c r="B584" i="3"/>
  <c r="A584" i="3"/>
  <c r="K583" i="3"/>
  <c r="I583" i="3"/>
  <c r="F583" i="3"/>
  <c r="B583" i="3"/>
  <c r="A583" i="3"/>
  <c r="K582" i="3"/>
  <c r="I582" i="3"/>
  <c r="F582" i="3"/>
  <c r="D582" i="3"/>
  <c r="B582" i="3"/>
  <c r="A582" i="3"/>
  <c r="K581" i="3"/>
  <c r="I581" i="3"/>
  <c r="F581" i="3"/>
  <c r="D581" i="3"/>
  <c r="B581" i="3"/>
  <c r="A581" i="3"/>
  <c r="K580" i="3"/>
  <c r="I580" i="3"/>
  <c r="F580" i="3"/>
  <c r="D580" i="3"/>
  <c r="B580" i="3"/>
  <c r="A580" i="3"/>
  <c r="K579" i="3"/>
  <c r="I579" i="3"/>
  <c r="F579" i="3"/>
  <c r="D579" i="3"/>
  <c r="B579" i="3"/>
  <c r="A579" i="3"/>
  <c r="K578" i="3"/>
  <c r="I578" i="3"/>
  <c r="F578" i="3"/>
  <c r="D578" i="3"/>
  <c r="B578" i="3"/>
  <c r="A578" i="3"/>
  <c r="K577" i="3"/>
  <c r="I577" i="3"/>
  <c r="F577" i="3"/>
  <c r="D577" i="3"/>
  <c r="B577" i="3"/>
  <c r="A577" i="3"/>
  <c r="K576" i="3"/>
  <c r="I576" i="3"/>
  <c r="F576" i="3"/>
  <c r="D576" i="3"/>
  <c r="B576" i="3"/>
  <c r="A576" i="3"/>
  <c r="K575" i="3"/>
  <c r="I575" i="3"/>
  <c r="F575" i="3"/>
  <c r="D575" i="3"/>
  <c r="B575" i="3"/>
  <c r="A575" i="3"/>
  <c r="K574" i="3"/>
  <c r="I574" i="3"/>
  <c r="F574" i="3"/>
  <c r="D574" i="3"/>
  <c r="B574" i="3"/>
  <c r="A574" i="3"/>
  <c r="K573" i="3"/>
  <c r="I573" i="3"/>
  <c r="F573" i="3"/>
  <c r="D573" i="3"/>
  <c r="B573" i="3"/>
  <c r="A573" i="3"/>
  <c r="K572" i="3"/>
  <c r="I572" i="3"/>
  <c r="F572" i="3"/>
  <c r="D572" i="3"/>
  <c r="B572" i="3"/>
  <c r="A572" i="3"/>
  <c r="K571" i="3"/>
  <c r="I571" i="3"/>
  <c r="F571" i="3"/>
  <c r="D571" i="3"/>
  <c r="B571" i="3"/>
  <c r="A571" i="3"/>
  <c r="K570" i="3"/>
  <c r="I570" i="3"/>
  <c r="F570" i="3"/>
  <c r="D570" i="3"/>
  <c r="B570" i="3"/>
  <c r="A570" i="3"/>
  <c r="K569" i="3"/>
  <c r="I569" i="3"/>
  <c r="F569" i="3"/>
  <c r="D569" i="3"/>
  <c r="B569" i="3"/>
  <c r="A569" i="3"/>
  <c r="K568" i="3"/>
  <c r="I568" i="3"/>
  <c r="F568" i="3"/>
  <c r="D568" i="3"/>
  <c r="B568" i="3"/>
  <c r="A568" i="3"/>
  <c r="K567" i="3"/>
  <c r="I567" i="3"/>
  <c r="F567" i="3"/>
  <c r="D567" i="3"/>
  <c r="B567" i="3"/>
  <c r="A567" i="3"/>
  <c r="K566" i="3"/>
  <c r="I566" i="3"/>
  <c r="F566" i="3"/>
  <c r="D566" i="3"/>
  <c r="B566" i="3"/>
  <c r="A566" i="3"/>
  <c r="K565" i="3"/>
  <c r="I565" i="3"/>
  <c r="F565" i="3"/>
  <c r="D565" i="3"/>
  <c r="B565" i="3"/>
  <c r="A565" i="3"/>
  <c r="K564" i="3"/>
  <c r="I564" i="3"/>
  <c r="F564" i="3"/>
  <c r="D564" i="3"/>
  <c r="B564" i="3"/>
  <c r="A564" i="3"/>
  <c r="K563" i="3"/>
  <c r="I563" i="3"/>
  <c r="F563" i="3"/>
  <c r="D563" i="3"/>
  <c r="B563" i="3"/>
  <c r="A563" i="3"/>
  <c r="K562" i="3"/>
  <c r="I562" i="3"/>
  <c r="F562" i="3"/>
  <c r="D562" i="3"/>
  <c r="B562" i="3"/>
  <c r="A562" i="3"/>
  <c r="K561" i="3"/>
  <c r="I561" i="3"/>
  <c r="F561" i="3"/>
  <c r="D561" i="3"/>
  <c r="B561" i="3"/>
  <c r="A561" i="3"/>
  <c r="K560" i="3"/>
  <c r="I560" i="3"/>
  <c r="F560" i="3"/>
  <c r="B560" i="3"/>
  <c r="A560" i="3"/>
  <c r="K559" i="3"/>
  <c r="I559" i="3"/>
  <c r="F559" i="3"/>
  <c r="D559" i="3"/>
  <c r="B559" i="3"/>
  <c r="A559" i="3"/>
  <c r="K558" i="3"/>
  <c r="I558" i="3"/>
  <c r="F558" i="3"/>
  <c r="D558" i="3"/>
  <c r="B558" i="3"/>
  <c r="A558" i="3"/>
  <c r="K557" i="3"/>
  <c r="I557" i="3"/>
  <c r="F557" i="3"/>
  <c r="D557" i="3"/>
  <c r="B557" i="3"/>
  <c r="A557" i="3"/>
  <c r="K556" i="3"/>
  <c r="I556" i="3"/>
  <c r="F556" i="3"/>
  <c r="D556" i="3"/>
  <c r="B556" i="3"/>
  <c r="A556" i="3"/>
  <c r="K555" i="3"/>
  <c r="I555" i="3"/>
  <c r="F555" i="3"/>
  <c r="D555" i="3"/>
  <c r="B555" i="3"/>
  <c r="A555" i="3"/>
  <c r="K554" i="3"/>
  <c r="I554" i="3"/>
  <c r="F554" i="3"/>
  <c r="D554" i="3"/>
  <c r="B554" i="3"/>
  <c r="A554" i="3"/>
  <c r="K553" i="3"/>
  <c r="I553" i="3"/>
  <c r="F553" i="3"/>
  <c r="D553" i="3"/>
  <c r="B553" i="3"/>
  <c r="A553" i="3"/>
  <c r="K552" i="3"/>
  <c r="I552" i="3"/>
  <c r="F552" i="3"/>
  <c r="D552" i="3"/>
  <c r="B552" i="3"/>
  <c r="A552" i="3"/>
  <c r="K551" i="3"/>
  <c r="I551" i="3"/>
  <c r="F551" i="3"/>
  <c r="D551" i="3"/>
  <c r="B551" i="3"/>
  <c r="A551" i="3"/>
  <c r="K550" i="3"/>
  <c r="I550" i="3"/>
  <c r="F550" i="3"/>
  <c r="D550" i="3"/>
  <c r="B550" i="3"/>
  <c r="A550" i="3"/>
  <c r="K549" i="3"/>
  <c r="I549" i="3"/>
  <c r="F549" i="3"/>
  <c r="D549" i="3"/>
  <c r="B549" i="3"/>
  <c r="A549" i="3"/>
  <c r="K548" i="3"/>
  <c r="I548" i="3"/>
  <c r="F548" i="3"/>
  <c r="D548" i="3"/>
  <c r="B548" i="3"/>
  <c r="A548" i="3"/>
  <c r="K547" i="3"/>
  <c r="I547" i="3"/>
  <c r="F547" i="3"/>
  <c r="D547" i="3"/>
  <c r="B547" i="3"/>
  <c r="A547" i="3"/>
  <c r="K546" i="3"/>
  <c r="I546" i="3"/>
  <c r="F546" i="3"/>
  <c r="D546" i="3"/>
  <c r="B546" i="3"/>
  <c r="A546" i="3"/>
  <c r="K545" i="3"/>
  <c r="I545" i="3"/>
  <c r="F545" i="3"/>
  <c r="D545" i="3"/>
  <c r="B545" i="3"/>
  <c r="A545" i="3"/>
  <c r="K544" i="3"/>
  <c r="I544" i="3"/>
  <c r="F544" i="3"/>
  <c r="D544" i="3"/>
  <c r="B544" i="3"/>
  <c r="A544" i="3"/>
  <c r="K543" i="3"/>
  <c r="I543" i="3"/>
  <c r="F543" i="3"/>
  <c r="D543" i="3"/>
  <c r="B543" i="3"/>
  <c r="A543" i="3"/>
  <c r="K542" i="3"/>
  <c r="I542" i="3"/>
  <c r="F542" i="3"/>
  <c r="D542" i="3"/>
  <c r="B542" i="3"/>
  <c r="A542" i="3"/>
  <c r="K541" i="3"/>
  <c r="I541" i="3"/>
  <c r="F541" i="3"/>
  <c r="D541" i="3"/>
  <c r="B541" i="3"/>
  <c r="A541" i="3"/>
  <c r="K540" i="3"/>
  <c r="I540" i="3"/>
  <c r="F540" i="3"/>
  <c r="D540" i="3"/>
  <c r="B540" i="3"/>
  <c r="A540" i="3"/>
  <c r="K539" i="3"/>
  <c r="I539" i="3"/>
  <c r="F539" i="3"/>
  <c r="D539" i="3"/>
  <c r="B539" i="3"/>
  <c r="A539" i="3"/>
  <c r="K538" i="3"/>
  <c r="I538" i="3"/>
  <c r="F538" i="3"/>
  <c r="D538" i="3"/>
  <c r="B538" i="3"/>
  <c r="A538" i="3"/>
  <c r="K537" i="3"/>
  <c r="I537" i="3"/>
  <c r="F537" i="3"/>
  <c r="D537" i="3"/>
  <c r="B537" i="3"/>
  <c r="A537" i="3"/>
  <c r="K536" i="3"/>
  <c r="I536" i="3"/>
  <c r="F536" i="3"/>
  <c r="B536" i="3"/>
  <c r="A536" i="3"/>
  <c r="K535" i="3"/>
  <c r="I535" i="3"/>
  <c r="F535" i="3"/>
  <c r="D535" i="3"/>
  <c r="B535" i="3"/>
  <c r="A535" i="3"/>
  <c r="K534" i="3"/>
  <c r="I534" i="3"/>
  <c r="F534" i="3"/>
  <c r="D534" i="3"/>
  <c r="B534" i="3"/>
  <c r="A534" i="3"/>
  <c r="K533" i="3"/>
  <c r="I533" i="3"/>
  <c r="F533" i="3"/>
  <c r="D533" i="3"/>
  <c r="B533" i="3"/>
  <c r="A533" i="3"/>
  <c r="K532" i="3"/>
  <c r="I532" i="3"/>
  <c r="F532" i="3"/>
  <c r="D532" i="3"/>
  <c r="B532" i="3"/>
  <c r="A532" i="3"/>
  <c r="K531" i="3"/>
  <c r="I531" i="3"/>
  <c r="F531" i="3"/>
  <c r="D531" i="3"/>
  <c r="B531" i="3"/>
  <c r="A531" i="3"/>
  <c r="K530" i="3"/>
  <c r="I530" i="3"/>
  <c r="F530" i="3"/>
  <c r="D530" i="3"/>
  <c r="B530" i="3"/>
  <c r="A530" i="3"/>
  <c r="K529" i="3"/>
  <c r="I529" i="3"/>
  <c r="F529" i="3"/>
  <c r="D529" i="3"/>
  <c r="B529" i="3"/>
  <c r="A529" i="3"/>
  <c r="K528" i="3"/>
  <c r="I528" i="3"/>
  <c r="F528" i="3"/>
  <c r="D528" i="3"/>
  <c r="B528" i="3"/>
  <c r="A528" i="3"/>
  <c r="K527" i="3"/>
  <c r="I527" i="3"/>
  <c r="F527" i="3"/>
  <c r="D527" i="3"/>
  <c r="B527" i="3"/>
  <c r="A527" i="3"/>
  <c r="K526" i="3"/>
  <c r="I526" i="3"/>
  <c r="F526" i="3"/>
  <c r="D526" i="3"/>
  <c r="B526" i="3"/>
  <c r="A526" i="3"/>
  <c r="K525" i="3"/>
  <c r="I525" i="3"/>
  <c r="F525" i="3"/>
  <c r="D525" i="3"/>
  <c r="B525" i="3"/>
  <c r="A525" i="3"/>
  <c r="K524" i="3"/>
  <c r="I524" i="3"/>
  <c r="F524" i="3"/>
  <c r="D524" i="3"/>
  <c r="B524" i="3"/>
  <c r="A524" i="3"/>
  <c r="K523" i="3"/>
  <c r="I523" i="3"/>
  <c r="F523" i="3"/>
  <c r="D523" i="3"/>
  <c r="B523" i="3"/>
  <c r="A523" i="3"/>
  <c r="K522" i="3"/>
  <c r="I522" i="3"/>
  <c r="F522" i="3"/>
  <c r="D522" i="3"/>
  <c r="B522" i="3"/>
  <c r="A522" i="3"/>
  <c r="K521" i="3"/>
  <c r="I521" i="3"/>
  <c r="F521" i="3"/>
  <c r="D521" i="3"/>
  <c r="B521" i="3"/>
  <c r="A521" i="3"/>
  <c r="K520" i="3"/>
  <c r="I520" i="3"/>
  <c r="F520" i="3"/>
  <c r="D520" i="3"/>
  <c r="B520" i="3"/>
  <c r="A520" i="3"/>
  <c r="K519" i="3"/>
  <c r="I519" i="3"/>
  <c r="F519" i="3"/>
  <c r="D519" i="3"/>
  <c r="B519" i="3"/>
  <c r="A519" i="3"/>
  <c r="K518" i="3"/>
  <c r="I518" i="3"/>
  <c r="F518" i="3"/>
  <c r="D518" i="3"/>
  <c r="B518" i="3"/>
  <c r="A518" i="3"/>
  <c r="K517" i="3"/>
  <c r="I517" i="3"/>
  <c r="F517" i="3"/>
  <c r="D517" i="3"/>
  <c r="B517" i="3"/>
  <c r="A517" i="3"/>
  <c r="K516" i="3"/>
  <c r="I516" i="3"/>
  <c r="F516" i="3"/>
  <c r="D516" i="3"/>
  <c r="A516" i="3"/>
  <c r="K515" i="3"/>
  <c r="I515" i="3"/>
  <c r="D515" i="3"/>
  <c r="B515" i="3"/>
  <c r="A515" i="3"/>
  <c r="K514" i="3"/>
  <c r="I514" i="3"/>
  <c r="F514" i="3"/>
  <c r="B514" i="3"/>
  <c r="A514" i="3"/>
  <c r="K513" i="3"/>
  <c r="I513" i="3"/>
  <c r="F513" i="3"/>
  <c r="D513" i="3"/>
  <c r="B513" i="3"/>
  <c r="A513" i="3"/>
  <c r="K512" i="3"/>
  <c r="I512" i="3"/>
  <c r="F512" i="3"/>
  <c r="D512" i="3"/>
  <c r="B512" i="3"/>
  <c r="A512" i="3"/>
  <c r="K511" i="3"/>
  <c r="I511" i="3"/>
  <c r="F511" i="3"/>
  <c r="D511" i="3"/>
  <c r="B511" i="3"/>
  <c r="A511" i="3"/>
  <c r="K510" i="3"/>
  <c r="I510" i="3"/>
  <c r="F510" i="3"/>
  <c r="D510" i="3"/>
  <c r="B510" i="3"/>
  <c r="A510" i="3"/>
  <c r="K509" i="3"/>
  <c r="I509" i="3"/>
  <c r="F509" i="3"/>
  <c r="D509" i="3"/>
  <c r="B509" i="3"/>
  <c r="A509" i="3"/>
  <c r="K508" i="3"/>
  <c r="I508" i="3"/>
  <c r="F508" i="3"/>
  <c r="D508" i="3"/>
  <c r="B508" i="3"/>
  <c r="A508" i="3"/>
  <c r="K507" i="3"/>
  <c r="I507" i="3"/>
  <c r="F507" i="3"/>
  <c r="D507" i="3"/>
  <c r="B507" i="3"/>
  <c r="A507" i="3"/>
  <c r="K506" i="3"/>
  <c r="I506" i="3"/>
  <c r="F506" i="3"/>
  <c r="D506" i="3"/>
  <c r="B506" i="3"/>
  <c r="A506" i="3"/>
  <c r="K505" i="3"/>
  <c r="I505" i="3"/>
  <c r="F505" i="3"/>
  <c r="D505" i="3"/>
  <c r="B505" i="3"/>
  <c r="A505" i="3"/>
  <c r="K504" i="3"/>
  <c r="I504" i="3"/>
  <c r="F504" i="3"/>
  <c r="D504" i="3"/>
  <c r="B504" i="3"/>
  <c r="A504" i="3"/>
  <c r="K503" i="3"/>
  <c r="I503" i="3"/>
  <c r="F503" i="3"/>
  <c r="D503" i="3"/>
  <c r="B503" i="3"/>
  <c r="A503" i="3"/>
  <c r="K502" i="3"/>
  <c r="I502" i="3"/>
  <c r="F502" i="3"/>
  <c r="D502" i="3"/>
  <c r="B502" i="3"/>
  <c r="A502" i="3"/>
  <c r="K501" i="3"/>
  <c r="I501" i="3"/>
  <c r="F501" i="3"/>
  <c r="D501" i="3"/>
  <c r="B501" i="3"/>
  <c r="A501" i="3"/>
  <c r="K500" i="3"/>
  <c r="I500" i="3"/>
  <c r="F500" i="3"/>
  <c r="D500" i="3"/>
  <c r="B500" i="3"/>
  <c r="A500" i="3"/>
  <c r="K499" i="3"/>
  <c r="I499" i="3"/>
  <c r="F499" i="3"/>
  <c r="D499" i="3"/>
  <c r="B499" i="3"/>
  <c r="A499" i="3"/>
  <c r="K498" i="3"/>
  <c r="I498" i="3"/>
  <c r="F498" i="3"/>
  <c r="D498" i="3"/>
  <c r="B498" i="3"/>
  <c r="A498" i="3"/>
  <c r="K497" i="3"/>
  <c r="I497" i="3"/>
  <c r="F497" i="3"/>
  <c r="D497" i="3"/>
  <c r="B497" i="3"/>
  <c r="A497" i="3"/>
  <c r="K496" i="3"/>
  <c r="I496" i="3"/>
  <c r="F496" i="3"/>
  <c r="D496" i="3"/>
  <c r="B496" i="3"/>
  <c r="A496" i="3"/>
  <c r="K495" i="3"/>
  <c r="I495" i="3"/>
  <c r="F495" i="3"/>
  <c r="B495" i="3"/>
  <c r="A495" i="3"/>
  <c r="K494" i="3"/>
  <c r="I494" i="3"/>
  <c r="F494" i="3"/>
  <c r="D494" i="3"/>
  <c r="B494" i="3"/>
  <c r="A494" i="3"/>
  <c r="K493" i="3"/>
  <c r="I493" i="3"/>
  <c r="F493" i="3"/>
  <c r="D493" i="3"/>
  <c r="B493" i="3"/>
  <c r="A493" i="3"/>
  <c r="K492" i="3"/>
  <c r="I492" i="3"/>
  <c r="F492" i="3"/>
  <c r="D492" i="3"/>
  <c r="B492" i="3"/>
  <c r="A492" i="3"/>
  <c r="K491" i="3"/>
  <c r="I491" i="3"/>
  <c r="F491" i="3"/>
  <c r="D491" i="3"/>
  <c r="B491" i="3"/>
  <c r="A491" i="3"/>
  <c r="K490" i="3"/>
  <c r="I490" i="3"/>
  <c r="F490" i="3"/>
  <c r="D490" i="3"/>
  <c r="B490" i="3"/>
  <c r="A490" i="3"/>
  <c r="K489" i="3"/>
  <c r="I489" i="3"/>
  <c r="F489" i="3"/>
  <c r="D489" i="3"/>
  <c r="B489" i="3"/>
  <c r="A489" i="3"/>
  <c r="K488" i="3"/>
  <c r="I488" i="3"/>
  <c r="F488" i="3"/>
  <c r="D488" i="3"/>
  <c r="B488" i="3"/>
  <c r="A488" i="3"/>
  <c r="K487" i="3"/>
  <c r="I487" i="3"/>
  <c r="F487" i="3"/>
  <c r="D487" i="3"/>
  <c r="B487" i="3"/>
  <c r="A487" i="3"/>
  <c r="K486" i="3"/>
  <c r="I486" i="3"/>
  <c r="F486" i="3"/>
  <c r="B486" i="3"/>
  <c r="A486" i="3"/>
  <c r="K485" i="3"/>
  <c r="I485" i="3"/>
  <c r="F485" i="3"/>
  <c r="D485" i="3"/>
  <c r="B485" i="3"/>
  <c r="A485" i="3"/>
  <c r="K484" i="3"/>
  <c r="I484" i="3"/>
  <c r="F484" i="3"/>
  <c r="D484" i="3"/>
  <c r="B484" i="3"/>
  <c r="A484" i="3"/>
  <c r="K483" i="3"/>
  <c r="I483" i="3"/>
  <c r="F483" i="3"/>
  <c r="D483" i="3"/>
  <c r="B483" i="3"/>
  <c r="A483" i="3"/>
  <c r="K482" i="3"/>
  <c r="I482" i="3"/>
  <c r="F482" i="3"/>
  <c r="D482" i="3"/>
  <c r="B482" i="3"/>
  <c r="A482" i="3"/>
  <c r="K481" i="3"/>
  <c r="I481" i="3"/>
  <c r="F481" i="3"/>
  <c r="D481" i="3"/>
  <c r="B481" i="3"/>
  <c r="A481" i="3"/>
  <c r="K480" i="3"/>
  <c r="I480" i="3"/>
  <c r="F480" i="3"/>
  <c r="B480" i="3"/>
  <c r="A480" i="3"/>
  <c r="K479" i="3"/>
  <c r="I479" i="3"/>
  <c r="F479" i="3"/>
  <c r="D479" i="3"/>
  <c r="B479" i="3"/>
  <c r="A479" i="3"/>
  <c r="K478" i="3"/>
  <c r="I478" i="3"/>
  <c r="F478" i="3"/>
  <c r="D478" i="3"/>
  <c r="B478" i="3"/>
  <c r="A478" i="3"/>
  <c r="K477" i="3"/>
  <c r="I477" i="3"/>
  <c r="F477" i="3"/>
  <c r="D477" i="3"/>
  <c r="B477" i="3"/>
  <c r="A477" i="3"/>
  <c r="K476" i="3"/>
  <c r="I476" i="3"/>
  <c r="F476" i="3"/>
  <c r="D476" i="3"/>
  <c r="B476" i="3"/>
  <c r="A476" i="3"/>
  <c r="K475" i="3"/>
  <c r="I475" i="3"/>
  <c r="F475" i="3"/>
  <c r="D475" i="3"/>
  <c r="B475" i="3"/>
  <c r="A475" i="3"/>
  <c r="K474" i="3"/>
  <c r="I474" i="3"/>
  <c r="F474" i="3"/>
  <c r="D474" i="3"/>
  <c r="B474" i="3"/>
  <c r="A474" i="3"/>
  <c r="K473" i="3"/>
  <c r="I473" i="3"/>
  <c r="F473" i="3"/>
  <c r="D473" i="3"/>
  <c r="B473" i="3"/>
  <c r="A473" i="3"/>
  <c r="K472" i="3"/>
  <c r="I472" i="3"/>
  <c r="F472" i="3"/>
  <c r="D472" i="3"/>
  <c r="B472" i="3"/>
  <c r="A472" i="3"/>
  <c r="K471" i="3"/>
  <c r="I471" i="3"/>
  <c r="F471" i="3"/>
  <c r="D471" i="3"/>
  <c r="B471" i="3"/>
  <c r="A471" i="3"/>
  <c r="K470" i="3"/>
  <c r="I470" i="3"/>
  <c r="F470" i="3"/>
  <c r="D470" i="3"/>
  <c r="B470" i="3"/>
  <c r="A470" i="3"/>
  <c r="K469" i="3"/>
  <c r="I469" i="3"/>
  <c r="F469" i="3"/>
  <c r="D469" i="3"/>
  <c r="B469" i="3"/>
  <c r="A469" i="3"/>
  <c r="K468" i="3"/>
  <c r="I468" i="3"/>
  <c r="F468" i="3"/>
  <c r="D468" i="3"/>
  <c r="B468" i="3"/>
  <c r="A468" i="3"/>
  <c r="K467" i="3"/>
  <c r="I467" i="3"/>
  <c r="F467" i="3"/>
  <c r="D467" i="3"/>
  <c r="B467" i="3"/>
  <c r="A467" i="3"/>
  <c r="K466" i="3"/>
  <c r="I466" i="3"/>
  <c r="F466" i="3"/>
  <c r="D466" i="3"/>
  <c r="B466" i="3"/>
  <c r="A466" i="3"/>
  <c r="K465" i="3"/>
  <c r="I465" i="3"/>
  <c r="F465" i="3"/>
  <c r="D465" i="3"/>
  <c r="B465" i="3"/>
  <c r="A465" i="3"/>
  <c r="K464" i="3"/>
  <c r="I464" i="3"/>
  <c r="F464" i="3"/>
  <c r="D464" i="3"/>
  <c r="B464" i="3"/>
  <c r="A464" i="3"/>
  <c r="K463" i="3"/>
  <c r="I463" i="3"/>
  <c r="F463" i="3"/>
  <c r="D463" i="3"/>
  <c r="B463" i="3"/>
  <c r="A463" i="3"/>
  <c r="K462" i="3"/>
  <c r="I462" i="3"/>
  <c r="F462" i="3"/>
  <c r="D462" i="3"/>
  <c r="B462" i="3"/>
  <c r="A462" i="3"/>
  <c r="K461" i="3"/>
  <c r="I461" i="3"/>
  <c r="F461" i="3"/>
  <c r="D461" i="3"/>
  <c r="B461" i="3"/>
  <c r="A461" i="3"/>
  <c r="K460" i="3"/>
  <c r="I460" i="3"/>
  <c r="F460" i="3"/>
  <c r="D460" i="3"/>
  <c r="B460" i="3"/>
  <c r="A460" i="3"/>
  <c r="K459" i="3"/>
  <c r="I459" i="3"/>
  <c r="F459" i="3"/>
  <c r="D459" i="3"/>
  <c r="B459" i="3"/>
  <c r="A459" i="3"/>
  <c r="K458" i="3"/>
  <c r="I458" i="3"/>
  <c r="F458" i="3"/>
  <c r="D458" i="3"/>
  <c r="B458" i="3"/>
  <c r="A458" i="3"/>
  <c r="K457" i="3"/>
  <c r="I457" i="3"/>
  <c r="F457" i="3"/>
  <c r="D457" i="3"/>
  <c r="B457" i="3"/>
  <c r="A457" i="3"/>
  <c r="K456" i="3"/>
  <c r="I456" i="3"/>
  <c r="F456" i="3"/>
  <c r="D456" i="3"/>
  <c r="B456" i="3"/>
  <c r="A456" i="3"/>
  <c r="K455" i="3"/>
  <c r="I455" i="3"/>
  <c r="F455" i="3"/>
  <c r="D455" i="3"/>
  <c r="B455" i="3"/>
  <c r="A455" i="3"/>
  <c r="K454" i="3"/>
  <c r="I454" i="3"/>
  <c r="F454" i="3"/>
  <c r="D454" i="3"/>
  <c r="B454" i="3"/>
  <c r="A454" i="3"/>
  <c r="K453" i="3"/>
  <c r="I453" i="3"/>
  <c r="F453" i="3"/>
  <c r="D453" i="3"/>
  <c r="B453" i="3"/>
  <c r="A453" i="3"/>
  <c r="K452" i="3"/>
  <c r="I452" i="3"/>
  <c r="F452" i="3"/>
  <c r="D452" i="3"/>
  <c r="B452" i="3"/>
  <c r="A452" i="3"/>
  <c r="K451" i="3"/>
  <c r="I451" i="3"/>
  <c r="F451" i="3"/>
  <c r="D451" i="3"/>
  <c r="B451" i="3"/>
  <c r="A451" i="3"/>
  <c r="K450" i="3"/>
  <c r="I450" i="3"/>
  <c r="F450" i="3"/>
  <c r="D450" i="3"/>
  <c r="B450" i="3"/>
  <c r="A450" i="3"/>
  <c r="K449" i="3"/>
  <c r="I449" i="3"/>
  <c r="F449" i="3"/>
  <c r="D449" i="3"/>
  <c r="B449" i="3"/>
  <c r="A449" i="3"/>
  <c r="K448" i="3"/>
  <c r="I448" i="3"/>
  <c r="F448" i="3"/>
  <c r="D448" i="3"/>
  <c r="B448" i="3"/>
  <c r="A448" i="3"/>
  <c r="K447" i="3"/>
  <c r="I447" i="3"/>
  <c r="F447" i="3"/>
  <c r="D447" i="3"/>
  <c r="B447" i="3"/>
  <c r="A447" i="3"/>
  <c r="K446" i="3"/>
  <c r="I446" i="3"/>
  <c r="F446" i="3"/>
  <c r="D446" i="3"/>
  <c r="B446" i="3"/>
  <c r="A446" i="3"/>
  <c r="K445" i="3"/>
  <c r="I445" i="3"/>
  <c r="F445" i="3"/>
  <c r="D445" i="3"/>
  <c r="B445" i="3"/>
  <c r="A445" i="3"/>
  <c r="K444" i="3"/>
  <c r="I444" i="3"/>
  <c r="F444" i="3"/>
  <c r="D444" i="3"/>
  <c r="B444" i="3"/>
  <c r="A444" i="3"/>
  <c r="K443" i="3"/>
  <c r="I443" i="3"/>
  <c r="F443" i="3"/>
  <c r="D443" i="3"/>
  <c r="B443" i="3"/>
  <c r="A443" i="3"/>
  <c r="K442" i="3"/>
  <c r="I442" i="3"/>
  <c r="F442" i="3"/>
  <c r="D442" i="3"/>
  <c r="B442" i="3"/>
  <c r="A442" i="3"/>
  <c r="K441" i="3"/>
  <c r="I441" i="3"/>
  <c r="F441" i="3"/>
  <c r="D441" i="3"/>
  <c r="B441" i="3"/>
  <c r="A441" i="3"/>
  <c r="K440" i="3"/>
  <c r="I440" i="3"/>
  <c r="F440" i="3"/>
  <c r="D440" i="3"/>
  <c r="B440" i="3"/>
  <c r="A440" i="3"/>
  <c r="K439" i="3"/>
  <c r="I439" i="3"/>
  <c r="F439" i="3"/>
  <c r="D439" i="3"/>
  <c r="B439" i="3"/>
  <c r="A439" i="3"/>
  <c r="K438" i="3"/>
  <c r="I438" i="3"/>
  <c r="F438" i="3"/>
  <c r="B438" i="3"/>
  <c r="A438" i="3"/>
  <c r="K437" i="3"/>
  <c r="I437" i="3"/>
  <c r="F437" i="3"/>
  <c r="D437" i="3"/>
  <c r="B437" i="3"/>
  <c r="A437" i="3"/>
  <c r="K436" i="3"/>
  <c r="I436" i="3"/>
  <c r="F436" i="3"/>
  <c r="D436" i="3"/>
  <c r="B436" i="3"/>
  <c r="A436" i="3"/>
  <c r="K435" i="3"/>
  <c r="I435" i="3"/>
  <c r="F435" i="3"/>
  <c r="D435" i="3"/>
  <c r="B435" i="3"/>
  <c r="A435" i="3"/>
  <c r="K434" i="3"/>
  <c r="I434" i="3"/>
  <c r="F434" i="3"/>
  <c r="D434" i="3"/>
  <c r="B434" i="3"/>
  <c r="A434" i="3"/>
  <c r="K433" i="3"/>
  <c r="I433" i="3"/>
  <c r="F433" i="3"/>
  <c r="D433" i="3"/>
  <c r="B433" i="3"/>
  <c r="A433" i="3"/>
  <c r="K432" i="3"/>
  <c r="I432" i="3"/>
  <c r="F432" i="3"/>
  <c r="D432" i="3"/>
  <c r="B432" i="3"/>
  <c r="A432" i="3"/>
  <c r="K431" i="3"/>
  <c r="I431" i="3"/>
  <c r="F431" i="3"/>
  <c r="D431" i="3"/>
  <c r="B431" i="3"/>
  <c r="A431" i="3"/>
  <c r="K430" i="3"/>
  <c r="I430" i="3"/>
  <c r="F430" i="3"/>
  <c r="D430" i="3"/>
  <c r="B430" i="3"/>
  <c r="A430" i="3"/>
  <c r="K429" i="3"/>
  <c r="I429" i="3"/>
  <c r="F429" i="3"/>
  <c r="D429" i="3"/>
  <c r="B429" i="3"/>
  <c r="A429" i="3"/>
  <c r="K428" i="3"/>
  <c r="I428" i="3"/>
  <c r="F428" i="3"/>
  <c r="D428" i="3"/>
  <c r="B428" i="3"/>
  <c r="A428" i="3"/>
  <c r="K427" i="3"/>
  <c r="I427" i="3"/>
  <c r="F427" i="3"/>
  <c r="D427" i="3"/>
  <c r="B427" i="3"/>
  <c r="A427" i="3"/>
  <c r="K426" i="3"/>
  <c r="I426" i="3"/>
  <c r="F426" i="3"/>
  <c r="D426" i="3"/>
  <c r="B426" i="3"/>
  <c r="A426" i="3"/>
  <c r="K425" i="3"/>
  <c r="I425" i="3"/>
  <c r="F425" i="3"/>
  <c r="D425" i="3"/>
  <c r="B425" i="3"/>
  <c r="A425" i="3"/>
  <c r="K424" i="3"/>
  <c r="I424" i="3"/>
  <c r="F424" i="3"/>
  <c r="D424" i="3"/>
  <c r="B424" i="3"/>
  <c r="A424" i="3"/>
  <c r="K423" i="3"/>
  <c r="I423" i="3"/>
  <c r="F423" i="3"/>
  <c r="D423" i="3"/>
  <c r="B423" i="3"/>
  <c r="A423" i="3"/>
  <c r="K422" i="3"/>
  <c r="I422" i="3"/>
  <c r="F422" i="3"/>
  <c r="D422" i="3"/>
  <c r="B422" i="3"/>
  <c r="A422" i="3"/>
  <c r="K421" i="3"/>
  <c r="I421" i="3"/>
  <c r="F421" i="3"/>
  <c r="D421" i="3"/>
  <c r="B421" i="3"/>
  <c r="A421" i="3"/>
  <c r="K420" i="3"/>
  <c r="I420" i="3"/>
  <c r="F420" i="3"/>
  <c r="D420" i="3"/>
  <c r="B420" i="3"/>
  <c r="A420" i="3"/>
  <c r="K419" i="3"/>
  <c r="I419" i="3"/>
  <c r="F419" i="3"/>
  <c r="D419" i="3"/>
  <c r="B419" i="3"/>
  <c r="A419" i="3"/>
  <c r="K418" i="3"/>
  <c r="I418" i="3"/>
  <c r="F418" i="3"/>
  <c r="D418" i="3"/>
  <c r="B418" i="3"/>
  <c r="A418" i="3"/>
  <c r="K417" i="3"/>
  <c r="I417" i="3"/>
  <c r="F417" i="3"/>
  <c r="D417" i="3"/>
  <c r="B417" i="3"/>
  <c r="A417" i="3"/>
  <c r="K416" i="3"/>
  <c r="I416" i="3"/>
  <c r="F416" i="3"/>
  <c r="D416" i="3"/>
  <c r="B416" i="3"/>
  <c r="A416" i="3"/>
  <c r="K415" i="3"/>
  <c r="I415" i="3"/>
  <c r="F415" i="3"/>
  <c r="D415" i="3"/>
  <c r="B415" i="3"/>
  <c r="A415" i="3"/>
  <c r="K414" i="3"/>
  <c r="I414" i="3"/>
  <c r="F414" i="3"/>
  <c r="B414" i="3"/>
  <c r="A414" i="3"/>
  <c r="K413" i="3"/>
  <c r="I413" i="3"/>
  <c r="F413" i="3"/>
  <c r="D413" i="3"/>
  <c r="B413" i="3"/>
  <c r="A413" i="3"/>
  <c r="K412" i="3"/>
  <c r="I412" i="3"/>
  <c r="F412" i="3"/>
  <c r="D412" i="3"/>
  <c r="B412" i="3"/>
  <c r="A412" i="3"/>
  <c r="K411" i="3"/>
  <c r="I411" i="3"/>
  <c r="F411" i="3"/>
  <c r="D411" i="3"/>
  <c r="B411" i="3"/>
  <c r="A411" i="3"/>
  <c r="K410" i="3"/>
  <c r="I410" i="3"/>
  <c r="F410" i="3"/>
  <c r="D410" i="3"/>
  <c r="B410" i="3"/>
  <c r="A410" i="3"/>
  <c r="K409" i="3"/>
  <c r="I409" i="3"/>
  <c r="F409" i="3"/>
  <c r="D409" i="3"/>
  <c r="B409" i="3"/>
  <c r="A409" i="3"/>
  <c r="K408" i="3"/>
  <c r="I408" i="3"/>
  <c r="F408" i="3"/>
  <c r="D408" i="3"/>
  <c r="B408" i="3"/>
  <c r="A408" i="3"/>
  <c r="K407" i="3"/>
  <c r="I407" i="3"/>
  <c r="F407" i="3"/>
  <c r="D407" i="3"/>
  <c r="B407" i="3"/>
  <c r="A407" i="3"/>
  <c r="K406" i="3"/>
  <c r="I406" i="3"/>
  <c r="F406" i="3"/>
  <c r="D406" i="3"/>
  <c r="B406" i="3"/>
  <c r="A406" i="3"/>
  <c r="K405" i="3"/>
  <c r="I405" i="3"/>
  <c r="F405" i="3"/>
  <c r="D405" i="3"/>
  <c r="B405" i="3"/>
  <c r="A405" i="3"/>
  <c r="K404" i="3"/>
  <c r="I404" i="3"/>
  <c r="F404" i="3"/>
  <c r="D404" i="3"/>
  <c r="B404" i="3"/>
  <c r="A404" i="3"/>
  <c r="K403" i="3"/>
  <c r="I403" i="3"/>
  <c r="F403" i="3"/>
  <c r="D403" i="3"/>
  <c r="B403" i="3"/>
  <c r="A403" i="3"/>
  <c r="K402" i="3"/>
  <c r="I402" i="3"/>
  <c r="F402" i="3"/>
  <c r="D402" i="3"/>
  <c r="B402" i="3"/>
  <c r="A402" i="3"/>
  <c r="K401" i="3"/>
  <c r="I401" i="3"/>
  <c r="F401" i="3"/>
  <c r="D401" i="3"/>
  <c r="B401" i="3"/>
  <c r="A401" i="3"/>
  <c r="K400" i="3"/>
  <c r="I400" i="3"/>
  <c r="F400" i="3"/>
  <c r="D400" i="3"/>
  <c r="B400" i="3"/>
  <c r="A400" i="3"/>
  <c r="K399" i="3"/>
  <c r="I399" i="3"/>
  <c r="F399" i="3"/>
  <c r="D399" i="3"/>
  <c r="B399" i="3"/>
  <c r="A399" i="3"/>
  <c r="K398" i="3"/>
  <c r="I398" i="3"/>
  <c r="F398" i="3"/>
  <c r="D398" i="3"/>
  <c r="B398" i="3"/>
  <c r="A398" i="3"/>
  <c r="K397" i="3"/>
  <c r="I397" i="3"/>
  <c r="F397" i="3"/>
  <c r="D397" i="3"/>
  <c r="B397" i="3"/>
  <c r="A397" i="3"/>
  <c r="K396" i="3"/>
  <c r="I396" i="3"/>
  <c r="F396" i="3"/>
  <c r="D396" i="3"/>
  <c r="B396" i="3"/>
  <c r="A396" i="3"/>
  <c r="K395" i="3"/>
  <c r="I395" i="3"/>
  <c r="F395" i="3"/>
  <c r="D395" i="3"/>
  <c r="B395" i="3"/>
  <c r="A395" i="3"/>
  <c r="K394" i="3"/>
  <c r="I394" i="3"/>
  <c r="F394" i="3"/>
  <c r="D394" i="3"/>
  <c r="B394" i="3"/>
  <c r="A394" i="3"/>
  <c r="K393" i="3"/>
  <c r="I393" i="3"/>
  <c r="F393" i="3"/>
  <c r="D393" i="3"/>
  <c r="B393" i="3"/>
  <c r="A393" i="3"/>
  <c r="K392" i="3"/>
  <c r="I392" i="3"/>
  <c r="F392" i="3"/>
  <c r="D392" i="3"/>
  <c r="B392" i="3"/>
  <c r="A392" i="3"/>
  <c r="K391" i="3"/>
  <c r="I391" i="3"/>
  <c r="F391" i="3"/>
  <c r="D391" i="3"/>
  <c r="B391" i="3"/>
  <c r="A391" i="3"/>
  <c r="K390" i="3"/>
  <c r="I390" i="3"/>
  <c r="F390" i="3"/>
  <c r="D390" i="3"/>
  <c r="B390" i="3"/>
  <c r="A390" i="3"/>
  <c r="K389" i="3"/>
  <c r="I389" i="3"/>
  <c r="F389" i="3"/>
  <c r="B389" i="3"/>
  <c r="A389" i="3"/>
  <c r="K388" i="3"/>
  <c r="I388" i="3"/>
  <c r="F388" i="3"/>
  <c r="D388" i="3"/>
  <c r="B388" i="3"/>
  <c r="A388" i="3"/>
  <c r="K387" i="3"/>
  <c r="I387" i="3"/>
  <c r="F387" i="3"/>
  <c r="D387" i="3"/>
  <c r="B387" i="3"/>
  <c r="A387" i="3"/>
  <c r="K386" i="3"/>
  <c r="I386" i="3"/>
  <c r="F386" i="3"/>
  <c r="D386" i="3"/>
  <c r="B386" i="3"/>
  <c r="A386" i="3"/>
  <c r="K385" i="3"/>
  <c r="I385" i="3"/>
  <c r="F385" i="3"/>
  <c r="D385" i="3"/>
  <c r="B385" i="3"/>
  <c r="A385" i="3"/>
  <c r="K384" i="3"/>
  <c r="I384" i="3"/>
  <c r="F384" i="3"/>
  <c r="D384" i="3"/>
  <c r="B384" i="3"/>
  <c r="A384" i="3"/>
  <c r="K383" i="3"/>
  <c r="I383" i="3"/>
  <c r="F383" i="3"/>
  <c r="D383" i="3"/>
  <c r="B383" i="3"/>
  <c r="A383" i="3"/>
  <c r="K382" i="3"/>
  <c r="I382" i="3"/>
  <c r="F382" i="3"/>
  <c r="D382" i="3"/>
  <c r="B382" i="3"/>
  <c r="A382" i="3"/>
  <c r="K381" i="3"/>
  <c r="I381" i="3"/>
  <c r="F381" i="3"/>
  <c r="D381" i="3"/>
  <c r="B381" i="3"/>
  <c r="A381" i="3"/>
  <c r="K380" i="3"/>
  <c r="I380" i="3"/>
  <c r="F380" i="3"/>
  <c r="D380" i="3"/>
  <c r="B380" i="3"/>
  <c r="A380" i="3"/>
  <c r="K379" i="3"/>
  <c r="I379" i="3"/>
  <c r="F379" i="3"/>
  <c r="D379" i="3"/>
  <c r="B379" i="3"/>
  <c r="A379" i="3"/>
  <c r="K378" i="3"/>
  <c r="I378" i="3"/>
  <c r="F378" i="3"/>
  <c r="D378" i="3"/>
  <c r="B378" i="3"/>
  <c r="A378" i="3"/>
  <c r="K377" i="3"/>
  <c r="I377" i="3"/>
  <c r="F377" i="3"/>
  <c r="D377" i="3"/>
  <c r="B377" i="3"/>
  <c r="A377" i="3"/>
  <c r="K376" i="3"/>
  <c r="I376" i="3"/>
  <c r="F376" i="3"/>
  <c r="D376" i="3"/>
  <c r="B376" i="3"/>
  <c r="A376" i="3"/>
  <c r="K375" i="3"/>
  <c r="I375" i="3"/>
  <c r="F375" i="3"/>
  <c r="D375" i="3"/>
  <c r="B375" i="3"/>
  <c r="A375" i="3"/>
  <c r="K374" i="3"/>
  <c r="I374" i="3"/>
  <c r="F374" i="3"/>
  <c r="D374" i="3"/>
  <c r="B374" i="3"/>
  <c r="A374" i="3"/>
  <c r="K373" i="3"/>
  <c r="I373" i="3"/>
  <c r="F373" i="3"/>
  <c r="D373" i="3"/>
  <c r="B373" i="3"/>
  <c r="A373" i="3"/>
  <c r="K372" i="3"/>
  <c r="I372" i="3"/>
  <c r="F372" i="3"/>
  <c r="D372" i="3"/>
  <c r="B372" i="3"/>
  <c r="A372" i="3"/>
  <c r="K371" i="3"/>
  <c r="I371" i="3"/>
  <c r="F371" i="3"/>
  <c r="D371" i="3"/>
  <c r="B371" i="3"/>
  <c r="A371" i="3"/>
  <c r="K370" i="3"/>
  <c r="I370" i="3"/>
  <c r="F370" i="3"/>
  <c r="D370" i="3"/>
  <c r="B370" i="3"/>
  <c r="A370" i="3"/>
  <c r="K369" i="3"/>
  <c r="I369" i="3"/>
  <c r="F369" i="3"/>
  <c r="D369" i="3"/>
  <c r="B369" i="3"/>
  <c r="A369" i="3"/>
  <c r="K368" i="3"/>
  <c r="I368" i="3"/>
  <c r="F368" i="3"/>
  <c r="D368" i="3"/>
  <c r="B368" i="3"/>
  <c r="A368" i="3"/>
  <c r="K367" i="3"/>
  <c r="I367" i="3"/>
  <c r="F367" i="3"/>
  <c r="D367" i="3"/>
  <c r="B367" i="3"/>
  <c r="A367" i="3"/>
  <c r="K366" i="3"/>
  <c r="I366" i="3"/>
  <c r="F366" i="3"/>
  <c r="D366" i="3"/>
  <c r="B366" i="3"/>
  <c r="A366" i="3"/>
  <c r="K365" i="3"/>
  <c r="I365" i="3"/>
  <c r="F365" i="3"/>
  <c r="D365" i="3"/>
  <c r="B365" i="3"/>
  <c r="A365" i="3"/>
  <c r="K364" i="3"/>
  <c r="I364" i="3"/>
  <c r="F364" i="3"/>
  <c r="D364" i="3"/>
  <c r="B364" i="3"/>
  <c r="A364" i="3"/>
  <c r="K363" i="3"/>
  <c r="I363" i="3"/>
  <c r="D363" i="3"/>
  <c r="B363" i="3"/>
  <c r="A363" i="3"/>
  <c r="K362" i="3"/>
  <c r="I362" i="3"/>
  <c r="F362" i="3"/>
  <c r="D362" i="3"/>
  <c r="B362" i="3"/>
  <c r="A362" i="3"/>
  <c r="K361" i="3"/>
  <c r="I361" i="3"/>
  <c r="F361" i="3"/>
  <c r="D361" i="3"/>
  <c r="B361" i="3"/>
  <c r="A361" i="3"/>
  <c r="K360" i="3"/>
  <c r="I360" i="3"/>
  <c r="F360" i="3"/>
  <c r="D360" i="3"/>
  <c r="B360" i="3"/>
  <c r="A360" i="3"/>
  <c r="K359" i="3"/>
  <c r="I359" i="3"/>
  <c r="F359" i="3"/>
  <c r="D359" i="3"/>
  <c r="B359" i="3"/>
  <c r="A359" i="3"/>
  <c r="K358" i="3"/>
  <c r="I358" i="3"/>
  <c r="F358" i="3"/>
  <c r="D358" i="3"/>
  <c r="B358" i="3"/>
  <c r="A358" i="3"/>
  <c r="K357" i="3"/>
  <c r="I357" i="3"/>
  <c r="F357" i="3"/>
  <c r="D357" i="3"/>
  <c r="B357" i="3"/>
  <c r="A357" i="3"/>
  <c r="K356" i="3"/>
  <c r="I356" i="3"/>
  <c r="F356" i="3"/>
  <c r="D356" i="3"/>
  <c r="B356" i="3"/>
  <c r="A356" i="3"/>
  <c r="K355" i="3"/>
  <c r="I355" i="3"/>
  <c r="F355" i="3"/>
  <c r="D355" i="3"/>
  <c r="B355" i="3"/>
  <c r="A355" i="3"/>
  <c r="K354" i="3"/>
  <c r="I354" i="3"/>
  <c r="F354" i="3"/>
  <c r="D354" i="3"/>
  <c r="B354" i="3"/>
  <c r="A354" i="3"/>
  <c r="K353" i="3"/>
  <c r="I353" i="3"/>
  <c r="F353" i="3"/>
  <c r="D353" i="3"/>
  <c r="B353" i="3"/>
  <c r="A353" i="3"/>
  <c r="K352" i="3"/>
  <c r="I352" i="3"/>
  <c r="F352" i="3"/>
  <c r="D352" i="3"/>
  <c r="B352" i="3"/>
  <c r="A352" i="3"/>
  <c r="K351" i="3"/>
  <c r="I351" i="3"/>
  <c r="F351" i="3"/>
  <c r="D351" i="3"/>
  <c r="B351" i="3"/>
  <c r="A351" i="3"/>
  <c r="K350" i="3"/>
  <c r="I350" i="3"/>
  <c r="D350" i="3"/>
  <c r="B350" i="3"/>
  <c r="A350" i="3"/>
  <c r="K349" i="3"/>
  <c r="I349" i="3"/>
  <c r="F349" i="3"/>
  <c r="B349" i="3"/>
  <c r="A349" i="3"/>
  <c r="K348" i="3"/>
  <c r="I348" i="3"/>
  <c r="F348" i="3"/>
  <c r="D348" i="3"/>
  <c r="B348" i="3"/>
  <c r="A348" i="3"/>
  <c r="K347" i="3"/>
  <c r="I347" i="3"/>
  <c r="F347" i="3"/>
  <c r="B347" i="3"/>
  <c r="A347" i="3"/>
  <c r="K346" i="3"/>
  <c r="I346" i="3"/>
  <c r="F346" i="3"/>
  <c r="D346" i="3"/>
  <c r="B346" i="3"/>
  <c r="A346" i="3"/>
  <c r="K345" i="3"/>
  <c r="I345" i="3"/>
  <c r="F345" i="3"/>
  <c r="D345" i="3"/>
  <c r="B345" i="3"/>
  <c r="A345" i="3"/>
  <c r="K344" i="3"/>
  <c r="I344" i="3"/>
  <c r="F344" i="3"/>
  <c r="D344" i="3"/>
  <c r="B344" i="3"/>
  <c r="A344" i="3"/>
  <c r="K343" i="3"/>
  <c r="I343" i="3"/>
  <c r="F343" i="3"/>
  <c r="D343" i="3"/>
  <c r="B343" i="3"/>
  <c r="A343" i="3"/>
  <c r="K342" i="3"/>
  <c r="I342" i="3"/>
  <c r="F342" i="3"/>
  <c r="D342" i="3"/>
  <c r="B342" i="3"/>
  <c r="A342" i="3"/>
  <c r="K341" i="3"/>
  <c r="I341" i="3"/>
  <c r="F341" i="3"/>
  <c r="D341" i="3"/>
  <c r="B341" i="3"/>
  <c r="A341" i="3"/>
  <c r="K340" i="3"/>
  <c r="I340" i="3"/>
  <c r="F340" i="3"/>
  <c r="D340" i="3"/>
  <c r="B340" i="3"/>
  <c r="A340" i="3"/>
  <c r="K339" i="3"/>
  <c r="I339" i="3"/>
  <c r="F339" i="3"/>
  <c r="D339" i="3"/>
  <c r="B339" i="3"/>
  <c r="A339" i="3"/>
  <c r="K338" i="3"/>
  <c r="I338" i="3"/>
  <c r="F338" i="3"/>
  <c r="D338" i="3"/>
  <c r="B338" i="3"/>
  <c r="A338" i="3"/>
  <c r="K337" i="3"/>
  <c r="I337" i="3"/>
  <c r="F337" i="3"/>
  <c r="D337" i="3"/>
  <c r="B337" i="3"/>
  <c r="A337" i="3"/>
  <c r="K336" i="3"/>
  <c r="I336" i="3"/>
  <c r="F336" i="3"/>
  <c r="D336" i="3"/>
  <c r="B336" i="3"/>
  <c r="A336" i="3"/>
  <c r="K335" i="3"/>
  <c r="I335" i="3"/>
  <c r="F335" i="3"/>
  <c r="B335" i="3"/>
  <c r="A335" i="3"/>
  <c r="K334" i="3"/>
  <c r="I334" i="3"/>
  <c r="F334" i="3"/>
  <c r="D334" i="3"/>
  <c r="B334" i="3"/>
  <c r="A334" i="3"/>
  <c r="K333" i="3"/>
  <c r="I333" i="3"/>
  <c r="F333" i="3"/>
  <c r="D333" i="3"/>
  <c r="B333" i="3"/>
  <c r="A333" i="3"/>
  <c r="K332" i="3"/>
  <c r="I332" i="3"/>
  <c r="F332" i="3"/>
  <c r="D332" i="3"/>
  <c r="B332" i="3"/>
  <c r="A332" i="3"/>
  <c r="K331" i="3"/>
  <c r="I331" i="3"/>
  <c r="F331" i="3"/>
  <c r="D331" i="3"/>
  <c r="B331" i="3"/>
  <c r="A331" i="3"/>
  <c r="K330" i="3"/>
  <c r="I330" i="3"/>
  <c r="F330" i="3"/>
  <c r="D330" i="3"/>
  <c r="B330" i="3"/>
  <c r="A330" i="3"/>
  <c r="K329" i="3"/>
  <c r="I329" i="3"/>
  <c r="F329" i="3"/>
  <c r="D329" i="3"/>
  <c r="B329" i="3"/>
  <c r="A329" i="3"/>
  <c r="K328" i="3"/>
  <c r="I328" i="3"/>
  <c r="F328" i="3"/>
  <c r="D328" i="3"/>
  <c r="B328" i="3"/>
  <c r="A328" i="3"/>
  <c r="K327" i="3"/>
  <c r="I327" i="3"/>
  <c r="F327" i="3"/>
  <c r="B327" i="3"/>
  <c r="A327" i="3"/>
  <c r="K326" i="3"/>
  <c r="I326" i="3"/>
  <c r="F326" i="3"/>
  <c r="B326" i="3"/>
  <c r="A326" i="3"/>
  <c r="K325" i="3"/>
  <c r="I325" i="3"/>
  <c r="F325" i="3"/>
  <c r="D325" i="3"/>
  <c r="B325" i="3"/>
  <c r="A325" i="3"/>
  <c r="K324" i="3"/>
  <c r="I324" i="3"/>
  <c r="F324" i="3"/>
  <c r="D324" i="3"/>
  <c r="B324" i="3"/>
  <c r="A324" i="3"/>
  <c r="K323" i="3"/>
  <c r="I323" i="3"/>
  <c r="F323" i="3"/>
  <c r="D323" i="3"/>
  <c r="B323" i="3"/>
  <c r="A323" i="3"/>
  <c r="K322" i="3"/>
  <c r="I322" i="3"/>
  <c r="F322" i="3"/>
  <c r="D322" i="3"/>
  <c r="A322" i="3"/>
  <c r="K321" i="3"/>
  <c r="I321" i="3"/>
  <c r="F321" i="3"/>
  <c r="D321" i="3"/>
  <c r="A321" i="3"/>
  <c r="K320" i="3"/>
  <c r="I320" i="3"/>
  <c r="F320" i="3"/>
  <c r="D320" i="3"/>
  <c r="B320" i="3"/>
  <c r="A320" i="3"/>
  <c r="K319" i="3"/>
  <c r="I319" i="3"/>
  <c r="F319" i="3"/>
  <c r="B319" i="3"/>
  <c r="A319" i="3"/>
  <c r="K318" i="3"/>
  <c r="I318" i="3"/>
  <c r="F318" i="3"/>
  <c r="D318" i="3"/>
  <c r="B318" i="3"/>
  <c r="A318" i="3"/>
  <c r="K317" i="3"/>
  <c r="I317" i="3"/>
  <c r="F317" i="3"/>
  <c r="D317" i="3"/>
  <c r="B317" i="3"/>
  <c r="A317" i="3"/>
  <c r="K316" i="3"/>
  <c r="I316" i="3"/>
  <c r="F316" i="3"/>
  <c r="D316" i="3"/>
  <c r="B316" i="3"/>
  <c r="A316" i="3"/>
  <c r="K315" i="3"/>
  <c r="I315" i="3"/>
  <c r="F315" i="3"/>
  <c r="B315" i="3"/>
  <c r="A315" i="3"/>
  <c r="K314" i="3"/>
  <c r="I314" i="3"/>
  <c r="F314" i="3"/>
  <c r="D314" i="3"/>
  <c r="B314" i="3"/>
  <c r="A314" i="3"/>
  <c r="K313" i="3"/>
  <c r="I313" i="3"/>
  <c r="F313" i="3"/>
  <c r="D313" i="3"/>
  <c r="B313" i="3"/>
  <c r="A313" i="3"/>
  <c r="K312" i="3"/>
  <c r="I312" i="3"/>
  <c r="F312" i="3"/>
  <c r="B312" i="3"/>
  <c r="A312" i="3"/>
  <c r="K311" i="3"/>
  <c r="I311" i="3"/>
  <c r="F311" i="3"/>
  <c r="D311" i="3"/>
  <c r="B311" i="3"/>
  <c r="A311" i="3"/>
  <c r="K310" i="3"/>
  <c r="I310" i="3"/>
  <c r="F310" i="3"/>
  <c r="D310" i="3"/>
  <c r="B310" i="3"/>
  <c r="A310" i="3"/>
  <c r="K309" i="3"/>
  <c r="I309" i="3"/>
  <c r="F309" i="3"/>
  <c r="D309" i="3"/>
  <c r="B309" i="3"/>
  <c r="A309" i="3"/>
  <c r="K308" i="3"/>
  <c r="I308" i="3"/>
  <c r="F308" i="3"/>
  <c r="D308" i="3"/>
  <c r="B308" i="3"/>
  <c r="A308" i="3"/>
  <c r="K307" i="3"/>
  <c r="I307" i="3"/>
  <c r="F307" i="3"/>
  <c r="D307" i="3"/>
  <c r="B307" i="3"/>
  <c r="A307" i="3"/>
  <c r="K306" i="3"/>
  <c r="I306" i="3"/>
  <c r="F306" i="3"/>
  <c r="D306" i="3"/>
  <c r="B306" i="3"/>
  <c r="A306" i="3"/>
  <c r="K305" i="3"/>
  <c r="I305" i="3"/>
  <c r="D305" i="3"/>
  <c r="B305" i="3"/>
  <c r="A305" i="3"/>
  <c r="K304" i="3"/>
  <c r="I304" i="3"/>
  <c r="F304" i="3"/>
  <c r="D304" i="3"/>
  <c r="B304" i="3"/>
  <c r="A304" i="3"/>
  <c r="K303" i="3"/>
  <c r="I303" i="3"/>
  <c r="F303" i="3"/>
  <c r="D303" i="3"/>
  <c r="B303" i="3"/>
  <c r="A303" i="3"/>
  <c r="K302" i="3"/>
  <c r="I302" i="3"/>
  <c r="F302" i="3"/>
  <c r="D302" i="3"/>
  <c r="B302" i="3"/>
  <c r="A302" i="3"/>
  <c r="K301" i="3"/>
  <c r="I301" i="3"/>
  <c r="F301" i="3"/>
  <c r="B301" i="3"/>
  <c r="A301" i="3"/>
  <c r="K300" i="3"/>
  <c r="I300" i="3"/>
  <c r="F300" i="3"/>
  <c r="B300" i="3"/>
  <c r="A300" i="3"/>
  <c r="K299" i="3"/>
  <c r="I299" i="3"/>
  <c r="F299" i="3"/>
  <c r="D299" i="3"/>
  <c r="B299" i="3"/>
  <c r="A299" i="3"/>
  <c r="K298" i="3"/>
  <c r="I298" i="3"/>
  <c r="F298" i="3"/>
  <c r="D298" i="3"/>
  <c r="B298" i="3"/>
  <c r="A298" i="3"/>
  <c r="K297" i="3"/>
  <c r="I297" i="3"/>
  <c r="F297" i="3"/>
  <c r="D297" i="3"/>
  <c r="B297" i="3"/>
  <c r="A297" i="3"/>
  <c r="K296" i="3"/>
  <c r="I296" i="3"/>
  <c r="F296" i="3"/>
  <c r="D296" i="3"/>
  <c r="B296" i="3"/>
  <c r="A296" i="3"/>
  <c r="K295" i="3"/>
  <c r="I295" i="3"/>
  <c r="F295" i="3"/>
  <c r="D295" i="3"/>
  <c r="B295" i="3"/>
  <c r="A295" i="3"/>
  <c r="K294" i="3"/>
  <c r="I294" i="3"/>
  <c r="F294" i="3"/>
  <c r="D294" i="3"/>
  <c r="B294" i="3"/>
  <c r="A294" i="3"/>
  <c r="K293" i="3"/>
  <c r="I293" i="3"/>
  <c r="F293" i="3"/>
  <c r="D293" i="3"/>
  <c r="B293" i="3"/>
  <c r="A293" i="3"/>
  <c r="K292" i="3"/>
  <c r="I292" i="3"/>
  <c r="F292" i="3"/>
  <c r="D292" i="3"/>
  <c r="B292" i="3"/>
  <c r="A292" i="3"/>
  <c r="K291" i="3"/>
  <c r="I291" i="3"/>
  <c r="F291" i="3"/>
  <c r="D291" i="3"/>
  <c r="B291" i="3"/>
  <c r="A291" i="3"/>
  <c r="K290" i="3"/>
  <c r="I290" i="3"/>
  <c r="F290" i="3"/>
  <c r="D290" i="3"/>
  <c r="B290" i="3"/>
  <c r="A290" i="3"/>
  <c r="K289" i="3"/>
  <c r="I289" i="3"/>
  <c r="F289" i="3"/>
  <c r="D289" i="3"/>
  <c r="B289" i="3"/>
  <c r="A289" i="3"/>
  <c r="K288" i="3"/>
  <c r="I288" i="3"/>
  <c r="F288" i="3"/>
  <c r="D288" i="3"/>
  <c r="B288" i="3"/>
  <c r="A288" i="3"/>
  <c r="K287" i="3"/>
  <c r="I287" i="3"/>
  <c r="F287" i="3"/>
  <c r="D287" i="3"/>
  <c r="B287" i="3"/>
  <c r="A287" i="3"/>
  <c r="K286" i="3"/>
  <c r="I286" i="3"/>
  <c r="F286" i="3"/>
  <c r="D286" i="3"/>
  <c r="B286" i="3"/>
  <c r="A286" i="3"/>
  <c r="K285" i="3"/>
  <c r="I285" i="3"/>
  <c r="F285" i="3"/>
  <c r="D285" i="3"/>
  <c r="B285" i="3"/>
  <c r="A285" i="3"/>
  <c r="K284" i="3"/>
  <c r="I284" i="3"/>
  <c r="F284" i="3"/>
  <c r="D284" i="3"/>
  <c r="B284" i="3"/>
  <c r="A284" i="3"/>
  <c r="K283" i="3"/>
  <c r="I283" i="3"/>
  <c r="F283" i="3"/>
  <c r="D283" i="3"/>
  <c r="B283" i="3"/>
  <c r="A283" i="3"/>
  <c r="K282" i="3"/>
  <c r="I282" i="3"/>
  <c r="F282" i="3"/>
  <c r="D282" i="3"/>
  <c r="B282" i="3"/>
  <c r="A282" i="3"/>
  <c r="K281" i="3"/>
  <c r="I281" i="3"/>
  <c r="F281" i="3"/>
  <c r="D281" i="3"/>
  <c r="B281" i="3"/>
  <c r="A281" i="3"/>
  <c r="K280" i="3"/>
  <c r="I280" i="3"/>
  <c r="F280" i="3"/>
  <c r="D280" i="3"/>
  <c r="B280" i="3"/>
  <c r="A280" i="3"/>
  <c r="K279" i="3"/>
  <c r="I279" i="3"/>
  <c r="F279" i="3"/>
  <c r="D279" i="3"/>
  <c r="B279" i="3"/>
  <c r="A279" i="3"/>
  <c r="K278" i="3"/>
  <c r="I278" i="3"/>
  <c r="F278" i="3"/>
  <c r="D278" i="3"/>
  <c r="B278" i="3"/>
  <c r="A278" i="3"/>
  <c r="K277" i="3"/>
  <c r="I277" i="3"/>
  <c r="F277" i="3"/>
  <c r="D277" i="3"/>
  <c r="B277" i="3"/>
  <c r="A277" i="3"/>
  <c r="K276" i="3"/>
  <c r="I276" i="3"/>
  <c r="F276" i="3"/>
  <c r="D276" i="3"/>
  <c r="B276" i="3"/>
  <c r="A276" i="3"/>
  <c r="K275" i="3"/>
  <c r="I275" i="3"/>
  <c r="F275" i="3"/>
  <c r="D275" i="3"/>
  <c r="B275" i="3"/>
  <c r="A275" i="3"/>
  <c r="K274" i="3"/>
  <c r="I274" i="3"/>
  <c r="F274" i="3"/>
  <c r="D274" i="3"/>
  <c r="B274" i="3"/>
  <c r="A274" i="3"/>
  <c r="K273" i="3"/>
  <c r="I273" i="3"/>
  <c r="F273" i="3"/>
  <c r="D273" i="3"/>
  <c r="B273" i="3"/>
  <c r="A273" i="3"/>
  <c r="K272" i="3"/>
  <c r="I272" i="3"/>
  <c r="F272" i="3"/>
  <c r="D272" i="3"/>
  <c r="B272" i="3"/>
  <c r="A272" i="3"/>
  <c r="K271" i="3"/>
  <c r="I271" i="3"/>
  <c r="F271" i="3"/>
  <c r="D271" i="3"/>
  <c r="B271" i="3"/>
  <c r="A271" i="3"/>
  <c r="K270" i="3"/>
  <c r="I270" i="3"/>
  <c r="F270" i="3"/>
  <c r="D270" i="3"/>
  <c r="B270" i="3"/>
  <c r="A270" i="3"/>
  <c r="K269" i="3"/>
  <c r="I269" i="3"/>
  <c r="F269" i="3"/>
  <c r="D269" i="3"/>
  <c r="B269" i="3"/>
  <c r="A269" i="3"/>
  <c r="K268" i="3"/>
  <c r="I268" i="3"/>
  <c r="F268" i="3"/>
  <c r="D268" i="3"/>
  <c r="B268" i="3"/>
  <c r="A268" i="3"/>
  <c r="K267" i="3"/>
  <c r="I267" i="3"/>
  <c r="F267" i="3"/>
  <c r="D267" i="3"/>
  <c r="B267" i="3"/>
  <c r="A267" i="3"/>
  <c r="K266" i="3"/>
  <c r="I266" i="3"/>
  <c r="F266" i="3"/>
  <c r="D266" i="3"/>
  <c r="B266" i="3"/>
  <c r="A266" i="3"/>
  <c r="K265" i="3"/>
  <c r="I265" i="3"/>
  <c r="F265" i="3"/>
  <c r="D265" i="3"/>
  <c r="B265" i="3"/>
  <c r="A265" i="3"/>
  <c r="K264" i="3"/>
  <c r="I264" i="3"/>
  <c r="F264" i="3"/>
  <c r="D264" i="3"/>
  <c r="B264" i="3"/>
  <c r="A264" i="3"/>
  <c r="K263" i="3"/>
  <c r="I263" i="3"/>
  <c r="F263" i="3"/>
  <c r="D263" i="3"/>
  <c r="B263" i="3"/>
  <c r="A263" i="3"/>
  <c r="K262" i="3"/>
  <c r="I262" i="3"/>
  <c r="F262" i="3"/>
  <c r="D262" i="3"/>
  <c r="B262" i="3"/>
  <c r="A262" i="3"/>
  <c r="K261" i="3"/>
  <c r="I261" i="3"/>
  <c r="F261" i="3"/>
  <c r="D261" i="3"/>
  <c r="B261" i="3"/>
  <c r="A261" i="3"/>
  <c r="K260" i="3"/>
  <c r="I260" i="3"/>
  <c r="F260" i="3"/>
  <c r="D260" i="3"/>
  <c r="B260" i="3"/>
  <c r="A260" i="3"/>
  <c r="K259" i="3"/>
  <c r="I259" i="3"/>
  <c r="F259" i="3"/>
  <c r="D259" i="3"/>
  <c r="B259" i="3"/>
  <c r="A259" i="3"/>
  <c r="K258" i="3"/>
  <c r="I258" i="3"/>
  <c r="F258" i="3"/>
  <c r="D258" i="3"/>
  <c r="B258" i="3"/>
  <c r="A258" i="3"/>
  <c r="K257" i="3"/>
  <c r="I257" i="3"/>
  <c r="F257" i="3"/>
  <c r="D257" i="3"/>
  <c r="B257" i="3"/>
  <c r="A257" i="3"/>
  <c r="K256" i="3"/>
  <c r="I256" i="3"/>
  <c r="F256" i="3"/>
  <c r="D256" i="3"/>
  <c r="B256" i="3"/>
  <c r="A256" i="3"/>
  <c r="K255" i="3"/>
  <c r="I255" i="3"/>
  <c r="F255" i="3"/>
  <c r="D255" i="3"/>
  <c r="B255" i="3"/>
  <c r="A255" i="3"/>
  <c r="K254" i="3"/>
  <c r="I254" i="3"/>
  <c r="F254" i="3"/>
  <c r="D254" i="3"/>
  <c r="B254" i="3"/>
  <c r="A254" i="3"/>
  <c r="K253" i="3"/>
  <c r="I253" i="3"/>
  <c r="F253" i="3"/>
  <c r="D253" i="3"/>
  <c r="B253" i="3"/>
  <c r="A253" i="3"/>
  <c r="K252" i="3"/>
  <c r="I252" i="3"/>
  <c r="F252" i="3"/>
  <c r="D252" i="3"/>
  <c r="B252" i="3"/>
  <c r="A252" i="3"/>
  <c r="K251" i="3"/>
  <c r="I251" i="3"/>
  <c r="F251" i="3"/>
  <c r="D251" i="3"/>
  <c r="B251" i="3"/>
  <c r="A251" i="3"/>
  <c r="K250" i="3"/>
  <c r="I250" i="3"/>
  <c r="F250" i="3"/>
  <c r="D250" i="3"/>
  <c r="B250" i="3"/>
  <c r="A250" i="3"/>
  <c r="K249" i="3"/>
  <c r="I249" i="3"/>
  <c r="F249" i="3"/>
  <c r="D249" i="3"/>
  <c r="B249" i="3"/>
  <c r="A249" i="3"/>
  <c r="K248" i="3"/>
  <c r="I248" i="3"/>
  <c r="F248" i="3"/>
  <c r="D248" i="3"/>
  <c r="B248" i="3"/>
  <c r="A248" i="3"/>
  <c r="K247" i="3"/>
  <c r="I247" i="3"/>
  <c r="F247" i="3"/>
  <c r="D247" i="3"/>
  <c r="B247" i="3"/>
  <c r="A247" i="3"/>
  <c r="K246" i="3"/>
  <c r="I246" i="3"/>
  <c r="F246" i="3"/>
  <c r="D246" i="3"/>
  <c r="B246" i="3"/>
  <c r="A246" i="3"/>
  <c r="K245" i="3"/>
  <c r="I245" i="3"/>
  <c r="F245" i="3"/>
  <c r="D245" i="3"/>
  <c r="B245" i="3"/>
  <c r="A245" i="3"/>
  <c r="K244" i="3"/>
  <c r="I244" i="3"/>
  <c r="F244" i="3"/>
  <c r="D244" i="3"/>
  <c r="B244" i="3"/>
  <c r="A244" i="3"/>
  <c r="K243" i="3"/>
  <c r="I243" i="3"/>
  <c r="F243" i="3"/>
  <c r="D243" i="3"/>
  <c r="B243" i="3"/>
  <c r="A243" i="3"/>
  <c r="K242" i="3"/>
  <c r="I242" i="3"/>
  <c r="F242" i="3"/>
  <c r="D242" i="3"/>
  <c r="B242" i="3"/>
  <c r="A242" i="3"/>
  <c r="K241" i="3"/>
  <c r="I241" i="3"/>
  <c r="F241" i="3"/>
  <c r="D241" i="3"/>
  <c r="B241" i="3"/>
  <c r="A241" i="3"/>
  <c r="K240" i="3"/>
  <c r="I240" i="3"/>
  <c r="F240" i="3"/>
  <c r="D240" i="3"/>
  <c r="B240" i="3"/>
  <c r="A240" i="3"/>
  <c r="K239" i="3"/>
  <c r="I239" i="3"/>
  <c r="F239" i="3"/>
  <c r="D239" i="3"/>
  <c r="B239" i="3"/>
  <c r="A239" i="3"/>
  <c r="K238" i="3"/>
  <c r="I238" i="3"/>
  <c r="F238" i="3"/>
  <c r="D238" i="3"/>
  <c r="B238" i="3"/>
  <c r="A238" i="3"/>
  <c r="K237" i="3"/>
  <c r="I237" i="3"/>
  <c r="F237" i="3"/>
  <c r="D237" i="3"/>
  <c r="A237" i="3"/>
  <c r="K236" i="3"/>
  <c r="I236" i="3"/>
  <c r="F236" i="3"/>
  <c r="D236" i="3"/>
  <c r="B236" i="3"/>
  <c r="A236" i="3"/>
  <c r="K235" i="3"/>
  <c r="I235" i="3"/>
  <c r="F235" i="3"/>
  <c r="D235" i="3"/>
  <c r="B235" i="3"/>
  <c r="A235" i="3"/>
  <c r="K234" i="3"/>
  <c r="I234" i="3"/>
  <c r="F234" i="3"/>
  <c r="D234" i="3"/>
  <c r="B234" i="3"/>
  <c r="A234" i="3"/>
  <c r="K233" i="3"/>
  <c r="I233" i="3"/>
  <c r="F233" i="3"/>
  <c r="D233" i="3"/>
  <c r="B233" i="3"/>
  <c r="A233" i="3"/>
  <c r="K232" i="3"/>
  <c r="I232" i="3"/>
  <c r="F232" i="3"/>
  <c r="D232" i="3"/>
  <c r="B232" i="3"/>
  <c r="A232" i="3"/>
  <c r="K231" i="3"/>
  <c r="I231" i="3"/>
  <c r="F231" i="3"/>
  <c r="D231" i="3"/>
  <c r="B231" i="3"/>
  <c r="A231" i="3"/>
  <c r="K230" i="3"/>
  <c r="I230" i="3"/>
  <c r="F230" i="3"/>
  <c r="D230" i="3"/>
  <c r="B230" i="3"/>
  <c r="A230" i="3"/>
  <c r="K229" i="3"/>
  <c r="I229" i="3"/>
  <c r="D229" i="3"/>
  <c r="B229" i="3"/>
  <c r="A229" i="3"/>
  <c r="K228" i="3"/>
  <c r="I228" i="3"/>
  <c r="F228" i="3"/>
  <c r="D228" i="3"/>
  <c r="B228" i="3"/>
  <c r="A228" i="3"/>
  <c r="K227" i="3"/>
  <c r="I227" i="3"/>
  <c r="F227" i="3"/>
  <c r="D227" i="3"/>
  <c r="B227" i="3"/>
  <c r="A227" i="3"/>
  <c r="K226" i="3"/>
  <c r="I226" i="3"/>
  <c r="F226" i="3"/>
  <c r="D226" i="3"/>
  <c r="B226" i="3"/>
  <c r="A226" i="3"/>
  <c r="K225" i="3"/>
  <c r="I225" i="3"/>
  <c r="F225" i="3"/>
  <c r="D225" i="3"/>
  <c r="B225" i="3"/>
  <c r="A225" i="3"/>
  <c r="K224" i="3"/>
  <c r="I224" i="3"/>
  <c r="F224" i="3"/>
  <c r="D224" i="3"/>
  <c r="B224" i="3"/>
  <c r="A224" i="3"/>
  <c r="K223" i="3"/>
  <c r="I223" i="3"/>
  <c r="F223" i="3"/>
  <c r="D223" i="3"/>
  <c r="B223" i="3"/>
  <c r="A223" i="3"/>
  <c r="K222" i="3"/>
  <c r="I222" i="3"/>
  <c r="F222" i="3"/>
  <c r="D222" i="3"/>
  <c r="B222" i="3"/>
  <c r="A222" i="3"/>
  <c r="K221" i="3"/>
  <c r="I221" i="3"/>
  <c r="F221" i="3"/>
  <c r="D221" i="3"/>
  <c r="B221" i="3"/>
  <c r="A221" i="3"/>
  <c r="K220" i="3"/>
  <c r="I220" i="3"/>
  <c r="F220" i="3"/>
  <c r="D220" i="3"/>
  <c r="B220" i="3"/>
  <c r="A220" i="3"/>
  <c r="K219" i="3"/>
  <c r="I219" i="3"/>
  <c r="F219" i="3"/>
  <c r="D219" i="3"/>
  <c r="B219" i="3"/>
  <c r="A219" i="3"/>
  <c r="K218" i="3"/>
  <c r="I218" i="3"/>
  <c r="F218" i="3"/>
  <c r="D218" i="3"/>
  <c r="B218" i="3"/>
  <c r="A218" i="3"/>
  <c r="K217" i="3"/>
  <c r="I217" i="3"/>
  <c r="F217" i="3"/>
  <c r="D217" i="3"/>
  <c r="B217" i="3"/>
  <c r="A217" i="3"/>
  <c r="K216" i="3"/>
  <c r="I216" i="3"/>
  <c r="F216" i="3"/>
  <c r="D216" i="3"/>
  <c r="B216" i="3"/>
  <c r="A216" i="3"/>
  <c r="K215" i="3"/>
  <c r="I215" i="3"/>
  <c r="F215" i="3"/>
  <c r="D215" i="3"/>
  <c r="B215" i="3"/>
  <c r="A215" i="3"/>
  <c r="K214" i="3"/>
  <c r="I214" i="3"/>
  <c r="F214" i="3"/>
  <c r="D214" i="3"/>
  <c r="B214" i="3"/>
  <c r="A214" i="3"/>
  <c r="K213" i="3"/>
  <c r="I213" i="3"/>
  <c r="F213" i="3"/>
  <c r="D213" i="3"/>
  <c r="B213" i="3"/>
  <c r="A213" i="3"/>
  <c r="K212" i="3"/>
  <c r="I212" i="3"/>
  <c r="F212" i="3"/>
  <c r="D212" i="3"/>
  <c r="B212" i="3"/>
  <c r="A212" i="3"/>
  <c r="K211" i="3"/>
  <c r="I211" i="3"/>
  <c r="F211" i="3"/>
  <c r="D211" i="3"/>
  <c r="B211" i="3"/>
  <c r="A211" i="3"/>
  <c r="K210" i="3"/>
  <c r="I210" i="3"/>
  <c r="F210" i="3"/>
  <c r="B210" i="3"/>
  <c r="A210" i="3"/>
  <c r="K209" i="3"/>
  <c r="I209" i="3"/>
  <c r="F209" i="3"/>
  <c r="D209" i="3"/>
  <c r="B209" i="3"/>
  <c r="A209" i="3"/>
  <c r="K208" i="3"/>
  <c r="I208" i="3"/>
  <c r="F208" i="3"/>
  <c r="D208" i="3"/>
  <c r="B208" i="3"/>
  <c r="A208" i="3"/>
  <c r="K207" i="3"/>
  <c r="I207" i="3"/>
  <c r="F207" i="3"/>
  <c r="D207" i="3"/>
  <c r="B207" i="3"/>
  <c r="A207" i="3"/>
  <c r="K206" i="3"/>
  <c r="I206" i="3"/>
  <c r="F206" i="3"/>
  <c r="D206" i="3"/>
  <c r="B206" i="3"/>
  <c r="A206" i="3"/>
  <c r="K205" i="3"/>
  <c r="I205" i="3"/>
  <c r="F205" i="3"/>
  <c r="D205" i="3"/>
  <c r="B205" i="3"/>
  <c r="A205" i="3"/>
  <c r="K204" i="3"/>
  <c r="I204" i="3"/>
  <c r="F204" i="3"/>
  <c r="D204" i="3"/>
  <c r="B204" i="3"/>
  <c r="A204" i="3"/>
  <c r="K203" i="3"/>
  <c r="I203" i="3"/>
  <c r="F203" i="3"/>
  <c r="D203" i="3"/>
  <c r="B203" i="3"/>
  <c r="A203" i="3"/>
  <c r="K202" i="3"/>
  <c r="I202" i="3"/>
  <c r="F202" i="3"/>
  <c r="B202" i="3"/>
  <c r="A202" i="3"/>
  <c r="K201" i="3"/>
  <c r="I201" i="3"/>
  <c r="F201" i="3"/>
  <c r="D201" i="3"/>
  <c r="B201" i="3"/>
  <c r="A201" i="3"/>
  <c r="K200" i="3"/>
  <c r="I200" i="3"/>
  <c r="F200" i="3"/>
  <c r="D200" i="3"/>
  <c r="B200" i="3"/>
  <c r="A200" i="3"/>
  <c r="K199" i="3"/>
  <c r="I199" i="3"/>
  <c r="F199" i="3"/>
  <c r="D199" i="3"/>
  <c r="B199" i="3"/>
  <c r="A199" i="3"/>
  <c r="K198" i="3"/>
  <c r="I198" i="3"/>
  <c r="F198" i="3"/>
  <c r="D198" i="3"/>
  <c r="B198" i="3"/>
  <c r="A198" i="3"/>
  <c r="K197" i="3"/>
  <c r="I197" i="3"/>
  <c r="F197" i="3"/>
  <c r="D197" i="3"/>
  <c r="B197" i="3"/>
  <c r="A197" i="3"/>
  <c r="K196" i="3"/>
  <c r="I196" i="3"/>
  <c r="F196" i="3"/>
  <c r="D196" i="3"/>
  <c r="B196" i="3"/>
  <c r="A196" i="3"/>
  <c r="K195" i="3"/>
  <c r="I195" i="3"/>
  <c r="F195" i="3"/>
  <c r="D195" i="3"/>
  <c r="B195" i="3"/>
  <c r="A195" i="3"/>
  <c r="K194" i="3"/>
  <c r="I194" i="3"/>
  <c r="F194" i="3"/>
  <c r="D194" i="3"/>
  <c r="B194" i="3"/>
  <c r="A194" i="3"/>
  <c r="K193" i="3"/>
  <c r="I193" i="3"/>
  <c r="F193" i="3"/>
  <c r="D193" i="3"/>
  <c r="B193" i="3"/>
  <c r="A193" i="3"/>
  <c r="K192" i="3"/>
  <c r="I192" i="3"/>
  <c r="F192" i="3"/>
  <c r="D192" i="3"/>
  <c r="B192" i="3"/>
  <c r="A192" i="3"/>
  <c r="K191" i="3"/>
  <c r="I191" i="3"/>
  <c r="F191" i="3"/>
  <c r="D191" i="3"/>
  <c r="B191" i="3"/>
  <c r="A191" i="3"/>
  <c r="K190" i="3"/>
  <c r="I190" i="3"/>
  <c r="F190" i="3"/>
  <c r="D190" i="3"/>
  <c r="B190" i="3"/>
  <c r="A190" i="3"/>
  <c r="K189" i="3"/>
  <c r="I189" i="3"/>
  <c r="F189" i="3"/>
  <c r="D189" i="3"/>
  <c r="B189" i="3"/>
  <c r="A189" i="3"/>
  <c r="K188" i="3"/>
  <c r="I188" i="3"/>
  <c r="F188" i="3"/>
  <c r="D188" i="3"/>
  <c r="B188" i="3"/>
  <c r="A188" i="3"/>
  <c r="K187" i="3"/>
  <c r="I187" i="3"/>
  <c r="F187" i="3"/>
  <c r="D187" i="3"/>
  <c r="B187" i="3"/>
  <c r="A187" i="3"/>
  <c r="K186" i="3"/>
  <c r="I186" i="3"/>
  <c r="F186" i="3"/>
  <c r="D186" i="3"/>
  <c r="B186" i="3"/>
  <c r="A186" i="3"/>
  <c r="K185" i="3"/>
  <c r="I185" i="3"/>
  <c r="F185" i="3"/>
  <c r="D185" i="3"/>
  <c r="B185" i="3"/>
  <c r="A185" i="3"/>
  <c r="K184" i="3"/>
  <c r="I184" i="3"/>
  <c r="F184" i="3"/>
  <c r="D184" i="3"/>
  <c r="B184" i="3"/>
  <c r="A184" i="3"/>
  <c r="K183" i="3"/>
  <c r="I183" i="3"/>
  <c r="F183" i="3"/>
  <c r="D183" i="3"/>
  <c r="B183" i="3"/>
  <c r="A183" i="3"/>
  <c r="K182" i="3"/>
  <c r="I182" i="3"/>
  <c r="F182" i="3"/>
  <c r="D182" i="3"/>
  <c r="B182" i="3"/>
  <c r="A182" i="3"/>
  <c r="K181" i="3"/>
  <c r="I181" i="3"/>
  <c r="F181" i="3"/>
  <c r="D181" i="3"/>
  <c r="B181" i="3"/>
  <c r="A181" i="3"/>
  <c r="K180" i="3"/>
  <c r="I180" i="3"/>
  <c r="F180" i="3"/>
  <c r="D180" i="3"/>
  <c r="B180" i="3"/>
  <c r="A180" i="3"/>
  <c r="K179" i="3"/>
  <c r="I179" i="3"/>
  <c r="F179" i="3"/>
  <c r="D179" i="3"/>
  <c r="B179" i="3"/>
  <c r="A179" i="3"/>
  <c r="K178" i="3"/>
  <c r="I178" i="3"/>
  <c r="F178" i="3"/>
  <c r="D178" i="3"/>
  <c r="B178" i="3"/>
  <c r="A178" i="3"/>
  <c r="K177" i="3"/>
  <c r="I177" i="3"/>
  <c r="F177" i="3"/>
  <c r="D177" i="3"/>
  <c r="B177" i="3"/>
  <c r="A177" i="3"/>
  <c r="K176" i="3"/>
  <c r="I176" i="3"/>
  <c r="F176" i="3"/>
  <c r="D176" i="3"/>
  <c r="B176" i="3"/>
  <c r="A176" i="3"/>
  <c r="K175" i="3"/>
  <c r="I175" i="3"/>
  <c r="F175" i="3"/>
  <c r="D175" i="3"/>
  <c r="B175" i="3"/>
  <c r="A175" i="3"/>
  <c r="K174" i="3"/>
  <c r="I174" i="3"/>
  <c r="F174" i="3"/>
  <c r="D174" i="3"/>
  <c r="B174" i="3"/>
  <c r="A174" i="3"/>
  <c r="K173" i="3"/>
  <c r="I173" i="3"/>
  <c r="F173" i="3"/>
  <c r="D173" i="3"/>
  <c r="B173" i="3"/>
  <c r="A173" i="3"/>
  <c r="K172" i="3"/>
  <c r="I172" i="3"/>
  <c r="F172" i="3"/>
  <c r="D172" i="3"/>
  <c r="B172" i="3"/>
  <c r="A172" i="3"/>
  <c r="K171" i="3"/>
  <c r="I171" i="3"/>
  <c r="F171" i="3"/>
  <c r="D171" i="3"/>
  <c r="B171" i="3"/>
  <c r="A171" i="3"/>
  <c r="K170" i="3"/>
  <c r="I170" i="3"/>
  <c r="F170" i="3"/>
  <c r="D170" i="3"/>
  <c r="B170" i="3"/>
  <c r="A170" i="3"/>
  <c r="K169" i="3"/>
  <c r="I169" i="3"/>
  <c r="D169" i="3"/>
  <c r="B169" i="3"/>
  <c r="A169" i="3"/>
  <c r="K168" i="3"/>
  <c r="I168" i="3"/>
  <c r="F168" i="3"/>
  <c r="D168" i="3"/>
  <c r="B168" i="3"/>
  <c r="A168" i="3"/>
  <c r="K167" i="3"/>
  <c r="I167" i="3"/>
  <c r="F167" i="3"/>
  <c r="D167" i="3"/>
  <c r="B167" i="3"/>
  <c r="A167" i="3"/>
  <c r="K166" i="3"/>
  <c r="I166" i="3"/>
  <c r="F166" i="3"/>
  <c r="D166" i="3"/>
  <c r="B166" i="3"/>
  <c r="A166" i="3"/>
  <c r="K165" i="3"/>
  <c r="I165" i="3"/>
  <c r="F165" i="3"/>
  <c r="D165" i="3"/>
  <c r="B165" i="3"/>
  <c r="A165" i="3"/>
  <c r="K164" i="3"/>
  <c r="I164" i="3"/>
  <c r="F164" i="3"/>
  <c r="D164" i="3"/>
  <c r="B164" i="3"/>
  <c r="A164" i="3"/>
  <c r="K163" i="3"/>
  <c r="I163" i="3"/>
  <c r="F163" i="3"/>
  <c r="D163" i="3"/>
  <c r="B163" i="3"/>
  <c r="A163" i="3"/>
  <c r="K162" i="3"/>
  <c r="I162" i="3"/>
  <c r="F162" i="3"/>
  <c r="D162" i="3"/>
  <c r="B162" i="3"/>
  <c r="A162" i="3"/>
  <c r="K161" i="3"/>
  <c r="I161" i="3"/>
  <c r="F161" i="3"/>
  <c r="D161" i="3"/>
  <c r="B161" i="3"/>
  <c r="A161" i="3"/>
  <c r="K160" i="3"/>
  <c r="I160" i="3"/>
  <c r="F160" i="3"/>
  <c r="D160" i="3"/>
  <c r="B160" i="3"/>
  <c r="A160" i="3"/>
  <c r="K159" i="3"/>
  <c r="I159" i="3"/>
  <c r="F159" i="3"/>
  <c r="D159" i="3"/>
  <c r="B159" i="3"/>
  <c r="A159" i="3"/>
  <c r="K158" i="3"/>
  <c r="I158" i="3"/>
  <c r="F158" i="3"/>
  <c r="D158" i="3"/>
  <c r="B158" i="3"/>
  <c r="A158" i="3"/>
  <c r="K157" i="3"/>
  <c r="I157" i="3"/>
  <c r="F157" i="3"/>
  <c r="D157" i="3"/>
  <c r="B157" i="3"/>
  <c r="A157" i="3"/>
  <c r="K156" i="3"/>
  <c r="I156" i="3"/>
  <c r="F156" i="3"/>
  <c r="D156" i="3"/>
  <c r="B156" i="3"/>
  <c r="A156" i="3"/>
  <c r="K155" i="3"/>
  <c r="I155" i="3"/>
  <c r="F155" i="3"/>
  <c r="D155" i="3"/>
  <c r="B155" i="3"/>
  <c r="A155" i="3"/>
  <c r="K154" i="3"/>
  <c r="I154" i="3"/>
  <c r="F154" i="3"/>
  <c r="D154" i="3"/>
  <c r="B154" i="3"/>
  <c r="A154" i="3"/>
  <c r="K153" i="3"/>
  <c r="I153" i="3"/>
  <c r="F153" i="3"/>
  <c r="B153" i="3"/>
  <c r="A153" i="3"/>
  <c r="K152" i="3"/>
  <c r="I152" i="3"/>
  <c r="F152" i="3"/>
  <c r="D152" i="3"/>
  <c r="B152" i="3"/>
  <c r="A152" i="3"/>
  <c r="K151" i="3"/>
  <c r="I151" i="3"/>
  <c r="F151" i="3"/>
  <c r="D151" i="3"/>
  <c r="B151" i="3"/>
  <c r="A151" i="3"/>
  <c r="K150" i="3"/>
  <c r="I150" i="3"/>
  <c r="F150" i="3"/>
  <c r="D150" i="3"/>
  <c r="B150" i="3"/>
  <c r="A150" i="3"/>
  <c r="K149" i="3"/>
  <c r="I149" i="3"/>
  <c r="F149" i="3"/>
  <c r="D149" i="3"/>
  <c r="B149" i="3"/>
  <c r="A149" i="3"/>
  <c r="K148" i="3"/>
  <c r="I148" i="3"/>
  <c r="F148" i="3"/>
  <c r="D148" i="3"/>
  <c r="B148" i="3"/>
  <c r="A148" i="3"/>
  <c r="K147" i="3"/>
  <c r="I147" i="3"/>
  <c r="F147" i="3"/>
  <c r="D147" i="3"/>
  <c r="B147" i="3"/>
  <c r="A147" i="3"/>
  <c r="K146" i="3"/>
  <c r="I146" i="3"/>
  <c r="F146" i="3"/>
  <c r="D146" i="3"/>
  <c r="B146" i="3"/>
  <c r="A146" i="3"/>
  <c r="K145" i="3"/>
  <c r="I145" i="3"/>
  <c r="F145" i="3"/>
  <c r="D145" i="3"/>
  <c r="B145" i="3"/>
  <c r="A145" i="3"/>
  <c r="K144" i="3"/>
  <c r="I144" i="3"/>
  <c r="F144" i="3"/>
  <c r="D144" i="3"/>
  <c r="B144" i="3"/>
  <c r="A144" i="3"/>
  <c r="K143" i="3"/>
  <c r="I143" i="3"/>
  <c r="F143" i="3"/>
  <c r="D143" i="3"/>
  <c r="B143" i="3"/>
  <c r="A143" i="3"/>
  <c r="K142" i="3"/>
  <c r="I142" i="3"/>
  <c r="F142" i="3"/>
  <c r="D142" i="3"/>
  <c r="B142" i="3"/>
  <c r="A142" i="3"/>
  <c r="K141" i="3"/>
  <c r="I141" i="3"/>
  <c r="F141" i="3"/>
  <c r="D141" i="3"/>
  <c r="B141" i="3"/>
  <c r="A141" i="3"/>
  <c r="K140" i="3"/>
  <c r="I140" i="3"/>
  <c r="F140" i="3"/>
  <c r="D140" i="3"/>
  <c r="B140" i="3"/>
  <c r="A140" i="3"/>
  <c r="K139" i="3"/>
  <c r="I139" i="3"/>
  <c r="F139" i="3"/>
  <c r="D139" i="3"/>
  <c r="B139" i="3"/>
  <c r="A139" i="3"/>
  <c r="K138" i="3"/>
  <c r="I138" i="3"/>
  <c r="F138" i="3"/>
  <c r="D138" i="3"/>
  <c r="B138" i="3"/>
  <c r="A138" i="3"/>
  <c r="K137" i="3"/>
  <c r="I137" i="3"/>
  <c r="F137" i="3"/>
  <c r="D137" i="3"/>
  <c r="B137" i="3"/>
  <c r="A137" i="3"/>
  <c r="K136" i="3"/>
  <c r="I136" i="3"/>
  <c r="F136" i="3"/>
  <c r="D136" i="3"/>
  <c r="B136" i="3"/>
  <c r="A136" i="3"/>
  <c r="K135" i="3"/>
  <c r="I135" i="3"/>
  <c r="F135" i="3"/>
  <c r="D135" i="3"/>
  <c r="B135" i="3"/>
  <c r="A135" i="3"/>
  <c r="K134" i="3"/>
  <c r="I134" i="3"/>
  <c r="F134" i="3"/>
  <c r="D134" i="3"/>
  <c r="B134" i="3"/>
  <c r="A134" i="3"/>
  <c r="K133" i="3"/>
  <c r="I133" i="3"/>
  <c r="F133" i="3"/>
  <c r="D133" i="3"/>
  <c r="B133" i="3"/>
  <c r="A133" i="3"/>
  <c r="K132" i="3"/>
  <c r="I132" i="3"/>
  <c r="F132" i="3"/>
  <c r="D132" i="3"/>
  <c r="B132" i="3"/>
  <c r="A132" i="3"/>
  <c r="K131" i="3"/>
  <c r="I131" i="3"/>
  <c r="F131" i="3"/>
  <c r="D131" i="3"/>
  <c r="B131" i="3"/>
  <c r="A131" i="3"/>
  <c r="K130" i="3"/>
  <c r="I130" i="3"/>
  <c r="F130" i="3"/>
  <c r="D130" i="3"/>
  <c r="B130" i="3"/>
  <c r="A130" i="3"/>
  <c r="K129" i="3"/>
  <c r="I129" i="3"/>
  <c r="F129" i="3"/>
  <c r="D129" i="3"/>
  <c r="B129" i="3"/>
  <c r="A129" i="3"/>
  <c r="K128" i="3"/>
  <c r="I128" i="3"/>
  <c r="F128" i="3"/>
  <c r="D128" i="3"/>
  <c r="B128" i="3"/>
  <c r="A128" i="3"/>
  <c r="K127" i="3"/>
  <c r="I127" i="3"/>
  <c r="F127" i="3"/>
  <c r="D127" i="3"/>
  <c r="B127" i="3"/>
  <c r="A127" i="3"/>
  <c r="K126" i="3"/>
  <c r="I126" i="3"/>
  <c r="F126" i="3"/>
  <c r="D126" i="3"/>
  <c r="B126" i="3"/>
  <c r="A126" i="3"/>
  <c r="K125" i="3"/>
  <c r="I125" i="3"/>
  <c r="F125" i="3"/>
  <c r="D125" i="3"/>
  <c r="B125" i="3"/>
  <c r="A125" i="3"/>
  <c r="K124" i="3"/>
  <c r="I124" i="3"/>
  <c r="F124" i="3"/>
  <c r="D124" i="3"/>
  <c r="B124" i="3"/>
  <c r="A124" i="3"/>
  <c r="K123" i="3"/>
  <c r="I123" i="3"/>
  <c r="F123" i="3"/>
  <c r="D123" i="3"/>
  <c r="B123" i="3"/>
  <c r="A123" i="3"/>
  <c r="K122" i="3"/>
  <c r="I122" i="3"/>
  <c r="F122" i="3"/>
  <c r="D122" i="3"/>
  <c r="B122" i="3"/>
  <c r="A122" i="3"/>
  <c r="K121" i="3"/>
  <c r="I121" i="3"/>
  <c r="F121" i="3"/>
  <c r="D121" i="3"/>
  <c r="B121" i="3"/>
  <c r="A121" i="3"/>
  <c r="K120" i="3"/>
  <c r="I120" i="3"/>
  <c r="F120" i="3"/>
  <c r="D120" i="3"/>
  <c r="B120" i="3"/>
  <c r="A120" i="3"/>
  <c r="K119" i="3"/>
  <c r="I119" i="3"/>
  <c r="F119" i="3"/>
  <c r="D119" i="3"/>
  <c r="B119" i="3"/>
  <c r="A119" i="3"/>
  <c r="K118" i="3"/>
  <c r="I118" i="3"/>
  <c r="F118" i="3"/>
  <c r="D118" i="3"/>
  <c r="B118" i="3"/>
  <c r="A118" i="3"/>
  <c r="K117" i="3"/>
  <c r="I117" i="3"/>
  <c r="F117" i="3"/>
  <c r="D117" i="3"/>
  <c r="B117" i="3"/>
  <c r="A117" i="3"/>
  <c r="K116" i="3"/>
  <c r="I116" i="3"/>
  <c r="F116" i="3"/>
  <c r="D116" i="3"/>
  <c r="B116" i="3"/>
  <c r="A116" i="3"/>
  <c r="K115" i="3"/>
  <c r="I115" i="3"/>
  <c r="F115" i="3"/>
  <c r="D115" i="3"/>
  <c r="B115" i="3"/>
  <c r="A115" i="3"/>
  <c r="K114" i="3"/>
  <c r="I114" i="3"/>
  <c r="F114" i="3"/>
  <c r="D114" i="3"/>
  <c r="B114" i="3"/>
  <c r="A114" i="3"/>
  <c r="K113" i="3"/>
  <c r="I113" i="3"/>
  <c r="F113" i="3"/>
  <c r="D113" i="3"/>
  <c r="B113" i="3"/>
  <c r="A113" i="3"/>
  <c r="K112" i="3"/>
  <c r="I112" i="3"/>
  <c r="F112" i="3"/>
  <c r="D112" i="3"/>
  <c r="B112" i="3"/>
  <c r="A112" i="3"/>
  <c r="K111" i="3"/>
  <c r="I111" i="3"/>
  <c r="F111" i="3"/>
  <c r="D111" i="3"/>
  <c r="B111" i="3"/>
  <c r="A111" i="3"/>
  <c r="K110" i="3"/>
  <c r="I110" i="3"/>
  <c r="F110" i="3"/>
  <c r="D110" i="3"/>
  <c r="B110" i="3"/>
  <c r="A110" i="3"/>
  <c r="K109" i="3"/>
  <c r="I109" i="3"/>
  <c r="F109" i="3"/>
  <c r="D109" i="3"/>
  <c r="B109" i="3"/>
  <c r="A109" i="3"/>
  <c r="K108" i="3"/>
  <c r="I108" i="3"/>
  <c r="F108" i="3"/>
  <c r="D108" i="3"/>
  <c r="B108" i="3"/>
  <c r="A108" i="3"/>
  <c r="K107" i="3"/>
  <c r="I107" i="3"/>
  <c r="F107" i="3"/>
  <c r="D107" i="3"/>
  <c r="B107" i="3"/>
  <c r="A107" i="3"/>
  <c r="K106" i="3"/>
  <c r="I106" i="3"/>
  <c r="F106" i="3"/>
  <c r="D106" i="3"/>
  <c r="B106" i="3"/>
  <c r="A106" i="3"/>
  <c r="K105" i="3"/>
  <c r="I105" i="3"/>
  <c r="F105" i="3"/>
  <c r="D105" i="3"/>
  <c r="B105" i="3"/>
  <c r="A105" i="3"/>
  <c r="K104" i="3"/>
  <c r="I104" i="3"/>
  <c r="F104" i="3"/>
  <c r="D104" i="3"/>
  <c r="B104" i="3"/>
  <c r="A104" i="3"/>
  <c r="K103" i="3"/>
  <c r="I103" i="3"/>
  <c r="F103" i="3"/>
  <c r="D103" i="3"/>
  <c r="B103" i="3"/>
  <c r="A103" i="3"/>
  <c r="K102" i="3"/>
  <c r="I102" i="3"/>
  <c r="D102" i="3"/>
  <c r="B102" i="3"/>
  <c r="A102" i="3"/>
  <c r="K101" i="3"/>
  <c r="I101" i="3"/>
  <c r="F101" i="3"/>
  <c r="D101" i="3"/>
  <c r="B101" i="3"/>
  <c r="A101" i="3"/>
  <c r="K100" i="3"/>
  <c r="I100" i="3"/>
  <c r="F100" i="3"/>
  <c r="D100" i="3"/>
  <c r="B100" i="3"/>
  <c r="A100" i="3"/>
  <c r="K99" i="3"/>
  <c r="I99" i="3"/>
  <c r="F99" i="3"/>
  <c r="D99" i="3"/>
  <c r="B99" i="3"/>
  <c r="A99" i="3"/>
  <c r="K98" i="3"/>
  <c r="I98" i="3"/>
  <c r="F98" i="3"/>
  <c r="D98" i="3"/>
  <c r="B98" i="3"/>
  <c r="A98" i="3"/>
  <c r="K97" i="3"/>
  <c r="I97" i="3"/>
  <c r="F97" i="3"/>
  <c r="D97" i="3"/>
  <c r="B97" i="3"/>
  <c r="A97" i="3"/>
  <c r="K96" i="3"/>
  <c r="I96" i="3"/>
  <c r="F96" i="3"/>
  <c r="D96" i="3"/>
  <c r="B96" i="3"/>
  <c r="A96" i="3"/>
  <c r="K95" i="3"/>
  <c r="I95" i="3"/>
  <c r="F95" i="3"/>
  <c r="D95" i="3"/>
  <c r="B95" i="3"/>
  <c r="A95" i="3"/>
  <c r="K94" i="3"/>
  <c r="I94" i="3"/>
  <c r="F94" i="3"/>
  <c r="D94" i="3"/>
  <c r="B94" i="3"/>
  <c r="A94" i="3"/>
  <c r="K93" i="3"/>
  <c r="I93" i="3"/>
  <c r="F93" i="3"/>
  <c r="D93" i="3"/>
  <c r="B93" i="3"/>
  <c r="A93" i="3"/>
  <c r="K92" i="3"/>
  <c r="I92" i="3"/>
  <c r="F92" i="3"/>
  <c r="D92" i="3"/>
  <c r="B92" i="3"/>
  <c r="A92" i="3"/>
  <c r="K91" i="3"/>
  <c r="I91" i="3"/>
  <c r="F91" i="3"/>
  <c r="D91" i="3"/>
  <c r="B91" i="3"/>
  <c r="A91" i="3"/>
  <c r="K90" i="3"/>
  <c r="I90" i="3"/>
  <c r="F90" i="3"/>
  <c r="D90" i="3"/>
  <c r="B90" i="3"/>
  <c r="A90" i="3"/>
  <c r="K89" i="3"/>
  <c r="I89" i="3"/>
  <c r="F89" i="3"/>
  <c r="D89" i="3"/>
  <c r="B89" i="3"/>
  <c r="A89" i="3"/>
  <c r="K88" i="3"/>
  <c r="I88" i="3"/>
  <c r="F88" i="3"/>
  <c r="D88" i="3"/>
  <c r="B88" i="3"/>
  <c r="A88" i="3"/>
  <c r="K87" i="3"/>
  <c r="I87" i="3"/>
  <c r="F87" i="3"/>
  <c r="D87" i="3"/>
  <c r="B87" i="3"/>
  <c r="A87" i="3"/>
  <c r="K86" i="3"/>
  <c r="I86" i="3"/>
  <c r="F86" i="3"/>
  <c r="D86" i="3"/>
  <c r="B86" i="3"/>
  <c r="A86" i="3"/>
  <c r="K85" i="3"/>
  <c r="I85" i="3"/>
  <c r="F85" i="3"/>
  <c r="D85" i="3"/>
  <c r="B85" i="3"/>
  <c r="A85" i="3"/>
  <c r="K84" i="3"/>
  <c r="I84" i="3"/>
  <c r="F84" i="3"/>
  <c r="D84" i="3"/>
  <c r="B84" i="3"/>
  <c r="A84" i="3"/>
  <c r="K83" i="3"/>
  <c r="I83" i="3"/>
  <c r="F83" i="3"/>
  <c r="B83" i="3"/>
  <c r="A83" i="3"/>
  <c r="K82" i="3"/>
  <c r="I82" i="3"/>
  <c r="F82" i="3"/>
  <c r="D82" i="3"/>
  <c r="B82" i="3"/>
  <c r="A82" i="3"/>
  <c r="K81" i="3"/>
  <c r="I81" i="3"/>
  <c r="F81" i="3"/>
  <c r="D81" i="3"/>
  <c r="B81" i="3"/>
  <c r="A81" i="3"/>
  <c r="K80" i="3"/>
  <c r="I80" i="3"/>
  <c r="D80" i="3"/>
  <c r="B80" i="3"/>
  <c r="A80" i="3"/>
  <c r="K79" i="3"/>
  <c r="I79" i="3"/>
  <c r="F79" i="3"/>
  <c r="D79" i="3"/>
  <c r="B79" i="3"/>
  <c r="A79" i="3"/>
  <c r="K78" i="3"/>
  <c r="I78" i="3"/>
  <c r="F78" i="3"/>
  <c r="D78" i="3"/>
  <c r="B78" i="3"/>
  <c r="A78" i="3"/>
  <c r="K77" i="3"/>
  <c r="I77" i="3"/>
  <c r="F77" i="3"/>
  <c r="D77" i="3"/>
  <c r="B77" i="3"/>
  <c r="A77" i="3"/>
  <c r="K76" i="3"/>
  <c r="I76" i="3"/>
  <c r="F76" i="3"/>
  <c r="D76" i="3"/>
  <c r="B76" i="3"/>
  <c r="A76" i="3"/>
  <c r="K75" i="3"/>
  <c r="I75" i="3"/>
  <c r="F75" i="3"/>
  <c r="D75" i="3"/>
  <c r="B75" i="3"/>
  <c r="A75" i="3"/>
  <c r="K74" i="3"/>
  <c r="I74" i="3"/>
  <c r="F74" i="3"/>
  <c r="D74" i="3"/>
  <c r="B74" i="3"/>
  <c r="A74" i="3"/>
  <c r="K73" i="3"/>
  <c r="I73" i="3"/>
  <c r="F73" i="3"/>
  <c r="D73" i="3"/>
  <c r="B73" i="3"/>
  <c r="A73" i="3"/>
  <c r="K72" i="3"/>
  <c r="I72" i="3"/>
  <c r="F72" i="3"/>
  <c r="D72" i="3"/>
  <c r="B72" i="3"/>
  <c r="A72" i="3"/>
  <c r="K71" i="3"/>
  <c r="I71" i="3"/>
  <c r="F71" i="3"/>
  <c r="D71" i="3"/>
  <c r="B71" i="3"/>
  <c r="A71" i="3"/>
  <c r="K70" i="3"/>
  <c r="I70" i="3"/>
  <c r="F70" i="3"/>
  <c r="D70" i="3"/>
  <c r="B70" i="3"/>
  <c r="A70" i="3"/>
  <c r="K69" i="3"/>
  <c r="I69" i="3"/>
  <c r="F69" i="3"/>
  <c r="D69" i="3"/>
  <c r="B69" i="3"/>
  <c r="A69" i="3"/>
  <c r="K68" i="3"/>
  <c r="I68" i="3"/>
  <c r="F68" i="3"/>
  <c r="D68" i="3"/>
  <c r="B68" i="3"/>
  <c r="A68" i="3"/>
  <c r="K67" i="3"/>
  <c r="I67" i="3"/>
  <c r="F67" i="3"/>
  <c r="D67" i="3"/>
  <c r="B67" i="3"/>
  <c r="A67" i="3"/>
  <c r="K66" i="3"/>
  <c r="I66" i="3"/>
  <c r="F66" i="3"/>
  <c r="D66" i="3"/>
  <c r="B66" i="3"/>
  <c r="A66" i="3"/>
  <c r="K65" i="3"/>
  <c r="I65" i="3"/>
  <c r="F65" i="3"/>
  <c r="D65" i="3"/>
  <c r="B65" i="3"/>
  <c r="A65" i="3"/>
  <c r="K64" i="3"/>
  <c r="I64" i="3"/>
  <c r="F64" i="3"/>
  <c r="D64" i="3"/>
  <c r="B64" i="3"/>
  <c r="A64" i="3"/>
  <c r="K63" i="3"/>
  <c r="I63" i="3"/>
  <c r="F63" i="3"/>
  <c r="B63" i="3"/>
  <c r="A63" i="3"/>
  <c r="K62" i="3"/>
  <c r="I62" i="3"/>
  <c r="F62" i="3"/>
  <c r="D62" i="3"/>
  <c r="B62" i="3"/>
  <c r="A62" i="3"/>
  <c r="K61" i="3"/>
  <c r="I61" i="3"/>
  <c r="F61" i="3"/>
  <c r="D61" i="3"/>
  <c r="B61" i="3"/>
  <c r="A61" i="3"/>
  <c r="K60" i="3"/>
  <c r="I60" i="3"/>
  <c r="F60" i="3"/>
  <c r="D60" i="3"/>
  <c r="B60" i="3"/>
  <c r="A60" i="3"/>
  <c r="K59" i="3"/>
  <c r="I59" i="3"/>
  <c r="F59" i="3"/>
  <c r="D59" i="3"/>
  <c r="B59" i="3"/>
  <c r="A59" i="3"/>
  <c r="K58" i="3"/>
  <c r="I58" i="3"/>
  <c r="F58" i="3"/>
  <c r="D58" i="3"/>
  <c r="B58" i="3"/>
  <c r="A58" i="3"/>
  <c r="K57" i="3"/>
  <c r="I57" i="3"/>
  <c r="F57" i="3"/>
  <c r="D57" i="3"/>
  <c r="B57" i="3"/>
  <c r="A57" i="3"/>
  <c r="K56" i="3"/>
  <c r="I56" i="3"/>
  <c r="F56" i="3"/>
  <c r="D56" i="3"/>
  <c r="B56" i="3"/>
  <c r="A56" i="3"/>
  <c r="K55" i="3"/>
  <c r="I55" i="3"/>
  <c r="F55" i="3"/>
  <c r="D55" i="3"/>
  <c r="B55" i="3"/>
  <c r="A55" i="3"/>
  <c r="K54" i="3"/>
  <c r="I54" i="3"/>
  <c r="F54" i="3"/>
  <c r="D54" i="3"/>
  <c r="B54" i="3"/>
  <c r="A54" i="3"/>
  <c r="K53" i="3"/>
  <c r="I53" i="3"/>
  <c r="F53" i="3"/>
  <c r="D53" i="3"/>
  <c r="B53" i="3"/>
  <c r="A53" i="3"/>
  <c r="K52" i="3"/>
  <c r="I52" i="3"/>
  <c r="F52" i="3"/>
  <c r="D52" i="3"/>
  <c r="B52" i="3"/>
  <c r="A52" i="3"/>
  <c r="K51" i="3"/>
  <c r="I51" i="3"/>
  <c r="F51" i="3"/>
  <c r="D51" i="3"/>
  <c r="B51" i="3"/>
  <c r="A51" i="3"/>
  <c r="K50" i="3"/>
  <c r="I50" i="3"/>
  <c r="F50" i="3"/>
  <c r="D50" i="3"/>
  <c r="B50" i="3"/>
  <c r="A50" i="3"/>
  <c r="K49" i="3"/>
  <c r="I49" i="3"/>
  <c r="F49" i="3"/>
  <c r="D49" i="3"/>
  <c r="B49" i="3"/>
  <c r="A49" i="3"/>
  <c r="K48" i="3"/>
  <c r="I48" i="3"/>
  <c r="F48" i="3"/>
  <c r="B48" i="3"/>
  <c r="A48" i="3"/>
  <c r="K47" i="3"/>
  <c r="I47" i="3"/>
  <c r="F47" i="3"/>
  <c r="D47" i="3"/>
  <c r="B47" i="3"/>
  <c r="A47" i="3"/>
  <c r="K46" i="3"/>
  <c r="I46" i="3"/>
  <c r="F46" i="3"/>
  <c r="D46" i="3"/>
  <c r="B46" i="3"/>
  <c r="A46" i="3"/>
  <c r="K45" i="3"/>
  <c r="I45" i="3"/>
  <c r="F45" i="3"/>
  <c r="D45" i="3"/>
  <c r="B45" i="3"/>
  <c r="A45" i="3"/>
  <c r="K44" i="3"/>
  <c r="I44" i="3"/>
  <c r="F44" i="3"/>
  <c r="D44" i="3"/>
  <c r="B44" i="3"/>
  <c r="A44" i="3"/>
  <c r="K43" i="3"/>
  <c r="I43" i="3"/>
  <c r="F43" i="3"/>
  <c r="D43" i="3"/>
  <c r="B43" i="3"/>
  <c r="A43" i="3"/>
  <c r="K42" i="3"/>
  <c r="I42" i="3"/>
  <c r="F42" i="3"/>
  <c r="D42" i="3"/>
  <c r="B42" i="3"/>
  <c r="A42" i="3"/>
  <c r="K41" i="3"/>
  <c r="I41" i="3"/>
  <c r="F41" i="3"/>
  <c r="D41" i="3"/>
  <c r="B41" i="3"/>
  <c r="A41" i="3"/>
  <c r="K40" i="3"/>
  <c r="I40" i="3"/>
  <c r="F40" i="3"/>
  <c r="D40" i="3"/>
  <c r="B40" i="3"/>
  <c r="A40" i="3"/>
  <c r="K39" i="3"/>
  <c r="I39" i="3"/>
  <c r="F39" i="3"/>
  <c r="D39" i="3"/>
  <c r="B39" i="3"/>
  <c r="A39" i="3"/>
  <c r="K38" i="3"/>
  <c r="I38" i="3"/>
  <c r="F38" i="3"/>
  <c r="D38" i="3"/>
  <c r="B38" i="3"/>
  <c r="A38" i="3"/>
  <c r="K37" i="3"/>
  <c r="I37" i="3"/>
  <c r="F37" i="3"/>
  <c r="D37" i="3"/>
  <c r="B37" i="3"/>
  <c r="A37" i="3"/>
  <c r="K36" i="3"/>
  <c r="I36" i="3"/>
  <c r="F36" i="3"/>
  <c r="D36" i="3"/>
  <c r="B36" i="3"/>
  <c r="A36" i="3"/>
  <c r="K35" i="3"/>
  <c r="I35" i="3"/>
  <c r="F35" i="3"/>
  <c r="D35" i="3"/>
  <c r="B35" i="3"/>
  <c r="A35" i="3"/>
  <c r="K34" i="3"/>
  <c r="I34" i="3"/>
  <c r="F34" i="3"/>
  <c r="D34" i="3"/>
  <c r="B34" i="3"/>
  <c r="A34" i="3"/>
  <c r="K33" i="3"/>
  <c r="I33" i="3"/>
  <c r="F33" i="3"/>
  <c r="D33" i="3"/>
  <c r="B33" i="3"/>
  <c r="A33" i="3"/>
  <c r="K32" i="3"/>
  <c r="I32" i="3"/>
  <c r="F32" i="3"/>
  <c r="D32" i="3"/>
  <c r="B32" i="3"/>
  <c r="A32" i="3"/>
  <c r="K31" i="3"/>
  <c r="I31" i="3"/>
  <c r="F31" i="3"/>
  <c r="D31" i="3"/>
  <c r="B31" i="3"/>
  <c r="A31" i="3"/>
  <c r="K30" i="3"/>
  <c r="I30" i="3"/>
  <c r="F30" i="3"/>
  <c r="E30" i="3"/>
  <c r="D30" i="3"/>
  <c r="B30" i="3"/>
  <c r="A30" i="3"/>
  <c r="K29" i="3"/>
  <c r="I29" i="3"/>
  <c r="F29" i="3"/>
  <c r="D29" i="3"/>
  <c r="B29" i="3"/>
  <c r="A29" i="3"/>
  <c r="K28" i="3"/>
  <c r="I28" i="3"/>
  <c r="F28" i="3"/>
  <c r="D28" i="3"/>
  <c r="B28" i="3"/>
  <c r="A28" i="3"/>
  <c r="K27" i="3"/>
  <c r="I27" i="3"/>
  <c r="F27" i="3"/>
  <c r="D27" i="3"/>
  <c r="B27" i="3"/>
  <c r="A27" i="3"/>
  <c r="K26" i="3"/>
  <c r="I26" i="3"/>
  <c r="F26" i="3"/>
  <c r="D26" i="3"/>
  <c r="B26" i="3"/>
  <c r="A26" i="3"/>
  <c r="K25" i="3"/>
  <c r="I25" i="3"/>
  <c r="F25" i="3"/>
  <c r="D25" i="3"/>
  <c r="B25" i="3"/>
  <c r="A25" i="3"/>
  <c r="K24" i="3"/>
  <c r="I24" i="3"/>
  <c r="F24" i="3"/>
  <c r="D24" i="3"/>
  <c r="B24" i="3"/>
  <c r="A24" i="3"/>
  <c r="K23" i="3"/>
  <c r="I23" i="3"/>
  <c r="F23" i="3"/>
  <c r="D23" i="3"/>
  <c r="B23" i="3"/>
  <c r="A23" i="3"/>
  <c r="K22" i="3"/>
  <c r="I22" i="3"/>
  <c r="F22" i="3"/>
  <c r="D22" i="3"/>
  <c r="B22" i="3"/>
  <c r="A22" i="3"/>
  <c r="K21" i="3"/>
  <c r="I21" i="3"/>
  <c r="F21" i="3"/>
  <c r="D21" i="3"/>
  <c r="B21" i="3"/>
  <c r="A21" i="3"/>
  <c r="K20" i="3"/>
  <c r="I20" i="3"/>
  <c r="F20" i="3"/>
  <c r="D20" i="3"/>
  <c r="B20" i="3"/>
  <c r="A20" i="3"/>
  <c r="K19" i="3"/>
  <c r="I19" i="3"/>
  <c r="F19" i="3"/>
  <c r="D19" i="3"/>
  <c r="B19" i="3"/>
  <c r="A19" i="3"/>
  <c r="K18" i="3"/>
  <c r="I18" i="3"/>
  <c r="F18" i="3"/>
  <c r="D18" i="3"/>
  <c r="B18" i="3"/>
  <c r="A18" i="3"/>
  <c r="K17" i="3"/>
  <c r="I17" i="3"/>
  <c r="F17" i="3"/>
  <c r="D17" i="3"/>
  <c r="B17" i="3"/>
  <c r="A17" i="3"/>
  <c r="K16" i="3"/>
  <c r="I16" i="3"/>
  <c r="F16" i="3"/>
  <c r="D16" i="3"/>
  <c r="B16" i="3"/>
  <c r="A16" i="3"/>
  <c r="K15" i="3"/>
  <c r="I15" i="3"/>
  <c r="F15" i="3"/>
  <c r="D15" i="3"/>
  <c r="B15" i="3"/>
  <c r="A15" i="3"/>
  <c r="K14" i="3"/>
  <c r="I14" i="3"/>
  <c r="F14" i="3"/>
  <c r="D14" i="3"/>
  <c r="B14" i="3"/>
  <c r="A14" i="3"/>
  <c r="K13" i="3"/>
  <c r="I13" i="3"/>
  <c r="F13" i="3"/>
  <c r="D13" i="3"/>
  <c r="B13" i="3"/>
  <c r="A13" i="3"/>
  <c r="K12" i="3"/>
  <c r="I12" i="3"/>
  <c r="F12" i="3"/>
  <c r="D12" i="3"/>
  <c r="B12" i="3"/>
  <c r="A12" i="3"/>
  <c r="K11" i="3"/>
  <c r="I11" i="3"/>
  <c r="F11" i="3"/>
  <c r="D11" i="3"/>
  <c r="B11" i="3"/>
  <c r="A11" i="3"/>
  <c r="K10" i="3"/>
  <c r="I10" i="3"/>
  <c r="F10" i="3"/>
  <c r="D10" i="3"/>
  <c r="B10" i="3"/>
  <c r="A10" i="3"/>
  <c r="K9" i="3"/>
  <c r="I9" i="3"/>
  <c r="F9" i="3"/>
  <c r="D9" i="3"/>
  <c r="B9" i="3"/>
  <c r="A9" i="3"/>
  <c r="K8" i="3"/>
  <c r="I8" i="3"/>
  <c r="F8" i="3"/>
  <c r="D8" i="3"/>
  <c r="B8" i="3"/>
  <c r="A8" i="3"/>
</calcChain>
</file>

<file path=xl/sharedStrings.xml><?xml version="1.0" encoding="utf-8"?>
<sst xmlns="http://schemas.openxmlformats.org/spreadsheetml/2006/main" count="13571" uniqueCount="3665">
  <si>
    <t>Material Usage / Weeding - February 1, 2020 at 10:47:58 AM CST</t>
  </si>
  <si>
    <t>Holding status: Active</t>
  </si>
  <si>
    <t>Types: 9 - 300 - 399</t>
  </si>
  <si>
    <t>Added before 2-1-2020</t>
  </si>
  <si>
    <t>Circulations after 2-1-2017</t>
  </si>
  <si>
    <t>Call #</t>
  </si>
  <si>
    <t>Title</t>
  </si>
  <si>
    <t>Material #</t>
  </si>
  <si>
    <t>Author</t>
  </si>
  <si>
    <t>Series</t>
  </si>
  <si>
    <t>Physical</t>
  </si>
  <si>
    <t>Fund</t>
  </si>
  <si>
    <t>Type</t>
  </si>
  <si>
    <t>Type2</t>
  </si>
  <si>
    <t>Location</t>
  </si>
  <si>
    <t>Price</t>
  </si>
  <si>
    <t>ISBN</t>
  </si>
  <si>
    <t>Vendor</t>
  </si>
  <si>
    <t>Status</t>
  </si>
  <si>
    <t>Notes</t>
  </si>
  <si>
    <t>Circs</t>
  </si>
  <si>
    <t>In-Lib</t>
  </si>
  <si>
    <t>All-Time Circs</t>
  </si>
  <si>
    <t>Added</t>
  </si>
  <si>
    <t>Edited</t>
  </si>
  <si>
    <t>Last Circ</t>
  </si>
  <si>
    <t>Last In-Lib</t>
  </si>
  <si>
    <t>978-0-226-02598-8</t>
  </si>
  <si>
    <t>Active</t>
  </si>
  <si>
    <t>978-0-465-05568-5</t>
  </si>
  <si>
    <t>978-0-674-98817-0</t>
  </si>
  <si>
    <t>978-1-5235-0205-9</t>
  </si>
  <si>
    <t>978-1-101-98321-8</t>
  </si>
  <si>
    <t>978-0-8129-9326-4</t>
  </si>
  <si>
    <t>978-0-544-70248-6</t>
  </si>
  <si>
    <t>978-0-399-56449-9</t>
  </si>
  <si>
    <t>978-1-59079-142-4</t>
  </si>
  <si>
    <t>978-1-4516-7754-6</t>
  </si>
  <si>
    <t>978-0-316-01793-0</t>
  </si>
  <si>
    <t>978-0-316-31696-5</t>
  </si>
  <si>
    <t>978-0-465-09629-9</t>
  </si>
  <si>
    <t>978-1-59463-492-5</t>
  </si>
  <si>
    <t>978-1-250-05292-6</t>
  </si>
  <si>
    <t>978-1-4000-6957-6</t>
  </si>
  <si>
    <t>978-1-250-10781-7</t>
  </si>
  <si>
    <t>978-0-425-28462-9</t>
  </si>
  <si>
    <t>978-1-250-17994-4</t>
  </si>
  <si>
    <t>978-1-118-37458-0</t>
  </si>
  <si>
    <t>978-0-07-141858-4</t>
  </si>
  <si>
    <t>978-0-9949807-0-0</t>
  </si>
  <si>
    <t>978-1-60994-981-5</t>
  </si>
  <si>
    <t>978-1-59420-555-2</t>
  </si>
  <si>
    <t>978-0-316-40462-4</t>
  </si>
  <si>
    <t>978-1-59420-664-1</t>
  </si>
  <si>
    <t>978-1-61219-489-9</t>
  </si>
  <si>
    <t>978-1-62956-145-5</t>
  </si>
  <si>
    <t>978-1-4767-8472-4</t>
  </si>
  <si>
    <t>978-1-59184-807-3</t>
  </si>
  <si>
    <t>978-1-250-19668-2</t>
  </si>
  <si>
    <t>978-0-393-35307-5</t>
  </si>
  <si>
    <t>978-1-62040-283-2</t>
  </si>
  <si>
    <t>978-0-06-239085-1</t>
  </si>
  <si>
    <t>978-0-19-084116-4</t>
  </si>
  <si>
    <t>978-1-59420-321-3</t>
  </si>
  <si>
    <t>978-0-07-176996-9</t>
  </si>
  <si>
    <t>978-1-4422-6539-4</t>
  </si>
  <si>
    <t>978-0-7352-2291-5</t>
  </si>
  <si>
    <t>978-1-4013-0226-9</t>
  </si>
  <si>
    <t>978-1-59555-503-8</t>
  </si>
  <si>
    <t>978-1-101-87143-0</t>
  </si>
  <si>
    <t>978-1-4555-6638-9</t>
  </si>
  <si>
    <t>978-0-910965-99-6</t>
  </si>
  <si>
    <t>978-0-525-56135-4</t>
  </si>
  <si>
    <t>978-1-4422-2545-9</t>
  </si>
  <si>
    <t>978-1-4926-4899-4</t>
  </si>
  <si>
    <t>978-0-06-242915-5</t>
  </si>
  <si>
    <t>978-1-59420-517-0</t>
  </si>
  <si>
    <t>978-1-5011-3244-5</t>
  </si>
  <si>
    <t>978-1-62656-465-7</t>
  </si>
  <si>
    <t>978-0-7352-2493-3</t>
  </si>
  <si>
    <t>978-0-385-34775-4</t>
  </si>
  <si>
    <t>978-1-5011-7444-5</t>
  </si>
  <si>
    <t>978-0-446-58187-5</t>
  </si>
  <si>
    <t>978-0-8129-8363-0</t>
  </si>
  <si>
    <t>978-0-19-087634-0</t>
  </si>
  <si>
    <t>978-1-250-21770-7</t>
  </si>
  <si>
    <t>978-1-250-06705-0</t>
  </si>
  <si>
    <t>978-0-06-269214-6</t>
  </si>
  <si>
    <t>978-1-119-41381-3</t>
  </si>
  <si>
    <t>978-0-393-31755-8</t>
  </si>
  <si>
    <t>978-0-451-49324-8</t>
  </si>
  <si>
    <t>978-0-06-291240-4</t>
  </si>
  <si>
    <t>978-0-525-42757-5</t>
  </si>
  <si>
    <t>978-1-60846-329-9</t>
  </si>
  <si>
    <t>978-1-60846-576-7</t>
  </si>
  <si>
    <t>978-1-4767-9504-1</t>
  </si>
  <si>
    <t>978-1-59420-558-3</t>
  </si>
  <si>
    <t>978-0-8129-9318-9</t>
  </si>
  <si>
    <t>978-1-5417-7367-7</t>
  </si>
  <si>
    <t>978-0-19-066529-6</t>
  </si>
  <si>
    <t>978-0-393-23935-5</t>
  </si>
  <si>
    <t>978-0-393-25454-9</t>
  </si>
  <si>
    <t>978-1-4408-5178-0</t>
  </si>
  <si>
    <t>978-90-822058-0-0</t>
  </si>
  <si>
    <t>978-1-118-42042-3</t>
  </si>
  <si>
    <t>978-0-316-40913-1</t>
  </si>
  <si>
    <t>978-1-101-98111-5</t>
  </si>
  <si>
    <t>978-0-374-27353-8</t>
  </si>
  <si>
    <t>978-0-393-63499-0</t>
  </si>
  <si>
    <t>978-1-57687-822-4</t>
  </si>
  <si>
    <t>978-1-250-06780-7</t>
  </si>
  <si>
    <t>978-0-292-74362-5</t>
  </si>
  <si>
    <t>978-0-8010-1529-8</t>
  </si>
  <si>
    <t>978-0-399-17171-0</t>
  </si>
  <si>
    <t>978-1-4391-9170-5</t>
  </si>
  <si>
    <t>978-0-385-54111-4</t>
  </si>
  <si>
    <t>978-0-06-050591-2</t>
  </si>
  <si>
    <t>978-1-4555-4459-2</t>
  </si>
  <si>
    <t>978-1-62097-093-5</t>
  </si>
  <si>
    <t>978-0-520-30152-8</t>
  </si>
  <si>
    <t>978-0-8021-2664-1</t>
  </si>
  <si>
    <t>978-0-525-42808-4</t>
  </si>
  <si>
    <t>978-1-4516-5496-7</t>
  </si>
  <si>
    <t>978-1-101-98258-7</t>
  </si>
  <si>
    <t>978-0-06-212044-1</t>
  </si>
  <si>
    <t>978-0-525-53651-2</t>
  </si>
  <si>
    <t>978-0-19-046941-2</t>
  </si>
  <si>
    <t>978-1-59420-565-1</t>
  </si>
  <si>
    <t>978-1-250-16912-9</t>
  </si>
  <si>
    <t>978-1-250-18215-9</t>
  </si>
  <si>
    <t>978-1-5417-6211-4</t>
  </si>
  <si>
    <t>978-0-691-18044-1</t>
  </si>
  <si>
    <t>978-1-5011-5856-8</t>
  </si>
  <si>
    <t>978-0-06-228406-8</t>
  </si>
  <si>
    <t>978-0-674-00312-5</t>
  </si>
  <si>
    <t>978-1-61723-017-2</t>
  </si>
  <si>
    <t>978-0-307-95713-9</t>
  </si>
  <si>
    <t>978-1-5230-9584-1</t>
  </si>
  <si>
    <t>978-1-62656-971-3</t>
  </si>
  <si>
    <t>978-0-8157-3532-8</t>
  </si>
  <si>
    <t>978-0-06-228514-0</t>
  </si>
  <si>
    <t>978-0-385-51705-8</t>
  </si>
  <si>
    <t>978-0-307-47639-5</t>
  </si>
  <si>
    <t>978-0-8129-8855-0</t>
  </si>
  <si>
    <t>978-0-399-18412-3</t>
  </si>
  <si>
    <t>978-0-262-01912-5</t>
  </si>
  <si>
    <t>978-1-5011-7991-4</t>
  </si>
  <si>
    <t>978-1-5011-1994-1</t>
  </si>
  <si>
    <t>978-0-8041-3669-3</t>
  </si>
  <si>
    <t>978-0-553-27737-1</t>
  </si>
  <si>
    <t>978-1-62656-431-2</t>
  </si>
  <si>
    <t>978-1-61373-931-0</t>
  </si>
  <si>
    <t>978-1-56858-733-2</t>
  </si>
  <si>
    <t>978-1-60846-890-4</t>
  </si>
  <si>
    <t>978-0-670-02295-3</t>
  </si>
  <si>
    <t>978-1-55152-643-0</t>
  </si>
  <si>
    <t>978-1-56858-975-6</t>
  </si>
  <si>
    <t>978-1-78168-845-8</t>
  </si>
  <si>
    <t>978-1-5179-0237-7</t>
  </si>
  <si>
    <t>978-1-101-98041-5</t>
  </si>
  <si>
    <t>978-1-60980-678-1</t>
  </si>
  <si>
    <t>978-1-68137-242-6</t>
  </si>
  <si>
    <t>978-1-78663-078-0</t>
  </si>
  <si>
    <t>978-1-4792-4314-3</t>
  </si>
  <si>
    <t>978-0-525-57670-9</t>
  </si>
  <si>
    <t>978-1-984823-21-2</t>
  </si>
  <si>
    <t>978-1-59376-645-0</t>
  </si>
  <si>
    <t>978-0-465-06151-8</t>
  </si>
  <si>
    <t>978-1-59403-809-9</t>
  </si>
  <si>
    <t>978-1-63286-960-9</t>
  </si>
  <si>
    <t>978-0-547-74496-4</t>
  </si>
  <si>
    <t>978-0-345-50401-2</t>
  </si>
  <si>
    <t>978-1-55152-631-7</t>
  </si>
  <si>
    <t>978-1-5346-6644-3</t>
  </si>
  <si>
    <t>978-0-9636480-0-6</t>
  </si>
  <si>
    <t>978-1-60774-575-4</t>
  </si>
  <si>
    <t>978-0-446-50413-3</t>
  </si>
  <si>
    <t>978-0-8010-3941-6</t>
  </si>
  <si>
    <t>978-1-4405-9994-1</t>
  </si>
  <si>
    <t>978-0-06-173232-4</t>
  </si>
  <si>
    <t>978-0-470-24337-4</t>
  </si>
  <si>
    <t>978-0-9839959-4-4</t>
  </si>
  <si>
    <t>978-0-14-310948-8</t>
  </si>
  <si>
    <t>978-1-62336-352-9</t>
  </si>
  <si>
    <t>978-1-4736-2276-0</t>
  </si>
  <si>
    <t>978-1-4405-9991-0</t>
  </si>
  <si>
    <t>978-0-345-43485-2</t>
  </si>
  <si>
    <t>978-1-4767-3513-9</t>
  </si>
  <si>
    <t>978-1-59698-057-0</t>
  </si>
  <si>
    <t>978-0-14-313207-3</t>
  </si>
  <si>
    <t>978-1-60554-138-9</t>
  </si>
  <si>
    <t>978-0-06-220972-6</t>
  </si>
  <si>
    <t>978-1-61180-217-7</t>
  </si>
  <si>
    <t>978-1-5011-7433-9</t>
  </si>
  <si>
    <t>978-0-465-01561-0</t>
  </si>
  <si>
    <t>978-0-451-49777-2</t>
  </si>
  <si>
    <t>978-0-316-43724-0</t>
  </si>
  <si>
    <t>978-1-5011-5198-9</t>
  </si>
  <si>
    <t>978-1-250-06761-6</t>
  </si>
  <si>
    <t>978-0-393-70928-5</t>
  </si>
  <si>
    <t>978-0-312-61552-9</t>
  </si>
  <si>
    <t>978-0-553-39305-7</t>
  </si>
  <si>
    <t>978-1-4143-9133-5</t>
  </si>
  <si>
    <t>978-1-4143-0127-3</t>
  </si>
  <si>
    <t>978-1-4338-1040-4</t>
  </si>
  <si>
    <t>978-0-15-602815-8</t>
  </si>
  <si>
    <t>978-1-5235-0551-7</t>
  </si>
  <si>
    <t>978-0-7611-8913-8</t>
  </si>
  <si>
    <t>978-1-59448-188-8</t>
  </si>
  <si>
    <t>978-0-06-243839-3</t>
  </si>
  <si>
    <t>978-0-547-52019-3</t>
  </si>
  <si>
    <t>978-1-939629-19-7</t>
  </si>
  <si>
    <t>978-0-7624-4127-3</t>
  </si>
  <si>
    <t>978-1-58333-365-5</t>
  </si>
  <si>
    <t>978-0-446-56176-1</t>
  </si>
  <si>
    <t>978-1-60994-932-7</t>
  </si>
  <si>
    <t>978-1-62634-352-8</t>
  </si>
  <si>
    <t>978-1-250-11440-2</t>
  </si>
  <si>
    <t>978-1-4019-1719-7</t>
  </si>
  <si>
    <t>978-1-5417-6781-2</t>
  </si>
  <si>
    <t>978-1-61039-676-9</t>
  </si>
  <si>
    <t>978-0-9771231-1-7</t>
  </si>
  <si>
    <t>978-0-374-16818-6</t>
  </si>
  <si>
    <t>978-0-9978533-0-8</t>
  </si>
  <si>
    <t>978-1-59463-084-2</t>
  </si>
  <si>
    <t>978-0-07-183098-0</t>
  </si>
  <si>
    <t>978-1-4516-6756-1</t>
  </si>
  <si>
    <t>978-1-58005-765-3</t>
  </si>
  <si>
    <t>978-1-59420-627-6</t>
  </si>
  <si>
    <t>Intermarried</t>
  </si>
  <si>
    <t>978-3-86828-418-8</t>
  </si>
  <si>
    <t>978-1-5011-2094-7</t>
  </si>
  <si>
    <t>978-0-7611-6358-9</t>
  </si>
  <si>
    <t>978-1-60868-394-9</t>
  </si>
  <si>
    <t>978-0-609-80413-1</t>
  </si>
  <si>
    <t>978-0-8024-1270-6</t>
  </si>
  <si>
    <t>978-0-8024-0769-6</t>
  </si>
  <si>
    <t>978-1-4158-5731-1</t>
  </si>
  <si>
    <t>978-0-8024-7316-5</t>
  </si>
  <si>
    <t>978-0-8024-1810-4</t>
  </si>
  <si>
    <t>978-0-8024-1151-8</t>
  </si>
  <si>
    <t>978-0-06-265258-4</t>
  </si>
  <si>
    <t>978-1-62317-120-9</t>
  </si>
  <si>
    <t>978-1-5011-1891-3</t>
  </si>
  <si>
    <t>978-1-940262-75-8</t>
  </si>
  <si>
    <t>978-1-59376-291-9</t>
  </si>
  <si>
    <t>978-1-940363-86-8</t>
  </si>
  <si>
    <t>978-0-316-26710-6</t>
  </si>
  <si>
    <t>978-0-399-57966-0</t>
  </si>
  <si>
    <t>978-1-61039-800-8</t>
  </si>
  <si>
    <t>978-0-525-95516-0</t>
  </si>
  <si>
    <t>978-0-06-245648-9</t>
  </si>
  <si>
    <t>978-1-55874-953-5</t>
  </si>
  <si>
    <t>978-0-446-55629-3</t>
  </si>
  <si>
    <t>978-0-553-44771-2</t>
  </si>
  <si>
    <t>978-0-06-016848-3</t>
  </si>
  <si>
    <t>978-0-8050-8700-0</t>
  </si>
  <si>
    <t>978-0-7704-3712-1</t>
  </si>
  <si>
    <t>978-0-06-224174-0</t>
  </si>
  <si>
    <t>978-0-9890106-6-5</t>
  </si>
  <si>
    <t>978-0-8007-2677-5</t>
  </si>
  <si>
    <t>978-1-4767-6209-8</t>
  </si>
  <si>
    <t>978-1-58270-572-9</t>
  </si>
  <si>
    <t>978-0-7679-0287-8</t>
  </si>
  <si>
    <t>978-0-06-075364-1</t>
  </si>
  <si>
    <t>978-0-06-232258-6</t>
  </si>
  <si>
    <t>978-1-59463-154-2</t>
  </si>
  <si>
    <t>978-1-60819-823-8</t>
  </si>
  <si>
    <t>978-1-250-19342-1</t>
  </si>
  <si>
    <t>978-1-57324-583-8</t>
  </si>
  <si>
    <t>978-0-578-46222-6</t>
  </si>
  <si>
    <t>978-1-60882-985-9</t>
  </si>
  <si>
    <t>978-0-7624-5896-7</t>
  </si>
  <si>
    <t>978-1-250-13077-8</t>
  </si>
  <si>
    <t>978-1-4555-3449-4</t>
  </si>
  <si>
    <t>978-0-06-212270-4</t>
  </si>
  <si>
    <t>978-0-06-089876-2</t>
  </si>
  <si>
    <t>978-1-4516-4229-2</t>
  </si>
  <si>
    <t>978-1-4767-1656-5</t>
  </si>
  <si>
    <t>978-0-393-28509-3</t>
  </si>
  <si>
    <t>978-0-374-18253-3</t>
  </si>
  <si>
    <t>978-0-87131-999-9</t>
  </si>
  <si>
    <t>978-0-399-18005-7</t>
  </si>
  <si>
    <t>978-1-5011-2627-7</t>
  </si>
  <si>
    <t>978-0-06-243978-9</t>
  </si>
  <si>
    <t>978-0-385-53865-7</t>
  </si>
  <si>
    <t>978-1-5011-4671-8</t>
  </si>
  <si>
    <t>978-1-5011-5792-9</t>
  </si>
  <si>
    <t>978-0-14-313096-3</t>
  </si>
  <si>
    <t>978-1-62634-350-4</t>
  </si>
  <si>
    <t>978-1-61219-601-5</t>
  </si>
  <si>
    <t>978-1-5427-8370-5</t>
  </si>
  <si>
    <t>978-1-59420-637-5</t>
  </si>
  <si>
    <t>978-0-374-15604-6</t>
  </si>
  <si>
    <t>978-0-345-80474-7</t>
  </si>
  <si>
    <t>978-0-307-26455-8</t>
  </si>
  <si>
    <t>978-0-307-59560-7</t>
  </si>
  <si>
    <t>978-0-393-06297-7</t>
  </si>
  <si>
    <t>978-1-4555-7186-4</t>
  </si>
  <si>
    <t>978-1-60070-067-5</t>
  </si>
  <si>
    <t>978-1-4555-0280-6</t>
  </si>
  <si>
    <t>978-1-984820-80-8</t>
  </si>
  <si>
    <t>978-0-06-266615-4</t>
  </si>
  <si>
    <t>978-0-9893222-8-7</t>
  </si>
  <si>
    <t>978-0-06-284762-1</t>
  </si>
  <si>
    <t>978-1-5011-7212-0</t>
  </si>
  <si>
    <t>978-0-9862307-0-7</t>
  </si>
  <si>
    <t>Figuring</t>
  </si>
  <si>
    <t>978-1-5247-4813-5</t>
  </si>
  <si>
    <t>978-0-06-240537-1</t>
  </si>
  <si>
    <t>978-1-250-04859-2</t>
  </si>
  <si>
    <t>978-1-60846-740-2</t>
  </si>
  <si>
    <t>978-0-7679-1789-6</t>
  </si>
  <si>
    <t>978-1-4767-3467-5</t>
  </si>
  <si>
    <t>978-1-63149-475-8</t>
  </si>
  <si>
    <t>978-1-58617-796-6</t>
  </si>
  <si>
    <t>978-0-87140-676-7</t>
  </si>
  <si>
    <t>978-1-4197-2907-2</t>
  </si>
  <si>
    <t>978-1-58005-871-1</t>
  </si>
  <si>
    <t>978-0-393-32257-6</t>
  </si>
  <si>
    <t>978-1-4521-6833-3</t>
  </si>
  <si>
    <t>978-1-250-31357-7</t>
  </si>
  <si>
    <t>978-1-328-56644-7</t>
  </si>
  <si>
    <t>978-0-06-243721-1</t>
  </si>
  <si>
    <t>978-0-231-17424-4</t>
  </si>
  <si>
    <t>978-0-8070-4657-9</t>
  </si>
  <si>
    <t>978-0-399-16333-3</t>
  </si>
  <si>
    <t>978-1-59448-804-7</t>
  </si>
  <si>
    <t>978-1-60846-386-2</t>
  </si>
  <si>
    <t>978-0-06-284343-2</t>
  </si>
  <si>
    <t>978-1-5011-8179-5</t>
  </si>
  <si>
    <t>978-1-4197-2885-3</t>
  </si>
  <si>
    <t>978-0-688-08510-0</t>
  </si>
  <si>
    <t>978-1-61039-589-2</t>
  </si>
  <si>
    <t>978-1-59420-388-6</t>
  </si>
  <si>
    <t>978-1-250-16459-9</t>
  </si>
  <si>
    <t>978-0-8129-7673-1</t>
  </si>
  <si>
    <t>978-1-4000-6755-8</t>
  </si>
  <si>
    <t>978-0-684-85378-9</t>
  </si>
  <si>
    <t>978-0-393-24931-6</t>
  </si>
  <si>
    <t>978-1-5011-8366-9</t>
  </si>
  <si>
    <t>978-1-59420-546-0</t>
  </si>
  <si>
    <t>978-0-385-53977-7</t>
  </si>
  <si>
    <t>978-0-8050-6388-2</t>
  </si>
  <si>
    <t>978-1-59420-409-8</t>
  </si>
  <si>
    <t>978-1-4473-3606-8</t>
  </si>
  <si>
    <t>978-1-5011-5267-2</t>
  </si>
  <si>
    <t>978-1-5011-2494-5</t>
  </si>
  <si>
    <t>978-0-670-78597-1</t>
  </si>
  <si>
    <t>978-0-14-312890-8</t>
  </si>
  <si>
    <t>978-1-4767-6989-9</t>
  </si>
  <si>
    <t>978-0-06-241225-6</t>
  </si>
  <si>
    <t>978-0-8157-2912-9</t>
  </si>
  <si>
    <t>978-1-63265-134-1</t>
  </si>
  <si>
    <t>978-0-691-16550-9</t>
  </si>
  <si>
    <t>978-0-375-70821-3</t>
  </si>
  <si>
    <t>978-0-393-24857-9</t>
  </si>
  <si>
    <t>978-0-465-09898-9</t>
  </si>
  <si>
    <t>978-0-465-04898-4</t>
  </si>
  <si>
    <t>978-1-250-12061-8</t>
  </si>
  <si>
    <t>978-1-63369-378-4</t>
  </si>
  <si>
    <t>978-1-4000-6760-2</t>
  </si>
  <si>
    <t>978-1-107-00581-5</t>
  </si>
  <si>
    <t>978-1-63286-413-0</t>
  </si>
  <si>
    <t>978-0-393-24744-2</t>
  </si>
  <si>
    <t>978-0-312-42948-5</t>
  </si>
  <si>
    <t>978-0-8070-4741-5</t>
  </si>
  <si>
    <t>978-0-544-38766-9</t>
  </si>
  <si>
    <t>978-1-4088-7055-6</t>
  </si>
  <si>
    <t>978-0-525-54112-7</t>
  </si>
  <si>
    <t>978-1-984823-33-5</t>
  </si>
  <si>
    <t>978-1-4399-1603-2</t>
  </si>
  <si>
    <t>978-1-59403-859-4</t>
  </si>
  <si>
    <t>978-0-525-50928-8</t>
  </si>
  <si>
    <t>978-1-56858-463-8</t>
  </si>
  <si>
    <t>978-1-56858-961-9</t>
  </si>
  <si>
    <t>978-1-5107-2412-9</t>
  </si>
  <si>
    <t>978-1-250-13355-7</t>
  </si>
  <si>
    <t>978-0-374-27602-7</t>
  </si>
  <si>
    <t>978-0-307-45343-3</t>
  </si>
  <si>
    <t>978-0-393-33974-1</t>
  </si>
  <si>
    <t>978-0-14-024436-6</t>
  </si>
  <si>
    <t>978-0-8129-9450-6</t>
  </si>
  <si>
    <t>978-1-5107-0335-3</t>
  </si>
  <si>
    <t>978-0-670-02481-0</t>
  </si>
  <si>
    <t>978-1-4870-0226-8</t>
  </si>
  <si>
    <t>978-1-4165-9427-7</t>
  </si>
  <si>
    <t>978-1-250-16993-8</t>
  </si>
  <si>
    <t>978-1-250-17453-6</t>
  </si>
  <si>
    <t>978-0-8129-9354-7</t>
  </si>
  <si>
    <t>978-1-4696-4660-2</t>
  </si>
  <si>
    <t>978-1-250-13599-5</t>
  </si>
  <si>
    <t>978-1-250-19941-6</t>
  </si>
  <si>
    <t>978-1-101-98093-4</t>
  </si>
  <si>
    <t>978-1-5011-2634-5</t>
  </si>
  <si>
    <t>978-0-06-242700-7</t>
  </si>
  <si>
    <t>978-1-5011-3170-7</t>
  </si>
  <si>
    <t>978-0-316-31247-9</t>
  </si>
  <si>
    <t>978-0-465-02853-5</t>
  </si>
  <si>
    <t>978-1-59403-725-2</t>
  </si>
  <si>
    <t>978-1-63149-285-3</t>
  </si>
  <si>
    <t>978-0-615-74847-4</t>
  </si>
  <si>
    <t>978-0-06-200322-5</t>
  </si>
  <si>
    <t>978-1-59947-469-4</t>
  </si>
  <si>
    <t>978-1-5247-3163-2</t>
  </si>
  <si>
    <t>978-0-06-279710-0</t>
  </si>
  <si>
    <t>978-1-101-87184-3</t>
  </si>
  <si>
    <t>978-1-59420-545-3</t>
  </si>
  <si>
    <t>978-1-5011-5293-1</t>
  </si>
  <si>
    <t>978-1-61614-495-1</t>
  </si>
  <si>
    <t>978-0-399-58821-1</t>
  </si>
  <si>
    <t>978-0-525-52202-7</t>
  </si>
  <si>
    <t>978-0-688-05033-7</t>
  </si>
  <si>
    <t>978-0-06-231654-7</t>
  </si>
  <si>
    <t>978-0-316-25654-4</t>
  </si>
  <si>
    <t>978-1-5011-8874-9</t>
  </si>
  <si>
    <t>978-0-06-285790-3</t>
  </si>
  <si>
    <t>978-0-8070-0455-5</t>
  </si>
  <si>
    <t>978-1-5445-0032-4</t>
  </si>
  <si>
    <t>978-0-553-44755-2</t>
  </si>
  <si>
    <t>978-1-56025-580-2</t>
  </si>
  <si>
    <t>978-1-324-00176-8</t>
  </si>
  <si>
    <t>978-0-06-243898-0</t>
  </si>
  <si>
    <t>978-0-465-06196-9</t>
  </si>
  <si>
    <t>978-0-7352-2489-6</t>
  </si>
  <si>
    <t>978-1-5011-6833-8</t>
  </si>
  <si>
    <t>978-1-61044-872-7</t>
  </si>
  <si>
    <t>978-1-78663-288-3</t>
  </si>
  <si>
    <t>978-1-5011-7249-6</t>
  </si>
  <si>
    <t>978-1-4767-7977-5</t>
  </si>
  <si>
    <t>978-1-5247-6368-8</t>
  </si>
  <si>
    <t>978-0-8070-4762-0</t>
  </si>
  <si>
    <t>978-1-63369-632-7</t>
  </si>
  <si>
    <t>978-0-307-26909-6</t>
  </si>
  <si>
    <t>978-1-60994-927-3</t>
  </si>
  <si>
    <t>978-1-62040-157-6</t>
  </si>
  <si>
    <t>978-1-68177-417-6</t>
  </si>
  <si>
    <t>978-1-250-11946-9</t>
  </si>
  <si>
    <t>978-0-525-56500-0</t>
  </si>
  <si>
    <t>978-0-547-64098-3</t>
  </si>
  <si>
    <t>978-1-946885-79-1</t>
  </si>
  <si>
    <t>978-0-8157-3293-8</t>
  </si>
  <si>
    <t>978-1-945547-71-3</t>
  </si>
  <si>
    <t>978-1-61039-569-4</t>
  </si>
  <si>
    <t>978-1-63286-964-7</t>
  </si>
  <si>
    <t>978-0-8070-2699-1</t>
  </si>
  <si>
    <t>978-0-393-63590-4</t>
  </si>
  <si>
    <t>978-1-61620-843-1</t>
  </si>
  <si>
    <t>978-0-385-54041-4</t>
  </si>
  <si>
    <t>978-0-691-14767-3</t>
  </si>
  <si>
    <t>978-1-982100-65-0</t>
  </si>
  <si>
    <t>978-1-4729-5089-5</t>
  </si>
  <si>
    <t>978-1-78578-071-4</t>
  </si>
  <si>
    <t>978-1-57344-318-0</t>
  </si>
  <si>
    <t>978-0-8070-4245-8</t>
  </si>
  <si>
    <t>978-0-7879-6702-4</t>
  </si>
  <si>
    <t>978-1-61519-306-6</t>
  </si>
  <si>
    <t>978-1-4516-9411-6</t>
  </si>
  <si>
    <t>978-1-324-00206-2</t>
  </si>
  <si>
    <t>978-0-393-71139-4</t>
  </si>
  <si>
    <t>978-0-8129-9541-1</t>
  </si>
  <si>
    <t>978-1-4521-2753-8</t>
  </si>
  <si>
    <t>978-1-4926-6694-3</t>
  </si>
  <si>
    <t>978-0-8070-0197-4</t>
  </si>
  <si>
    <t>978-0-14-313351-3</t>
  </si>
  <si>
    <t>978-0-231-15713-1</t>
  </si>
  <si>
    <t>978-0-06-238888-9</t>
  </si>
  <si>
    <t>978-0-87154-093-5</t>
  </si>
  <si>
    <t>978-0-307-44008-2</t>
  </si>
  <si>
    <t>978-0-06-177873-5</t>
  </si>
  <si>
    <t>978-1-5381-3313-2</t>
  </si>
  <si>
    <t>978-1-5247-4409-0</t>
  </si>
  <si>
    <t>978-1-59463-035-4</t>
  </si>
  <si>
    <t>978-1-250-08955-7</t>
  </si>
  <si>
    <t>978-1-63152-511-7</t>
  </si>
  <si>
    <t>978-1-63152-533-9</t>
  </si>
  <si>
    <t>978-1-4767-2374-7</t>
  </si>
  <si>
    <t>978-0-06-242716-8</t>
  </si>
  <si>
    <t>978-0-14-313115-1</t>
  </si>
  <si>
    <t>978-0-06-286144-3</t>
  </si>
  <si>
    <t>978-1-60868-326-0</t>
  </si>
  <si>
    <t>978-1-101-98364-5</t>
  </si>
  <si>
    <t>978-0-06-242708-3</t>
  </si>
  <si>
    <t>978-0-06-283462-1</t>
  </si>
  <si>
    <t>978-1-944822-63-7</t>
  </si>
  <si>
    <t>978-0-312-31130-8</t>
  </si>
  <si>
    <t>978-1-60529-360-8</t>
  </si>
  <si>
    <t>978-0-7704-3772-5</t>
  </si>
  <si>
    <t>978-0-14-313255-4</t>
  </si>
  <si>
    <t>978-1-4521-2921-1</t>
  </si>
  <si>
    <t>978-1-4521-6162-4</t>
  </si>
  <si>
    <t>978-1-250-20779-1</t>
  </si>
  <si>
    <t>#Imomsohard</t>
  </si>
  <si>
    <t>978-0-06-285769-9</t>
  </si>
  <si>
    <t>978-0-7679-2084-1</t>
  </si>
  <si>
    <t>978-0-14-310929-7</t>
  </si>
  <si>
    <t>978-1-62779-177-9</t>
  </si>
  <si>
    <t>978-0-310-35497-0</t>
  </si>
  <si>
    <t>978-1-62921-372-9</t>
  </si>
  <si>
    <t>978-0-9973522-0-7</t>
  </si>
  <si>
    <t>978-1-62157-502-3</t>
  </si>
  <si>
    <t>978-1-62157-643-3</t>
  </si>
  <si>
    <t>978-0-345-51810-1</t>
  </si>
  <si>
    <t>978-1-101-87141-6</t>
  </si>
  <si>
    <t>978-0-8144-3655-4</t>
  </si>
  <si>
    <t>978-1-59463-069-9</t>
  </si>
  <si>
    <t>978-0-06-265406-9</t>
  </si>
  <si>
    <t>978-0-310-33813-0</t>
  </si>
  <si>
    <t>978-1-5107-1897-5</t>
  </si>
  <si>
    <t>978-0-06-246980-9</t>
  </si>
  <si>
    <t>978-0-14-313004-8</t>
  </si>
  <si>
    <t>978-1-59240-713-2</t>
  </si>
  <si>
    <t>978-1-982107-34-5</t>
  </si>
  <si>
    <t>978-1-4197-1404-7</t>
  </si>
  <si>
    <t>978-0-06-268368-7</t>
  </si>
  <si>
    <t>978-1-4923-4659-3</t>
  </si>
  <si>
    <t>978-1-59463-415-4</t>
  </si>
  <si>
    <t>978-1-60832-420-0</t>
  </si>
  <si>
    <t>978-0-312-59296-7</t>
  </si>
  <si>
    <t>978-0-525-95046-2</t>
  </si>
  <si>
    <t>978-0-06-251696-1</t>
  </si>
  <si>
    <t>978-1-4133-1819-7</t>
  </si>
  <si>
    <t>978-1-55652-672-5</t>
  </si>
  <si>
    <t>978-0-679-77801-1</t>
  </si>
  <si>
    <t>978-1-329-80297-1</t>
  </si>
  <si>
    <t>978-0-944508-99-2</t>
  </si>
  <si>
    <t>978-0-9864721-5-2</t>
  </si>
  <si>
    <t>978-1-4133-2527-0</t>
  </si>
  <si>
    <t>978-1-4927-3803-9</t>
  </si>
  <si>
    <t>978-0-9659273-9-0</t>
  </si>
  <si>
    <t>978-1-4133-1995-8</t>
  </si>
  <si>
    <t>978-1-4133-2067-1</t>
  </si>
  <si>
    <t>978-0-415-13137-7</t>
  </si>
  <si>
    <t>978-1-4555-3591-0</t>
  </si>
  <si>
    <t>978-1-5011-5716-5</t>
  </si>
  <si>
    <t>978-0-8070-8062-7</t>
  </si>
  <si>
    <t>978-1-4767-0021-2</t>
  </si>
  <si>
    <t>978-1-5011-8217-4</t>
  </si>
  <si>
    <t>978-1-250-10458-8</t>
  </si>
  <si>
    <t>978-1-5230-9556-8</t>
  </si>
  <si>
    <t>978-1-61620-615-4</t>
  </si>
  <si>
    <t>978-0-06-219631-6</t>
  </si>
  <si>
    <t>978-0-679-64433-0</t>
  </si>
  <si>
    <t>978-0-374-16823-0</t>
  </si>
  <si>
    <t>978-0-9786077-4-6</t>
  </si>
  <si>
    <t>978-0-8021-4418-8</t>
  </si>
  <si>
    <t>978-0-7432-9701-1</t>
  </si>
  <si>
    <t>978-0-8007-2113-8</t>
  </si>
  <si>
    <t>978-0-525-53846-2</t>
  </si>
  <si>
    <t>978-1-250-04308-5</t>
  </si>
  <si>
    <t>978-1-60868-564-6</t>
  </si>
  <si>
    <t>978-0-8050-9229-5</t>
  </si>
  <si>
    <t>978-0-465-07974-2</t>
  </si>
  <si>
    <t>978-0-312-42962-1</t>
  </si>
  <si>
    <t>978-1-61091-379-9</t>
  </si>
  <si>
    <t>978-0-7624-5735-9</t>
  </si>
  <si>
    <t>978-1-5247-6116-5</t>
  </si>
  <si>
    <t>978-1-59420-534-7</t>
  </si>
  <si>
    <t>978-1-4767-4838-2</t>
  </si>
  <si>
    <t>978-0-7352-2367-7</t>
  </si>
  <si>
    <t>978-0-8203-4489-8</t>
  </si>
  <si>
    <t>978-0-8499-4835-0</t>
  </si>
  <si>
    <t>978-1-61902-611-7</t>
  </si>
  <si>
    <t>978-0-87140-407-7</t>
  </si>
  <si>
    <t>978-0-06-226994-2</t>
  </si>
  <si>
    <t>978-1-62315-694-7</t>
  </si>
  <si>
    <t>978-1-59420-323-7</t>
  </si>
  <si>
    <t>978-0-393-60993-6</t>
  </si>
  <si>
    <t>978-1-61893-155-9</t>
  </si>
  <si>
    <t>978-0-87140-465-7</t>
  </si>
  <si>
    <t>978-1-5460-8293-4</t>
  </si>
  <si>
    <t>978-1-250-05957-4</t>
  </si>
  <si>
    <t>978-1-4000-6708-4</t>
  </si>
  <si>
    <t>978-0-374-12929-3</t>
  </si>
  <si>
    <t>978-1-4000-6983-5</t>
  </si>
  <si>
    <t>prince</t>
  </si>
  <si>
    <t>978-0-14-310586-2</t>
  </si>
  <si>
    <t>978-1-5011-2147-0</t>
  </si>
  <si>
    <t>978-0-674-28607-8</t>
  </si>
  <si>
    <t>978-1-84904-799-9</t>
  </si>
  <si>
    <t>978-0-399-18002-6</t>
  </si>
  <si>
    <t>978-0-9971264-4-0</t>
  </si>
  <si>
    <t>978-1-60358-594-1</t>
  </si>
  <si>
    <t>978-0-446-17842-6</t>
  </si>
  <si>
    <t>978-0-465-05872-3</t>
  </si>
  <si>
    <t>978-0-670-02343-1</t>
  </si>
  <si>
    <t>978-1-935071-92-1</t>
  </si>
  <si>
    <t>978-0-300-22344-6</t>
  </si>
  <si>
    <t>978-0-465-05566-1</t>
  </si>
  <si>
    <t>978-1-5416-9936-6</t>
  </si>
  <si>
    <t>978-1-59403-851-8</t>
  </si>
  <si>
    <t>978-0-385-53559-5</t>
  </si>
  <si>
    <t>978-1-68261-205-7</t>
  </si>
  <si>
    <t>978-1-62157-816-1</t>
  </si>
  <si>
    <t>978-1-4964-0595-1</t>
  </si>
  <si>
    <t>978-1-61795-857-1</t>
  </si>
  <si>
    <t>978-0-399-59291-1</t>
  </si>
  <si>
    <t>978-1-101-90362-9</t>
  </si>
  <si>
    <t>978-1-62097-225-0</t>
  </si>
  <si>
    <t>978-1-4516-0630-0</t>
  </si>
  <si>
    <t>978-1-4767-7308-7</t>
  </si>
  <si>
    <t>978-1-250-15466-8</t>
  </si>
  <si>
    <t>978-1-250-13579-7</t>
  </si>
  <si>
    <t>978-1-101-90576-0</t>
  </si>
  <si>
    <t>978-1-250-17056-9</t>
  </si>
  <si>
    <t>978-0-316-48093-2</t>
  </si>
  <si>
    <t>978-0-06-280218-7</t>
  </si>
  <si>
    <t>978-0-06-269619-9</t>
  </si>
  <si>
    <t>978-0-520-29263-5</t>
  </si>
  <si>
    <t>978-1-101-98096-5</t>
  </si>
  <si>
    <t>978-0-525-57446-0</t>
  </si>
  <si>
    <t>978-0-9997454-0-3</t>
  </si>
  <si>
    <t>978-0-374-53322-9</t>
  </si>
  <si>
    <t>978-1-62157-638-9</t>
  </si>
  <si>
    <t>978-0-300-22255-5</t>
  </si>
  <si>
    <t>978-1-62872-672-5</t>
  </si>
  <si>
    <t>978-0-8090-5847-1</t>
  </si>
  <si>
    <t>978-0-393-63520-1</t>
  </si>
  <si>
    <t>978-1-63149-641-7</t>
  </si>
  <si>
    <t>978-1-324-00264-2</t>
  </si>
  <si>
    <t>978-1-250-09925-9</t>
  </si>
  <si>
    <t>978-1-73276-761-4</t>
  </si>
  <si>
    <t>978-1-4789-7543-4</t>
  </si>
  <si>
    <t>978-0-465-05173-1</t>
  </si>
  <si>
    <t>978-0-553-21464-2</t>
  </si>
  <si>
    <t>978-1-5011-3796-9</t>
  </si>
  <si>
    <t>978-0-307-95204-2</t>
  </si>
  <si>
    <t>978-0-06-222068-4</t>
  </si>
  <si>
    <t>978-0-525-56062-3</t>
  </si>
  <si>
    <t>978-1-5247-6293-3</t>
  </si>
  <si>
    <t>978-0-9989604-2-5</t>
  </si>
  <si>
    <t>978-1-4555-4018-1</t>
  </si>
  <si>
    <t>978-1-5416-1678-3</t>
  </si>
  <si>
    <t>978-1-250-17984-5</t>
  </si>
  <si>
    <t>978-0-15-670153-2</t>
  </si>
  <si>
    <t>978-0-8041-9011-4</t>
  </si>
  <si>
    <t>978-1-63006-114-2</t>
  </si>
  <si>
    <t>978-0-8129-9346-2</t>
  </si>
  <si>
    <t>978-0-300-21145-0</t>
  </si>
  <si>
    <t>978-1-62349-718-7</t>
  </si>
  <si>
    <t>978-1-56858-555-0</t>
  </si>
  <si>
    <t>978-1-63149-369-0</t>
  </si>
  <si>
    <t>978-1-4197-2240-0</t>
  </si>
  <si>
    <t>978-1-936488-14-8</t>
  </si>
  <si>
    <t>978-1-4773-1243-8</t>
  </si>
  <si>
    <t>978-1-62097-115-4</t>
  </si>
  <si>
    <t>978-0-9911835-2-4</t>
  </si>
  <si>
    <t>978-0-9911835-0-0</t>
  </si>
  <si>
    <t>978-1-61620-782-3</t>
  </si>
  <si>
    <t>978-1-5011-2308-5</t>
  </si>
  <si>
    <t>978-0-525-43469-6</t>
  </si>
  <si>
    <t>978-1-57075-857-7</t>
  </si>
  <si>
    <t>978-0-393-08285-2</t>
  </si>
  <si>
    <t>978-0-674-97643-6</t>
  </si>
  <si>
    <t>978-1-4767-0951-2</t>
  </si>
  <si>
    <t>978-1-61219-341-0</t>
  </si>
  <si>
    <t>978-0-292-76752-2</t>
  </si>
  <si>
    <t>978-1-4767-7395-7</t>
  </si>
  <si>
    <t>978-0-06-291612-9</t>
  </si>
  <si>
    <t>978-0-307-95732-0</t>
  </si>
  <si>
    <t>978-1-4380-0218-7</t>
  </si>
  <si>
    <t>978-1-4133-2367-2</t>
  </si>
  <si>
    <t>978-1-4133-2595-9</t>
  </si>
  <si>
    <t>978-1-4133-2537-9</t>
  </si>
  <si>
    <t>978-1-250-19368-1</t>
  </si>
  <si>
    <t>978-1-5011-7556-5</t>
  </si>
  <si>
    <t>978-1-68144-165-8</t>
  </si>
  <si>
    <t>978-1-4767-5295-2</t>
  </si>
  <si>
    <t>978-0-525-57474-3</t>
  </si>
  <si>
    <t>978-0-19-063255-7</t>
  </si>
  <si>
    <t>978-0-300-20713-2</t>
  </si>
  <si>
    <t>978-0-316-51573-3</t>
  </si>
  <si>
    <t>978-0-316-47851-9</t>
  </si>
  <si>
    <t>978-1-250-16377-6</t>
  </si>
  <si>
    <t>978-1-61219-695-4</t>
  </si>
  <si>
    <t>978-1-250-08964-9</t>
  </si>
  <si>
    <t>978-0-7352-2502-2</t>
  </si>
  <si>
    <t>978-1-59591-096-7</t>
  </si>
  <si>
    <t>978-1-5460-8330-6</t>
  </si>
  <si>
    <t>978-0-316-38393-6</t>
  </si>
  <si>
    <t>978-0-399-56314-0</t>
  </si>
  <si>
    <t>978-1-4165-8970-9</t>
  </si>
  <si>
    <t>978-0-8021-2619-1</t>
  </si>
  <si>
    <t>978-0-525-43513-6</t>
  </si>
  <si>
    <t>978-1-250-07908-4</t>
  </si>
  <si>
    <t>978-1-5387-2976-2</t>
  </si>
  <si>
    <t>978-0-06-268648-0</t>
  </si>
  <si>
    <t>978-0-399-59246-1</t>
  </si>
  <si>
    <t>978-1-61219-659-6</t>
  </si>
  <si>
    <t>978-1-61205-922-8</t>
  </si>
  <si>
    <t>978-1-63557-137-0</t>
  </si>
  <si>
    <t>978-1-5011-7776-7</t>
  </si>
  <si>
    <t>978-1-5387-2875-8</t>
  </si>
  <si>
    <t>978-0-06-287274-6</t>
  </si>
  <si>
    <t>978-0-674-97236-0</t>
  </si>
  <si>
    <t>978-0-06-280370-2</t>
  </si>
  <si>
    <t>978-0-316-48481-7</t>
  </si>
  <si>
    <t>978-1-5107-2332-0</t>
  </si>
  <si>
    <t>978-1-5011-1648-3</t>
  </si>
  <si>
    <t>978-0-525-42972-2</t>
  </si>
  <si>
    <t>978-0-06-268884-2</t>
  </si>
  <si>
    <t>978-0-06-201577-8</t>
  </si>
  <si>
    <t>978-0-393-24984-2</t>
  </si>
  <si>
    <t>978-1-4000-6621-6</t>
  </si>
  <si>
    <t>978-1-56689-495-1</t>
  </si>
  <si>
    <t>978-0-8129-7178-1</t>
  </si>
  <si>
    <t>978-0-679-44432-9</t>
  </si>
  <si>
    <t>978-0-399-56285-3</t>
  </si>
  <si>
    <t>978-1-59420-614-6</t>
  </si>
  <si>
    <t>978-1-59420-666-5</t>
  </si>
  <si>
    <t>978-1-5011-0793-1</t>
  </si>
  <si>
    <t>978-0-19-049452-0</t>
  </si>
  <si>
    <t>978-0-385-53418-5</t>
  </si>
  <si>
    <t>978-1-932279-79-5</t>
  </si>
  <si>
    <t>978-0-451-49456-6</t>
  </si>
  <si>
    <t>978-1-61620-722-9</t>
  </si>
  <si>
    <t>978-1-101-97399-8</t>
  </si>
  <si>
    <t>978-0-525-55858-3</t>
  </si>
  <si>
    <t>978-1-59420-656-6</t>
  </si>
  <si>
    <t>978-1-59420-274-2</t>
  </si>
  <si>
    <t>978-1-137-28003-9</t>
  </si>
  <si>
    <t>978-0-399-15239-9</t>
  </si>
  <si>
    <t>978-1-5011-2827-1</t>
  </si>
  <si>
    <t>978-0-8041-3663-1</t>
  </si>
  <si>
    <t>978-1-61039-595-3</t>
  </si>
  <si>
    <t>978-0-9908930-1-1</t>
  </si>
  <si>
    <t>978-0-385-54020-9</t>
  </si>
  <si>
    <t>978-0-385-51445-3</t>
  </si>
  <si>
    <t>978-0-544-93527-3</t>
  </si>
  <si>
    <t>978-0-06-274836-2</t>
  </si>
  <si>
    <t>978-0-465-05063-5</t>
  </si>
  <si>
    <t>978-1-4516-9193-1</t>
  </si>
  <si>
    <t>978-0-385-35266-6</t>
  </si>
  <si>
    <t>978-1-62779-381-0</t>
  </si>
  <si>
    <t>978-1-4391-5517-2</t>
  </si>
  <si>
    <t>978-1-59420-341-1</t>
  </si>
  <si>
    <t>978-1-4516-9775-9</t>
  </si>
  <si>
    <t>978-0-8229-6503-9</t>
  </si>
  <si>
    <t>978-0-393-65210-9</t>
  </si>
  <si>
    <t>978-0-87140-735-1</t>
  </si>
  <si>
    <t>978-0-8021-2702-0</t>
  </si>
  <si>
    <t>978-0-399-56236-5</t>
  </si>
  <si>
    <t>978-0-8129-9679-1</t>
  </si>
  <si>
    <t>978-1-61017-143-4</t>
  </si>
  <si>
    <t>978-1-62779-216-5</t>
  </si>
  <si>
    <t>978-1-59420-271-1</t>
  </si>
  <si>
    <t>978-1-250-20301-4</t>
  </si>
  <si>
    <t>978-1-5011-2197-5</t>
  </si>
  <si>
    <t>978-0-544-71624-7</t>
  </si>
  <si>
    <t>978-0-399-56267-9</t>
  </si>
  <si>
    <t>978-0-307-88723-8</t>
  </si>
  <si>
    <t>978-1-250-08134-6</t>
  </si>
  <si>
    <t>978-0-8050-9250-9</t>
  </si>
  <si>
    <t>978-1-59403-843-3</t>
  </si>
  <si>
    <t>978-0-307-26817-4</t>
  </si>
  <si>
    <t>978-1-5247-4350-5</t>
  </si>
  <si>
    <t>978-0-374-28003-1</t>
  </si>
  <si>
    <t>978-1-4959-1092-0</t>
  </si>
  <si>
    <t>978-0-9985052-0-6</t>
  </si>
  <si>
    <t>978-1-4555-8366-9</t>
  </si>
  <si>
    <t>978-1-4767-6992-9</t>
  </si>
  <si>
    <t>978-0-307-27338-3</t>
  </si>
  <si>
    <t>978-0-525-56613-7</t>
  </si>
  <si>
    <t>978-1-4555-3701-3</t>
  </si>
  <si>
    <t>978-0-446-57643-7</t>
  </si>
  <si>
    <t>978-0-307-71921-8</t>
  </si>
  <si>
    <t>978-0-06-135324-6</t>
  </si>
  <si>
    <t>978-1-62040-812-4</t>
  </si>
  <si>
    <t>978-1-4516-8882-5</t>
  </si>
  <si>
    <t>978-0-7566-9827-0</t>
  </si>
  <si>
    <t>978-1-118-39157-0</t>
  </si>
  <si>
    <t>978-0-8090-3361-4</t>
  </si>
  <si>
    <t>978-0-06-123400-2</t>
  </si>
  <si>
    <t>978-0-06-088957-9</t>
  </si>
  <si>
    <t>978-1-60358-674-0</t>
  </si>
  <si>
    <t>978-0-544-29113-3</t>
  </si>
  <si>
    <t>978-0-393-35279-5</t>
  </si>
  <si>
    <t>978-0-374-27236-4</t>
  </si>
  <si>
    <t>978-0-393-33764-8</t>
  </si>
  <si>
    <t>978-1-61039-757-5</t>
  </si>
  <si>
    <t>978-1-63286-366-9</t>
  </si>
  <si>
    <t>978-0-06-274865-2</t>
  </si>
  <si>
    <t>978-0-15-633460-0</t>
  </si>
  <si>
    <t>978-1-59698-809-5</t>
  </si>
  <si>
    <t>978-0-393-24702-2</t>
  </si>
  <si>
    <t>978-1-58367-577-9</t>
  </si>
  <si>
    <t>978-1-78478-401-0</t>
  </si>
  <si>
    <t>978-0-06-240570-8</t>
  </si>
  <si>
    <t>978-1-5247-6006-9</t>
  </si>
  <si>
    <t>978-0-14-312699-7</t>
  </si>
  <si>
    <t>978-1-5011-9626-3</t>
  </si>
  <si>
    <t>978-0-465-06198-3</t>
  </si>
  <si>
    <t>978-0-393-08181-7</t>
  </si>
  <si>
    <t>978-1-78607-065-4</t>
  </si>
  <si>
    <t>978-0-674-73729-7</t>
  </si>
  <si>
    <t>978-0-691-15898-3</t>
  </si>
  <si>
    <t>978-1-4767-3530-6</t>
  </si>
  <si>
    <t>978-0-393-24889-0</t>
  </si>
  <si>
    <t>978-1-59184-727-4</t>
  </si>
  <si>
    <t>978-0-692-46554-7</t>
  </si>
  <si>
    <t>978-0-8157-2767-5</t>
  </si>
  <si>
    <t>978-0-8041-3859-8</t>
  </si>
  <si>
    <t>978-1-62157-575-7</t>
  </si>
  <si>
    <t>978-1-5011-0223-3</t>
  </si>
  <si>
    <t>978-0-262-01672-8</t>
  </si>
  <si>
    <t>978-0-393-08877-9</t>
  </si>
  <si>
    <t>978-0-393-07223-5</t>
  </si>
  <si>
    <t>978-1-4000-4171-8</t>
  </si>
  <si>
    <t>978-0-226-08194-6</t>
  </si>
  <si>
    <t>978-0-06-246727-0</t>
  </si>
  <si>
    <t>978-0-345-80622-2</t>
  </si>
  <si>
    <t>978-1-250-04656-7</t>
  </si>
  <si>
    <t>978-1-119-54819-5</t>
  </si>
  <si>
    <t>978-1-59698-773-9</t>
  </si>
  <si>
    <t>978-0-14-311746-9</t>
  </si>
  <si>
    <t>978-0-451-49616-4</t>
  </si>
  <si>
    <t>978-0-451-49725-3</t>
  </si>
  <si>
    <t>978-0-393-24901-9</t>
  </si>
  <si>
    <t>978-1-64177-014-9</t>
  </si>
  <si>
    <t>978-1-59562-055-2</t>
  </si>
  <si>
    <t>978-0-547-75011-8</t>
  </si>
  <si>
    <t>978-0-465-05999-7</t>
  </si>
  <si>
    <t>978-0-19-090176-9</t>
  </si>
  <si>
    <t>978-1-250-19659-0</t>
  </si>
  <si>
    <t>978-0-19-938047-3</t>
  </si>
  <si>
    <t>978-1-5247-5876-9</t>
  </si>
  <si>
    <t>978-0-7352-2407-0</t>
  </si>
  <si>
    <t>978-0-9899347-9-4</t>
  </si>
  <si>
    <t>978-0-7352-1353-1</t>
  </si>
  <si>
    <t>978-0-06-264181-6</t>
  </si>
  <si>
    <t>978-0-399-59101-3</t>
  </si>
  <si>
    <t>978-1-61039-746-9</t>
  </si>
  <si>
    <t>978-0-316-54880-9</t>
  </si>
  <si>
    <t>978-0-7180-2207-5</t>
  </si>
  <si>
    <t>978-0-9931783-1-3</t>
  </si>
  <si>
    <t>978-1-59420-518-7</t>
  </si>
  <si>
    <t>978-1-62779-328-5</t>
  </si>
  <si>
    <t>978-1-4767-7834-1</t>
  </si>
  <si>
    <t>978-1-4976-4489-2</t>
  </si>
  <si>
    <t>978-1-59555-273-0</t>
  </si>
  <si>
    <t>978-0-385-52826-9</t>
  </si>
  <si>
    <t>978-0-544-91113-0</t>
  </si>
  <si>
    <t>978-1-4380-0140-1</t>
  </si>
  <si>
    <t>978-0-553-44723-1</t>
  </si>
  <si>
    <t>978-1-933633-86-2</t>
  </si>
  <si>
    <t>978-1-61039-365-2</t>
  </si>
  <si>
    <t>978-0-674-43000-6</t>
  </si>
  <si>
    <t>978-0-670-02493-3</t>
  </si>
  <si>
    <t>978-1-59184-805-9</t>
  </si>
  <si>
    <t>978-0-06-265120-4</t>
  </si>
  <si>
    <t>978-1-118-40112-5</t>
  </si>
  <si>
    <t>978-0-451-49908-0</t>
  </si>
  <si>
    <t>978-0-525-57293-0</t>
  </si>
  <si>
    <t>978-0-525-57304-3</t>
  </si>
  <si>
    <t>978-1-4405-6972-2</t>
  </si>
  <si>
    <t>978-1-63265-104-4</t>
  </si>
  <si>
    <t>978-1-4926-0480-8</t>
  </si>
  <si>
    <t>978-0-7868-8637-1</t>
  </si>
  <si>
    <t>978-1-60961-860-5</t>
  </si>
  <si>
    <t>978-1-883328-29-0</t>
  </si>
  <si>
    <t>978-1-5336-6792-2</t>
  </si>
  <si>
    <t>978-1-937077-97-6</t>
  </si>
  <si>
    <t>978-1-118-22950-7</t>
  </si>
  <si>
    <t>978-0-316-02146-3</t>
  </si>
  <si>
    <t>978-0-544-60230-4</t>
  </si>
  <si>
    <t>978-1-59184-271-2</t>
  </si>
  <si>
    <t>978-1-4516-6506-2</t>
  </si>
  <si>
    <t>978-1-4767-3985-4</t>
  </si>
  <si>
    <t>978-1-250-17616-5</t>
  </si>
  <si>
    <t>978-0-615-52026-1</t>
  </si>
  <si>
    <t>978-1-63353-768-2</t>
  </si>
  <si>
    <t>978-0-7611-8613-7</t>
  </si>
  <si>
    <t>978-0-7432-8780-7</t>
  </si>
  <si>
    <t>978-1-4729-3015-6</t>
  </si>
  <si>
    <t>978-1-119-07150-1</t>
  </si>
  <si>
    <t>978-0-470-83006-2</t>
  </si>
  <si>
    <t>978-1-60163-360-6</t>
  </si>
  <si>
    <t>978-0-9774895-2-7</t>
  </si>
  <si>
    <t>978-1-937077-81-5</t>
  </si>
  <si>
    <t>978-1-58333-525-3</t>
  </si>
  <si>
    <t>978-1-58333-433-1</t>
  </si>
  <si>
    <t>978-0-8007-2112-1</t>
  </si>
  <si>
    <t>978-0-14-311151-1</t>
  </si>
  <si>
    <t>978-1-4027-4341-2</t>
  </si>
  <si>
    <t>978-0-06-236718-1</t>
  </si>
  <si>
    <t>978-0-9855315-9-1</t>
  </si>
  <si>
    <t>978-1-61268-020-0</t>
  </si>
  <si>
    <t>978-1-61268-017-0</t>
  </si>
  <si>
    <t>978-1-61268-046-0</t>
  </si>
  <si>
    <t>978-1-61268-010-1</t>
  </si>
  <si>
    <t>978-1-61268-076-7</t>
  </si>
  <si>
    <t>978-1-61268-088-0</t>
  </si>
  <si>
    <t>978-1-4767-6681-2</t>
  </si>
  <si>
    <t>978-0-525-53444-0</t>
  </si>
  <si>
    <t>978-1-5480-6579-9</t>
  </si>
  <si>
    <t>978-0-06-224701-8</t>
  </si>
  <si>
    <t>978-0-14-313040-6</t>
  </si>
  <si>
    <t>978-0-399-16409-5</t>
  </si>
  <si>
    <t>978-0-8010-1886-2</t>
  </si>
  <si>
    <t>978-0-692-75530-3</t>
  </si>
  <si>
    <t>978-1-5168-9027-9</t>
  </si>
  <si>
    <t>978-1-58008-205-1</t>
  </si>
  <si>
    <t>978-1-59184-768-7</t>
  </si>
  <si>
    <t>978-0-06-135820-3</t>
  </si>
  <si>
    <t>978-1-4000-6973-6</t>
  </si>
  <si>
    <t>978-1-59448-458-2</t>
  </si>
  <si>
    <t>978-0-8129-8761-4</t>
  </si>
  <si>
    <t>978-1-4555-0844-0</t>
  </si>
  <si>
    <t>978-0-7432-0480-4</t>
  </si>
  <si>
    <t>978-1-4516-4620-7</t>
  </si>
  <si>
    <t>978-0-8144-3680-6</t>
  </si>
  <si>
    <t>978-0-8499-6479-4</t>
  </si>
  <si>
    <t>978-0-7303-2421-8</t>
  </si>
  <si>
    <t>978-1-943451-22-7</t>
  </si>
  <si>
    <t>978-0-9979465-7-4</t>
  </si>
  <si>
    <t>978-1-4767-4376-9</t>
  </si>
  <si>
    <t>978-1-4767-4377-6</t>
  </si>
  <si>
    <t>978-1-937077-63-1</t>
  </si>
  <si>
    <t>978-0-7852-8908-1</t>
  </si>
  <si>
    <t>978-1-59555-527-4</t>
  </si>
  <si>
    <t>978-1-59184-464-8</t>
  </si>
  <si>
    <t>978-1-4767-5780-3</t>
  </si>
  <si>
    <t>978-1-5011-6458-3</t>
  </si>
  <si>
    <t>978-0-345-51984-9</t>
  </si>
  <si>
    <t>978-0-14-311576-2</t>
  </si>
  <si>
    <t>978-1-63265-085-6</t>
  </si>
  <si>
    <t>978-0-14-313191-5</t>
  </si>
  <si>
    <t>978-1-5377-4726-2</t>
  </si>
  <si>
    <t>978-0-399-57681-2</t>
  </si>
  <si>
    <t>978-1-5235-0574-6</t>
  </si>
  <si>
    <t>978-1-4133-2162-3</t>
  </si>
  <si>
    <t>978-1-4133-2393-1</t>
  </si>
  <si>
    <t>978-1-63353-503-9</t>
  </si>
  <si>
    <t>978-1-73277-052-2</t>
  </si>
  <si>
    <t>978-0-399-53721-9</t>
  </si>
  <si>
    <t>978-1-4555-1155-6</t>
  </si>
  <si>
    <t>978-1-63076-250-6</t>
  </si>
  <si>
    <t>978-1-937879-36-5</t>
  </si>
  <si>
    <t>978-1-4516-8724-8</t>
  </si>
  <si>
    <t>978-1-4022-9590-4</t>
  </si>
  <si>
    <t>978-1-946764-10-2</t>
  </si>
  <si>
    <t>978-0-544-78193-1</t>
  </si>
  <si>
    <t>978-0-393-35397-6</t>
  </si>
  <si>
    <t>978-1-118-88492-8</t>
  </si>
  <si>
    <t>978-1-119-11877-0</t>
  </si>
  <si>
    <t>978-1-119-51789-4</t>
  </si>
  <si>
    <t>978-1-119-11112-2</t>
  </si>
  <si>
    <t>978-0-385-34761-7</t>
  </si>
  <si>
    <t>978-1-5011-9680-5</t>
  </si>
  <si>
    <t>978-1-118-37562-4</t>
  </si>
  <si>
    <t>978-1-59240-429-2</t>
  </si>
  <si>
    <t>978-1-939529-30-5</t>
  </si>
  <si>
    <t>978-1-912555-54-3</t>
  </si>
  <si>
    <t>978-0-7352-1165-0</t>
  </si>
  <si>
    <t>978-0-691-16400-7</t>
  </si>
  <si>
    <t>978-0-8129-9762-0</t>
  </si>
  <si>
    <t>978-0-06-266987-2</t>
  </si>
  <si>
    <t>978-1-119-30031-1</t>
  </si>
  <si>
    <t>978-1-56858-562-8</t>
  </si>
  <si>
    <t>978-0-544-60231-1</t>
  </si>
  <si>
    <t>978-1-59403-831-0</t>
  </si>
  <si>
    <t>978-1-101-98013-2</t>
  </si>
  <si>
    <t>978-1-58648-198-8</t>
  </si>
  <si>
    <t>978-1-4919-5438-6</t>
  </si>
  <si>
    <t>978-0-87140-683-5</t>
  </si>
  <si>
    <t>978-0-307-96243-0</t>
  </si>
  <si>
    <t>978-1-250-21774-5</t>
  </si>
  <si>
    <t>978-1-4422-2742-2</t>
  </si>
  <si>
    <t>978-0-06-236250-6</t>
  </si>
  <si>
    <t>978-1-59184-670-3</t>
  </si>
  <si>
    <t>978-0-691-17836-3</t>
  </si>
  <si>
    <t>978-1-976236-26-6</t>
  </si>
  <si>
    <t>978-1-250-06563-6</t>
  </si>
  <si>
    <t>978-1-61961-573-1</t>
  </si>
  <si>
    <t>978-0-07-174705-9</t>
  </si>
  <si>
    <t>978-1-260-02664-1</t>
  </si>
  <si>
    <t>978-1-119-08836-3</t>
  </si>
  <si>
    <t>978-0-684-83713-0</t>
  </si>
  <si>
    <t>978-1-4516-0648-5</t>
  </si>
  <si>
    <t>978-1-118-50325-6</t>
  </si>
  <si>
    <t>978-1-4405-9513-4</t>
  </si>
  <si>
    <t>978-0-385-52384-4</t>
  </si>
  <si>
    <t>978-1-118-06350-7</t>
  </si>
  <si>
    <t>978-0-399-16818-5</t>
  </si>
  <si>
    <t>978-0-85719-686-6</t>
  </si>
  <si>
    <t>978-0-07-179197-7</t>
  </si>
  <si>
    <t>978-1-118-44501-3</t>
  </si>
  <si>
    <t>978-1-118-09154-8</t>
  </si>
  <si>
    <t>978-1-4555-0330-8</t>
  </si>
  <si>
    <t>978-0-385-52507-7</t>
  </si>
  <si>
    <t>978-0-231-17098-7</t>
  </si>
  <si>
    <t>978-0-399-56320-1</t>
  </si>
  <si>
    <t>978-0-06-156755-1</t>
  </si>
  <si>
    <t>978-0-14-313364-3</t>
  </si>
  <si>
    <t>978-0-393-35224-5</t>
  </si>
  <si>
    <t>978-1-4221-9419-5</t>
  </si>
  <si>
    <t>978-0-231-15368-3</t>
  </si>
  <si>
    <t>978-1-118-15913-2</t>
  </si>
  <si>
    <t>978-0-9963079-3-2</t>
  </si>
  <si>
    <t>978-1-4195-2680-0</t>
  </si>
  <si>
    <t>978-1-60138-038-8</t>
  </si>
  <si>
    <t>978-0-470-57378-5</t>
  </si>
  <si>
    <t>978-1-118-27305-0</t>
  </si>
  <si>
    <t>978-0-8144-3856-5</t>
  </si>
  <si>
    <t>978-1-4555-2747-2</t>
  </si>
  <si>
    <t>978-0-399-53283-2</t>
  </si>
  <si>
    <t>978-0-399-53706-6</t>
  </si>
  <si>
    <t>978-0-86571-839-5</t>
  </si>
  <si>
    <t>978-0-470-92004-6</t>
  </si>
  <si>
    <t>978-0-231-17570-8</t>
  </si>
  <si>
    <t>978-1-948025-00-3</t>
  </si>
  <si>
    <t>978-0-19-939856-0</t>
  </si>
  <si>
    <t>978-1-119-40450-7</t>
  </si>
  <si>
    <t>978-1-61163-409-9</t>
  </si>
  <si>
    <t>978-0-470-56799-9</t>
  </si>
  <si>
    <t>978-0-07-177514-4</t>
  </si>
  <si>
    <t>978-0-470-22651-3</t>
  </si>
  <si>
    <t>978-1-119-36370-5</t>
  </si>
  <si>
    <t>978-1-259-58618-7</t>
  </si>
  <si>
    <t>978-0-07-159253-6</t>
  </si>
  <si>
    <t>978-1-119-21241-6</t>
  </si>
  <si>
    <t>978-0-07-138876-4</t>
  </si>
  <si>
    <t>978-0-07-144637-2</t>
  </si>
  <si>
    <t>978-1-980968-05-4</t>
  </si>
  <si>
    <t>978-1-118-99413-9</t>
  </si>
  <si>
    <t>978-0-7352-0465-2</t>
  </si>
  <si>
    <t>978-0-07-180722-7</t>
  </si>
  <si>
    <t>978-0-9983816-2-6</t>
  </si>
  <si>
    <t>978-1-55738-486-7</t>
  </si>
  <si>
    <t>978-1-5232-6903-7</t>
  </si>
  <si>
    <t>978-1-5072-0432-0</t>
  </si>
  <si>
    <t>978-0-691-16626-1</t>
  </si>
  <si>
    <t>978-0-07-149470-0</t>
  </si>
  <si>
    <t>978-0-07-180944-3</t>
  </si>
  <si>
    <t>978-1-57660-310-9</t>
  </si>
  <si>
    <t>978-0-9907117-9-7</t>
  </si>
  <si>
    <t>978-1-118-94821-7</t>
  </si>
  <si>
    <t>978-0-547-31727-4</t>
  </si>
  <si>
    <t>978-1-62287-457-6</t>
  </si>
  <si>
    <t>978-1-4391-9882-7</t>
  </si>
  <si>
    <t>978-1-62779-164-9</t>
  </si>
  <si>
    <t>978-0-691-13514-4</t>
  </si>
  <si>
    <t>340p.</t>
  </si>
  <si>
    <t>978-0-06-015547-6</t>
  </si>
  <si>
    <t>978-0-06-055566-5</t>
  </si>
  <si>
    <t>978-0-9904004-1-7</t>
  </si>
  <si>
    <t>978-1-4133-1886-9</t>
  </si>
  <si>
    <t>978-1-4133-2428-0</t>
  </si>
  <si>
    <t>978-0-8144-3874-9</t>
  </si>
  <si>
    <t>978-1-60344-795-9</t>
  </si>
  <si>
    <t>978-1-974280-65-0</t>
  </si>
  <si>
    <t>978-0-692-69103-8</t>
  </si>
  <si>
    <t>978-1-4555-7474-2</t>
  </si>
  <si>
    <t>978-0-9831436-4-2</t>
  </si>
  <si>
    <t>978-1-4405-8378-0</t>
  </si>
  <si>
    <t>978-1-4133-2114-2</t>
  </si>
  <si>
    <t>978-1-4133-2456-3</t>
  </si>
  <si>
    <t>978-0-9766479-2-8</t>
  </si>
  <si>
    <t>978-1-4133-2016-9</t>
  </si>
  <si>
    <t>978-0-8144-7235-4</t>
  </si>
  <si>
    <t>978-0-7931-8575-7</t>
  </si>
  <si>
    <t>978-0-07-148610-1</t>
  </si>
  <si>
    <t>978-1-64177-044-6</t>
  </si>
  <si>
    <t>978-1-60529-074-4</t>
  </si>
  <si>
    <t>978-1-61091-919-7</t>
  </si>
  <si>
    <t>978-1-941071-98-4</t>
  </si>
  <si>
    <t>978-1-936488-50-6</t>
  </si>
  <si>
    <t>978-1-62349-340-0</t>
  </si>
  <si>
    <t>978-0-8076-0019-1</t>
  </si>
  <si>
    <t>978-0-374-28009-3</t>
  </si>
  <si>
    <t>978-1-63149-082-8</t>
  </si>
  <si>
    <t>978-1-4000-6906-4</t>
  </si>
  <si>
    <t>978-0-393-08109-1</t>
  </si>
  <si>
    <t>978-1-60819-610-4</t>
  </si>
  <si>
    <t>978-0-446-54798-7</t>
  </si>
  <si>
    <t>978-1-250-06492-9</t>
  </si>
  <si>
    <t>978-1-59420-199-8</t>
  </si>
  <si>
    <t>978-0-9997454-4-1</t>
  </si>
  <si>
    <t>978-1-59184-008-4</t>
  </si>
  <si>
    <t>978-0-231-17814-3</t>
  </si>
  <si>
    <t>978-1-62157-409-5</t>
  </si>
  <si>
    <t>978-0-393-08161-9</t>
  </si>
  <si>
    <t>978-1-4200-7568-7</t>
  </si>
  <si>
    <t>978-1-5011-0535-7</t>
  </si>
  <si>
    <t>978-0-262-03768-6</t>
  </si>
  <si>
    <t>978-1-5416-4439-7</t>
  </si>
  <si>
    <t>978-0-300-21246-4</t>
  </si>
  <si>
    <t>978-1-4391-1012-6</t>
  </si>
  <si>
    <t>978-1-59420-283-4</t>
  </si>
  <si>
    <t>978-1-59184-645-1</t>
  </si>
  <si>
    <t>978-1-101-87520-9</t>
  </si>
  <si>
    <t>978-0-87071-607-2</t>
  </si>
  <si>
    <t>978-0-393-24235-5</t>
  </si>
  <si>
    <t>978-1-4773-1031-1</t>
  </si>
  <si>
    <t>978-0-06-054831-5</t>
  </si>
  <si>
    <t>978-0-316-47191-6</t>
  </si>
  <si>
    <t>978-1-62157-589-4</t>
  </si>
  <si>
    <t>978-1-59420-551-4</t>
  </si>
  <si>
    <t>978-1-4133-2106-7</t>
  </si>
  <si>
    <t>978-1-4133-1236-2</t>
  </si>
  <si>
    <t>978-1-119-38376-5</t>
  </si>
  <si>
    <t>978-0-07-183666-1</t>
  </si>
  <si>
    <t>978-0-9979465-4-3</t>
  </si>
  <si>
    <t>978-0-307-90696-0</t>
  </si>
  <si>
    <t>978-0-19-064541-0</t>
  </si>
  <si>
    <t>978-0-87140-433-6</t>
  </si>
  <si>
    <t>978-0-374-29278-2</t>
  </si>
  <si>
    <t>978-0-393-07161-0</t>
  </si>
  <si>
    <t>978-1-61039-859-6</t>
  </si>
  <si>
    <t>978-0-374-10100-8</t>
  </si>
  <si>
    <t>978-1-250-07580-2</t>
  </si>
  <si>
    <t>978-1-62625-390-2</t>
  </si>
  <si>
    <t>978-1-4767-0958-1</t>
  </si>
  <si>
    <t>978-1-59463-296-9</t>
  </si>
  <si>
    <t>978-1-59184-809-7</t>
  </si>
  <si>
    <t>978-0-06-256571-6</t>
  </si>
  <si>
    <t>978-1-4767-5365-2</t>
  </si>
  <si>
    <t>978-1-61039-821-3</t>
  </si>
  <si>
    <t>978-1-137-27961-3</t>
  </si>
  <si>
    <t>978-0-316-38839-9</t>
  </si>
  <si>
    <t>978-1-58648-828-4</t>
  </si>
  <si>
    <t>978-1-61902-038-2</t>
  </si>
  <si>
    <t>978-1-61091-886-2</t>
  </si>
  <si>
    <t>978-0-465-05666-8</t>
  </si>
  <si>
    <t>978-0-393-23994-2</t>
  </si>
  <si>
    <t>978-0-88977-527-5</t>
  </si>
  <si>
    <t>978-0-8027-1744-3</t>
  </si>
  <si>
    <t>978-0-307-27283-6</t>
  </si>
  <si>
    <t>978-1-68177-677-4</t>
  </si>
  <si>
    <t>978-0-375-71396-5</t>
  </si>
  <si>
    <t>978-1-78360-067-0</t>
  </si>
  <si>
    <t>978-1-5011-3258-2</t>
  </si>
  <si>
    <t>978-1-59240-709-5</t>
  </si>
  <si>
    <t>978-1-4555-5902-2</t>
  </si>
  <si>
    <t>978-0-06-245819-3</t>
  </si>
  <si>
    <t>978-1-62157-576-4</t>
  </si>
  <si>
    <t>978-0-553-39418-4</t>
  </si>
  <si>
    <t>978-0-465-04895-3</t>
  </si>
  <si>
    <t>978-1-5011-7400-1</t>
  </si>
  <si>
    <t>978-1-5247-6371-8</t>
  </si>
  <si>
    <t>978-1-328-54639-5</t>
  </si>
  <si>
    <t>978-1-4391-0260-2</t>
  </si>
  <si>
    <t>978-0-316-34376-3</t>
  </si>
  <si>
    <t>978-1-107-46280-9</t>
  </si>
  <si>
    <t>978-0-316-51061-5</t>
  </si>
  <si>
    <t>978-0-8253-0799-7</t>
  </si>
  <si>
    <t>978-1-4516-5566-7</t>
  </si>
  <si>
    <t>978-1-4767-7894-5</t>
  </si>
  <si>
    <t>978-1-250-16577-0</t>
  </si>
  <si>
    <t>978-1-250-06017-4</t>
  </si>
  <si>
    <t>978-0-19-882400-8</t>
  </si>
  <si>
    <t>978-1-61039-674-5</t>
  </si>
  <si>
    <t>978-0-8050-9264-6</t>
  </si>
  <si>
    <t>978-0-691-15264-6</t>
  </si>
  <si>
    <t>978-0-525-53396-2</t>
  </si>
  <si>
    <t>978-1-4798-4852-2</t>
  </si>
  <si>
    <t>978-0-393-24631-5</t>
  </si>
  <si>
    <t>978-0-06-212825-6</t>
  </si>
  <si>
    <t>978-1-250-19446-6</t>
  </si>
  <si>
    <t>978-1-118-66063-8</t>
  </si>
  <si>
    <t>978-1-61689-085-8</t>
  </si>
  <si>
    <t>978-1-250-11226-2</t>
  </si>
  <si>
    <t>978-1-5247-3165-6</t>
  </si>
  <si>
    <t>978-1-59420-335-0</t>
  </si>
  <si>
    <t>978-1-61039-829-9</t>
  </si>
  <si>
    <t>978-1-328-66223-1</t>
  </si>
  <si>
    <t>978-1-250-10861-6</t>
  </si>
  <si>
    <t>978-0-544-95266-9</t>
  </si>
  <si>
    <t>978-0-7352-1365-4</t>
  </si>
  <si>
    <t>978-1-59420-328-2</t>
  </si>
  <si>
    <t>978-0-14-311632-5</t>
  </si>
  <si>
    <t>978-0-307-88605-7</t>
  </si>
  <si>
    <t>978-0-06-267304-6</t>
  </si>
  <si>
    <t>978-1-4391-0211-4</t>
  </si>
  <si>
    <t>978-0-06-200927-2</t>
  </si>
  <si>
    <t>978-0-316-43537-6</t>
  </si>
  <si>
    <t>978-1-4555-1216-4</t>
  </si>
  <si>
    <t>978-1-4767-7538-8</t>
  </si>
  <si>
    <t>978-0-8090-9543-8</t>
  </si>
  <si>
    <t>978-1-4165-9658-5</t>
  </si>
  <si>
    <t>978-1-4516-6825-4</t>
  </si>
  <si>
    <t>978-0-399-56218-1</t>
  </si>
  <si>
    <t>978-0-312-66211-0</t>
  </si>
  <si>
    <t>978-1-4555-8234-1</t>
  </si>
  <si>
    <t>978-1-4555-8232-7</t>
  </si>
  <si>
    <t>978-1-60529-288-5</t>
  </si>
  <si>
    <t>979-1-09-610100-9</t>
  </si>
  <si>
    <t>978-1-61039-418-5</t>
  </si>
  <si>
    <t>978-0-300-19760-0</t>
  </si>
  <si>
    <t>978-1-101-90365-0</t>
  </si>
  <si>
    <t>978-0-06-165555-5</t>
  </si>
  <si>
    <t>978-0-465-09746-3</t>
  </si>
  <si>
    <t>978-0-300-21836-7</t>
  </si>
  <si>
    <t>978-0-231-17315-5</t>
  </si>
  <si>
    <t>978-1-61039-784-1</t>
  </si>
  <si>
    <t>978-0-374-15975-7</t>
  </si>
  <si>
    <t>978-1-101-90300-1</t>
  </si>
  <si>
    <t>978-1-942951-24-7</t>
  </si>
  <si>
    <t>978-1-908009-75-3</t>
  </si>
  <si>
    <t>978-0-06-285182-6</t>
  </si>
  <si>
    <t>978-1-78360-142-4</t>
  </si>
  <si>
    <t>978-0-385-53274-7</t>
  </si>
  <si>
    <t>978-0-393-33313-8</t>
  </si>
  <si>
    <t>978-0-553-44743-9</t>
  </si>
  <si>
    <t>978-0-544-30318-8</t>
  </si>
  <si>
    <t>978-0-691-14772-7</t>
  </si>
  <si>
    <t>978-1-4834-7226-3</t>
  </si>
  <si>
    <t>978-1-60529-476-6</t>
  </si>
  <si>
    <t>978-0-465-04693-5</t>
  </si>
  <si>
    <t>978-0-307-95980-5</t>
  </si>
  <si>
    <t>978-1-59031-247-6</t>
  </si>
  <si>
    <t>978-1-4548-0607-3</t>
  </si>
  <si>
    <t>978-1-5011-1204-1</t>
  </si>
  <si>
    <t>978-0-8157-2212-0</t>
  </si>
  <si>
    <t>978-0-300-19088-5</t>
  </si>
  <si>
    <t>978-0-465-02957-0</t>
  </si>
  <si>
    <t>978-0-465-09633-6</t>
  </si>
  <si>
    <t>978-0-465-06590-5</t>
  </si>
  <si>
    <t>978-0-393-65212-3</t>
  </si>
  <si>
    <t>978-0-87140-675-0</t>
  </si>
  <si>
    <t>978-0-300-19710-5</t>
  </si>
  <si>
    <t>978-0-385-35340-3</t>
  </si>
  <si>
    <t>978-0-19-085176-7</t>
  </si>
  <si>
    <t>978-1-984853-78-3</t>
  </si>
  <si>
    <t>978-0-393-23937-9</t>
  </si>
  <si>
    <t>978-1-250-18442-9</t>
  </si>
  <si>
    <t>978-1-60819-824-5</t>
  </si>
  <si>
    <t>978-0-674-98379-3</t>
  </si>
  <si>
    <t>978-1-5416-4488-5</t>
  </si>
  <si>
    <t>978-0-06-291436-1</t>
  </si>
  <si>
    <t>978-1-5017-1441-2</t>
  </si>
  <si>
    <t>978-1-4133-2574-4</t>
  </si>
  <si>
    <t>978-1-4133-2572-0</t>
  </si>
  <si>
    <t>978-1-63006-105-0</t>
  </si>
  <si>
    <t>978-1-119-61069-4</t>
  </si>
  <si>
    <t>978-1-101-87165-2</t>
  </si>
  <si>
    <t>978-0-374-28045-1</t>
  </si>
  <si>
    <t>978-0-292-74295-6</t>
  </si>
  <si>
    <t>978-1-4133-2541-6</t>
  </si>
  <si>
    <t>978-1-4133-2146-3</t>
  </si>
  <si>
    <t>978-1-4767-4745-3</t>
  </si>
  <si>
    <t>978-1-4767-9803-5</t>
  </si>
  <si>
    <t>978-1-61039-691-2</t>
  </si>
  <si>
    <t>978-0-525-52112-9</t>
  </si>
  <si>
    <t>978-0-446-56207-2</t>
  </si>
  <si>
    <t>978-1-62722-363-8</t>
  </si>
  <si>
    <t>978-0-385-51723-2</t>
  </si>
  <si>
    <t>978-0-393-24169-3</t>
  </si>
  <si>
    <t>978-0-06-179226-7</t>
  </si>
  <si>
    <t>978-0-8070-6466-5</t>
  </si>
  <si>
    <t>978-0-300-16746-7</t>
  </si>
  <si>
    <t>978-0-316-31149-6</t>
  </si>
  <si>
    <t>978-1-4422-4464-1</t>
  </si>
  <si>
    <t>978-1-938223-78-5</t>
  </si>
  <si>
    <t>978-1-4133-2020-6</t>
  </si>
  <si>
    <t>978-1-4133-2343-6</t>
  </si>
  <si>
    <t>978-0-393-24867-8</t>
  </si>
  <si>
    <t>978-1-4133-2641-3</t>
  </si>
  <si>
    <t>978-1-4133-2391-7</t>
  </si>
  <si>
    <t>978-0-87140-784-9</t>
  </si>
  <si>
    <t>978-1-57248-560-0</t>
  </si>
  <si>
    <t>978-1-5247-4325-3</t>
  </si>
  <si>
    <t>978-1-4133-2306-1</t>
  </si>
  <si>
    <t>978-0-87140-712-2</t>
  </si>
  <si>
    <t>978-1-4549-1633-8</t>
  </si>
  <si>
    <t>978-0-375-72385-8</t>
  </si>
  <si>
    <t>978-1-62153-554-6</t>
  </si>
  <si>
    <t>978-1-4133-2176-0</t>
  </si>
  <si>
    <t>978-1-4133-2601-7</t>
  </si>
  <si>
    <t>978-1-4133-2511-9</t>
  </si>
  <si>
    <t>978-1-4133-2566-9</t>
  </si>
  <si>
    <t>978-0-692-12231-0</t>
  </si>
  <si>
    <t>978-1-62722-982-1</t>
  </si>
  <si>
    <t>978-1-119-54387-9</t>
  </si>
  <si>
    <t>978-1-4133-2480-8</t>
  </si>
  <si>
    <t>978-0-06-268943-6</t>
  </si>
  <si>
    <t>978-0-7931-4605-5</t>
  </si>
  <si>
    <t>978-1-947588-05-9</t>
  </si>
  <si>
    <t>978-1-4133-2310-8</t>
  </si>
  <si>
    <t>978-1-59403-933-1</t>
  </si>
  <si>
    <t>978-1-4133-2490-7</t>
  </si>
  <si>
    <t>978-1-4133-1959-0</t>
  </si>
  <si>
    <t>978-1-101-94619-0</t>
  </si>
  <si>
    <t>978-1-59420-418-0</t>
  </si>
  <si>
    <t>978-1-4516-2751-0</t>
  </si>
  <si>
    <t>978-1-4767-3250-3</t>
  </si>
  <si>
    <t>978-0-06-223846-7</t>
  </si>
  <si>
    <t>978-1-56858-456-0</t>
  </si>
  <si>
    <t>978-0-8129-9392-9</t>
  </si>
  <si>
    <t>978-1-62972-340-2</t>
  </si>
  <si>
    <t>978-0-8050-9122-9</t>
  </si>
  <si>
    <t>978-0-307-40960-7</t>
  </si>
  <si>
    <t>978-1-4767-7786-3</t>
  </si>
  <si>
    <t>978-0-316-37176-6</t>
  </si>
  <si>
    <t>978-1-59420-404-3</t>
  </si>
  <si>
    <t>978-0-393-24544-8</t>
  </si>
  <si>
    <t>978-0-578-43810-8</t>
  </si>
  <si>
    <t>978-0-385-35179-9</t>
  </si>
  <si>
    <t>978-1-4767-6037-7</t>
  </si>
  <si>
    <t>978-1-60819-670-8</t>
  </si>
  <si>
    <t>978-1-59420-351-0</t>
  </si>
  <si>
    <t>978-1-101-94760-9</t>
  </si>
  <si>
    <t>978-1-935785-97-2</t>
  </si>
  <si>
    <t>978-0-06-279598-4</t>
  </si>
  <si>
    <t>978-0-06-286315-7</t>
  </si>
  <si>
    <t>978-0-8021-2833-1</t>
  </si>
  <si>
    <t>978-1-5011-5496-6</t>
  </si>
  <si>
    <t>978-1-59184-721-2</t>
  </si>
  <si>
    <t>978-1-4391-8177-5</t>
  </si>
  <si>
    <t>978-1-250-01454-2</t>
  </si>
  <si>
    <t>978-1-4402-1447-9</t>
  </si>
  <si>
    <t>978-1-250-08833-8</t>
  </si>
  <si>
    <t>978-1-61628-219-6</t>
  </si>
  <si>
    <t>978-0-7566-2210-7</t>
  </si>
  <si>
    <t>978-0-06-226201-1</t>
  </si>
  <si>
    <t>978-1-59420-480-7</t>
  </si>
  <si>
    <t>978-0-393-06444-5</t>
  </si>
  <si>
    <t>978-0-316-09783-3</t>
  </si>
  <si>
    <t>978-0-19-088801-5</t>
  </si>
  <si>
    <t>978-0-7352-2059-1</t>
  </si>
  <si>
    <t>978-0-451-46619-8</t>
  </si>
  <si>
    <t>978-0-06-233660-6</t>
  </si>
  <si>
    <t>978-1-4013-2479-7</t>
  </si>
  <si>
    <t>978-0-06-226756-6</t>
  </si>
  <si>
    <t>978-1-250-12993-2</t>
  </si>
  <si>
    <t>978-1-5036-0354-7</t>
  </si>
  <si>
    <t>978-0-226-42815-4</t>
  </si>
  <si>
    <t>978-0-8265-1988-7</t>
  </si>
  <si>
    <t>132p.</t>
  </si>
  <si>
    <t>978-0-375-40115-2</t>
  </si>
  <si>
    <t>978-0-9888428-0-9</t>
  </si>
  <si>
    <t>978-1-4789-7064-4</t>
  </si>
  <si>
    <t>978-0-312-67297-3</t>
  </si>
  <si>
    <t>978-0-8129-9695-1</t>
  </si>
  <si>
    <t>978-1-59184-677-2</t>
  </si>
  <si>
    <t>978-1-77100-032-1</t>
  </si>
  <si>
    <t>978-1-5381-1494-0</t>
  </si>
  <si>
    <t>978-1-61039-725-4</t>
  </si>
  <si>
    <t>978-0-307-71896-9</t>
  </si>
  <si>
    <t>978-0-307-70063-6</t>
  </si>
  <si>
    <t>978-0-8050-9515-9</t>
  </si>
  <si>
    <t>978-0-307-96154-9</t>
  </si>
  <si>
    <t>978-0-19-939660-3</t>
  </si>
  <si>
    <t>978-1-4422-5196-0</t>
  </si>
  <si>
    <t>978-0-226-62532-4</t>
  </si>
  <si>
    <t>978-1-61039-591-5</t>
  </si>
  <si>
    <t>978-1-5011-3286-5</t>
  </si>
  <si>
    <t>978-0-316-50448-5</t>
  </si>
  <si>
    <t>978-1-5416-4498-4</t>
  </si>
  <si>
    <t>978-0-385-52336-3</t>
  </si>
  <si>
    <t>978-0-393-24924-8</t>
  </si>
  <si>
    <t>978-1-60819-281-6</t>
  </si>
  <si>
    <t>978-1-63299-195-9</t>
  </si>
  <si>
    <t>978-1-59420-675-7</t>
  </si>
  <si>
    <t>978-1-944424-76-3</t>
  </si>
  <si>
    <t>978-0-89334-862-5</t>
  </si>
  <si>
    <t>978-0-670-02074-4</t>
  </si>
  <si>
    <t>978-1-328-55349-2</t>
  </si>
  <si>
    <t>978-0-8070-7758-0</t>
  </si>
  <si>
    <t>978-0-8070-2200-9</t>
  </si>
  <si>
    <t>978-0-692-94508-7</t>
  </si>
  <si>
    <t>978-0-691-16088-7</t>
  </si>
  <si>
    <t>978-1-4870-0574-0</t>
  </si>
  <si>
    <t>978-1-937612-97-9</t>
  </si>
  <si>
    <t>978-1-948062-16-9</t>
  </si>
  <si>
    <t>978-1-4391-8438-7</t>
  </si>
  <si>
    <t>978-0-385-54284-5</t>
  </si>
  <si>
    <t>978-0-316-41766-2</t>
  </si>
  <si>
    <t>978-1-64313-055-2</t>
  </si>
  <si>
    <t>978-0-06-224179-5</t>
  </si>
  <si>
    <t>978-1-939529-06-0</t>
  </si>
  <si>
    <t>978-1-60868-500-4</t>
  </si>
  <si>
    <t>978-0-316-55124-3</t>
  </si>
  <si>
    <t>978-1-61039-861-9</t>
  </si>
  <si>
    <t>978-1-4969-1966-3</t>
  </si>
  <si>
    <t>978-1-62040-250-4</t>
  </si>
  <si>
    <t>978-0-06-285464-3</t>
  </si>
  <si>
    <t>978-0-618-68335-2</t>
  </si>
  <si>
    <t>978-0-547-84865-5</t>
  </si>
  <si>
    <t>978-0-316-08082-8</t>
  </si>
  <si>
    <t>978-1-250-05582-8</t>
  </si>
  <si>
    <t>978-0-312-42759-7</t>
  </si>
  <si>
    <t>978-0-525-53473-0</t>
  </si>
  <si>
    <t>978-1-250-03625-4</t>
  </si>
  <si>
    <t>978-1-250-07431-7</t>
  </si>
  <si>
    <t>978-0-7180-8655-8</t>
  </si>
  <si>
    <t>978-0-8499-0041-9</t>
  </si>
  <si>
    <t>978-0-9977784-0-3</t>
  </si>
  <si>
    <t>978-1-73228-200-1</t>
  </si>
  <si>
    <t>978-0-307-34589-9</t>
  </si>
  <si>
    <t>978-0-399-17198-7</t>
  </si>
  <si>
    <t>978-1-5381-1007-2</t>
  </si>
  <si>
    <t>978-0-316-41424-1</t>
  </si>
  <si>
    <t>978-1-62040-546-8</t>
  </si>
  <si>
    <t>978-0-307-27182-2</t>
  </si>
  <si>
    <t>978-1-119-48158-4</t>
  </si>
  <si>
    <t>978-1-942094-12-8</t>
  </si>
  <si>
    <t>978-0-7382-1963-9</t>
  </si>
  <si>
    <t>978-1-4133-2553-9</t>
  </si>
  <si>
    <t>978-0-06-124302-8</t>
  </si>
  <si>
    <t>978-0-7611-6676-4</t>
  </si>
  <si>
    <t>978-1-5075-4756-4</t>
  </si>
  <si>
    <t>978-1-62097-038-6</t>
  </si>
  <si>
    <t>978-1-932690-54-5</t>
  </si>
  <si>
    <t>978-1-60846-618-4</t>
  </si>
  <si>
    <t>978-0-9765594-6-7</t>
  </si>
  <si>
    <t>978-1-57224-369-9</t>
  </si>
  <si>
    <t>978-0-674-98068-6</t>
  </si>
  <si>
    <t>978-1-63557-097-7</t>
  </si>
  <si>
    <t>978-1-4197-2948-5</t>
  </si>
  <si>
    <t>978-0-307-26714-6</t>
  </si>
  <si>
    <t>978-1-62157-471-2</t>
  </si>
  <si>
    <t>978-1-62872-851-4</t>
  </si>
  <si>
    <t>978-0-14-312732-1</t>
  </si>
  <si>
    <t>978-1-250-16914-3</t>
  </si>
  <si>
    <t>978-0-312-42584-5</t>
  </si>
  <si>
    <t>978-1-5011-3461-6</t>
  </si>
  <si>
    <t>978-1-4926-4935-9</t>
  </si>
  <si>
    <t>978-1-5416-1709-4</t>
  </si>
  <si>
    <t>978-1-61039-211-2</t>
  </si>
  <si>
    <t>978-0-393-25422-8</t>
  </si>
  <si>
    <t>978-1-59403-875-4</t>
  </si>
  <si>
    <t>978-1-250-07345-7</t>
  </si>
  <si>
    <t>978-1-56858-540-6</t>
  </si>
  <si>
    <t>978-1-250-10829-6</t>
  </si>
  <si>
    <t>978-0-393-23978-2</t>
  </si>
  <si>
    <t>978-1-78478-289-4</t>
  </si>
  <si>
    <t>978-0-8050-9881-5</t>
  </si>
  <si>
    <t>978-0-06-291063-9</t>
  </si>
  <si>
    <t>978-1-5011-9196-1</t>
  </si>
  <si>
    <t>978-1-4516-5759-3</t>
  </si>
  <si>
    <t>978-0-307-71969-0</t>
  </si>
  <si>
    <t>978-0-8021-2391-6</t>
  </si>
  <si>
    <t>978-0-8129-7923-7</t>
  </si>
  <si>
    <t>978-1-5460-8247-7</t>
  </si>
  <si>
    <t>978-0-307-46135-3</t>
  </si>
  <si>
    <t>978-0-307-95557-9</t>
  </si>
  <si>
    <t>978-0-8041-3954-0</t>
  </si>
  <si>
    <t>978-0-525-56196-5</t>
  </si>
  <si>
    <t>978-1-78607-328-0</t>
  </si>
  <si>
    <t>978-1-5107-2136-4</t>
  </si>
  <si>
    <t>978-0-465-09608-4</t>
  </si>
  <si>
    <t>978-1-62157-457-6</t>
  </si>
  <si>
    <t>978-1-4767-3540-5</t>
  </si>
  <si>
    <t>978-0-8070-8884-5</t>
  </si>
  <si>
    <t>978-1-61168-849-8</t>
  </si>
  <si>
    <t>978-1-62779-897-6</t>
  </si>
  <si>
    <t>978-1-4422-5521-0</t>
  </si>
  <si>
    <t>978-1-5417-6222-0</t>
  </si>
  <si>
    <t>978-0-316-38293-9</t>
  </si>
  <si>
    <t>978-0-06-247115-4</t>
  </si>
  <si>
    <t>978-0-451-49789-5</t>
  </si>
  <si>
    <t>978-0-374-27789-5</t>
  </si>
  <si>
    <t>978-0-06-268667-1</t>
  </si>
  <si>
    <t>978-0-06-289256-0</t>
  </si>
  <si>
    <t>978-0-8129-8875-8</t>
  </si>
  <si>
    <t>978-0-385-35205-5</t>
  </si>
  <si>
    <t>978-1-250-04894-3</t>
  </si>
  <si>
    <t>978-0-06-286448-2</t>
  </si>
  <si>
    <t>978-0-385-54270-8</t>
  </si>
  <si>
    <t>978-0-393-24279-9</t>
  </si>
  <si>
    <t>978-1-62040-915-2</t>
  </si>
  <si>
    <t>978-0-547-79208-8</t>
  </si>
  <si>
    <t>978-1-61091-818-3</t>
  </si>
  <si>
    <t>978-0-615-92733-6</t>
  </si>
  <si>
    <t>978-0-316-47661-4</t>
  </si>
  <si>
    <t>978-1-250-11003-9</t>
  </si>
  <si>
    <t>978-1-5387-4529-8</t>
  </si>
  <si>
    <t>978-1-61039-583-0</t>
  </si>
  <si>
    <t>978-1-250-07266-5</t>
  </si>
  <si>
    <t>978-0-674-73677-1</t>
  </si>
  <si>
    <t>978-0-292-73792-1</t>
  </si>
  <si>
    <t>978-1-62317-248-0</t>
  </si>
  <si>
    <t>978-0-399-59083-2</t>
  </si>
  <si>
    <t>978-0-226-32527-9</t>
  </si>
  <si>
    <t>978-1-62157-676-1</t>
  </si>
  <si>
    <t>978-0-393-29247-3</t>
  </si>
  <si>
    <t>978-1-250-14207-8</t>
  </si>
  <si>
    <t>978-1-941071-13-7</t>
  </si>
  <si>
    <t>978-0-618-24906-0</t>
  </si>
  <si>
    <t>978-1-60358-316-9</t>
  </si>
  <si>
    <t>978-0-9863983-0-8</t>
  </si>
  <si>
    <t>978-0-9863983-3-9</t>
  </si>
  <si>
    <t>978-0-14-313044-4</t>
  </si>
  <si>
    <t>978-0-374-10311-8</t>
  </si>
  <si>
    <t>978-1-4516-9738-4</t>
  </si>
  <si>
    <t>978-1-944424-03-9</t>
  </si>
  <si>
    <t>978-0-691-14825-0</t>
  </si>
  <si>
    <t>978-0-300-21264-8</t>
  </si>
  <si>
    <t>978-1-250-00714-8</t>
  </si>
  <si>
    <t>978-1-62414-425-7</t>
  </si>
  <si>
    <t>978-0-374-19133-7</t>
  </si>
  <si>
    <t>978-0-262-52998-3</t>
  </si>
  <si>
    <t>978-1-61614-458-6</t>
  </si>
  <si>
    <t>978-1-58648-694-5</t>
  </si>
  <si>
    <t>978-0-9852651-0-6</t>
  </si>
  <si>
    <t>978-0-14-218043-3</t>
  </si>
  <si>
    <t>978-0-316-25624-7</t>
  </si>
  <si>
    <t>978-1-4262-1766-1</t>
  </si>
  <si>
    <t>978-0-316-03375-6</t>
  </si>
  <si>
    <t>978-1-4000-6980-4</t>
  </si>
  <si>
    <t>978-1-61620-421-1</t>
  </si>
  <si>
    <t>978-1-59420-082-3</t>
  </si>
  <si>
    <t>978-0-670-02572-5</t>
  </si>
  <si>
    <t>978-0-547-75033-0</t>
  </si>
  <si>
    <t>978-0-06-158107-6</t>
  </si>
  <si>
    <t>978-1-4516-6673-1</t>
  </si>
  <si>
    <t>978-0-544-27539-3</t>
  </si>
  <si>
    <t>978-0-292-73890-4</t>
  </si>
  <si>
    <t>978-1-4767-1718-0</t>
  </si>
  <si>
    <t>978-1-58642-238-7</t>
  </si>
  <si>
    <t>978-1-250-20870-5</t>
  </si>
  <si>
    <t>978-1-59420-439-5</t>
  </si>
  <si>
    <t>978-0-06-171274-6</t>
  </si>
  <si>
    <t>978-1-250-17058-3</t>
  </si>
  <si>
    <t>978-0-8041-7352-0</t>
  </si>
  <si>
    <t>978-1-4165-5273-4</t>
  </si>
  <si>
    <t>978-0-06-265560-8</t>
  </si>
  <si>
    <t>978-1-944648-98-5</t>
  </si>
  <si>
    <t>Gomorrah</t>
  </si>
  <si>
    <t>978-0-374-16527-7</t>
  </si>
  <si>
    <t>978-0-06-256936-3</t>
  </si>
  <si>
    <t>978-1-5011-2654-3</t>
  </si>
  <si>
    <t>978-1-62619-840-1</t>
  </si>
  <si>
    <t>978-0-544-63338-4</t>
  </si>
  <si>
    <t>978-1-4767-1484-4</t>
  </si>
  <si>
    <t>978-0-451-49862-5</t>
  </si>
  <si>
    <t>978-1-4143-2659-7</t>
  </si>
  <si>
    <t>978-0-316-39665-3</t>
  </si>
  <si>
    <t>978-1-4767-1705-0</t>
  </si>
  <si>
    <t>978-1-940363-10-3</t>
  </si>
  <si>
    <t>978-0-307-34695-7</t>
  </si>
  <si>
    <t>978-0-8021-4730-1</t>
  </si>
  <si>
    <t>978-0-393-08700-0</t>
  </si>
  <si>
    <t>978-0-8129-9438-4</t>
  </si>
  <si>
    <t>978-1-101-94786-9</t>
  </si>
  <si>
    <t>978-1-250-08710-2</t>
  </si>
  <si>
    <t>978-0-9977404-3-1</t>
  </si>
  <si>
    <t>978-0-393-24516-5</t>
  </si>
  <si>
    <t>978-0-8050-9920-1</t>
  </si>
  <si>
    <t>Columbine</t>
  </si>
  <si>
    <t>978-0-446-54692-8</t>
  </si>
  <si>
    <t>978-0-316-50686-1</t>
  </si>
  <si>
    <t>978-1-63149-226-6</t>
  </si>
  <si>
    <t>978-0-312-99403-7</t>
  </si>
  <si>
    <t>978-1-63149-164-1</t>
  </si>
  <si>
    <t>978-0-399-58945-4</t>
  </si>
  <si>
    <t>978-0-14-312100-8</t>
  </si>
  <si>
    <t>978-0-8014-5664-0</t>
  </si>
  <si>
    <t>978-1-60635-311-0</t>
  </si>
  <si>
    <t>978-0-7382-1702-4</t>
  </si>
  <si>
    <t>978-0-525-52039-9</t>
  </si>
  <si>
    <t>978-1-60938-637-5</t>
  </si>
  <si>
    <t>978-1-250-11776-2</t>
  </si>
  <si>
    <t>978-1-250-14086-9</t>
  </si>
  <si>
    <t>978-1-62872-439-4</t>
  </si>
  <si>
    <t>978-0-8050-9767-2</t>
  </si>
  <si>
    <t>978-1-64009-212-9</t>
  </si>
  <si>
    <t>978-0-385-52131-4</t>
  </si>
  <si>
    <t>978-0-399-18338-6</t>
  </si>
  <si>
    <t>978-0-06-218363-7</t>
  </si>
  <si>
    <t>978-0-385-53873-2</t>
  </si>
  <si>
    <t>978-0-375-72560-9</t>
  </si>
  <si>
    <t>978-0-679-75927-0</t>
  </si>
  <si>
    <t>Thunderstruck</t>
  </si>
  <si>
    <t>978-1-4000-8066-3</t>
  </si>
  <si>
    <t>978-1-59403-835-8</t>
  </si>
  <si>
    <t>978-1-57441-021-1</t>
  </si>
  <si>
    <t>978-1-4789-7408-6</t>
  </si>
  <si>
    <t>978-0-385-52998-3</t>
  </si>
  <si>
    <t>978-0-472-03722-3</t>
  </si>
  <si>
    <t>978-0-472-05169-4</t>
  </si>
  <si>
    <t>978-0-307-59411-2</t>
  </si>
  <si>
    <t>978-1-61775-491-3</t>
  </si>
  <si>
    <t>978-1-4767-5374-4</t>
  </si>
  <si>
    <t>978-0-06-224216-7</t>
  </si>
  <si>
    <t>978-1-250-08054-7</t>
  </si>
  <si>
    <t>978-0-9985278-8-8</t>
  </si>
  <si>
    <t>978-0-06-231978-4</t>
  </si>
  <si>
    <t>978-0-06-227347-5</t>
  </si>
  <si>
    <t>978-1-59420-343-5</t>
  </si>
  <si>
    <t>978-1-55597-736-8</t>
  </si>
  <si>
    <t>978-0-316-47755-0</t>
  </si>
  <si>
    <t>978-0-385-33435-8</t>
  </si>
  <si>
    <t>978-0-316-41265-0</t>
  </si>
  <si>
    <t>978-0-316-27405-0</t>
  </si>
  <si>
    <t>978-1-5396-6043-9</t>
  </si>
  <si>
    <t>978-1-61168-841-2</t>
  </si>
  <si>
    <t>978-1-4165-4460-9</t>
  </si>
  <si>
    <t>978-1-4516-4829-4</t>
  </si>
  <si>
    <t>978-0-7434-4874-1</t>
  </si>
  <si>
    <t>978-1-59463-335-5</t>
  </si>
  <si>
    <t>978-0-670-01571-9</t>
  </si>
  <si>
    <t>978-0-425-25882-8</t>
  </si>
  <si>
    <t>978-0-393-60960-8</t>
  </si>
  <si>
    <t>978-0-8203-2274-2</t>
  </si>
  <si>
    <t>978-1-59420-578-1</t>
  </si>
  <si>
    <t>978-1-5011-0427-5</t>
  </si>
  <si>
    <t>978-0-06-266192-0</t>
  </si>
  <si>
    <t>978-1-4930-0959-6</t>
  </si>
  <si>
    <t>978-1-61620-730-4</t>
  </si>
  <si>
    <t>978-1-60598-634-0</t>
  </si>
  <si>
    <t>978-1-250-12668-9</t>
  </si>
  <si>
    <t>978-0-393-60951-6</t>
  </si>
  <si>
    <t>978-1-59184-814-1</t>
  </si>
  <si>
    <t>978-0-9822509-3-8</t>
  </si>
  <si>
    <t>978-1-78125-965-8</t>
  </si>
  <si>
    <t>978-1-5011-2136-4</t>
  </si>
  <si>
    <t>978-0-06-245298-6</t>
  </si>
  <si>
    <t>978-0-385-53900-5</t>
  </si>
  <si>
    <t>978-1-4767-3933-5</t>
  </si>
  <si>
    <t>978-1-63149-051-4</t>
  </si>
  <si>
    <t>978-1-101-98161-0</t>
  </si>
  <si>
    <t>978-0-8129-9580-0</t>
  </si>
  <si>
    <t>978-0-525-42741-4</t>
  </si>
  <si>
    <t>978-1-63286-225-9</t>
  </si>
  <si>
    <t>978-0-374-11726-9</t>
  </si>
  <si>
    <t>978-1-4165-7657-0</t>
  </si>
  <si>
    <t>978-0-316-43650-2</t>
  </si>
  <si>
    <t>978-0-7352-1764-5</t>
  </si>
  <si>
    <t>978-1-59558-103-7</t>
  </si>
  <si>
    <t>978-0-7704-3776-3</t>
  </si>
  <si>
    <t>978-0-465-09419-6</t>
  </si>
  <si>
    <t>978-1-4422-6799-2</t>
  </si>
  <si>
    <t>978-1-947597-10-5</t>
  </si>
  <si>
    <t>978-1-250-01466-5</t>
  </si>
  <si>
    <t>978-0-7352-2358-5</t>
  </si>
  <si>
    <t>978-0-06-238433-1</t>
  </si>
  <si>
    <t>978-1-59051-727-7</t>
  </si>
  <si>
    <t>978-0-374-18997-6</t>
  </si>
  <si>
    <t>978-1-59240-724-8</t>
  </si>
  <si>
    <t>978-0-8135-8412-6</t>
  </si>
  <si>
    <t>978-1-62097-409-4</t>
  </si>
  <si>
    <t>978-0-465-09691-6</t>
  </si>
  <si>
    <t>978-0-06-125380-5</t>
  </si>
  <si>
    <t>978-0-375-42322-2</t>
  </si>
  <si>
    <t>978-1-947492-16-5</t>
  </si>
  <si>
    <t>Medicare</t>
  </si>
  <si>
    <t>978-1-119-34887-0</t>
  </si>
  <si>
    <t>978-1-5011-4476-9</t>
  </si>
  <si>
    <t>978-1-4133-2587-4</t>
  </si>
  <si>
    <t>978-1-4133-2472-3</t>
  </si>
  <si>
    <t>978-1-5011-2400-6</t>
  </si>
  <si>
    <t>978-0-9912094-0-8</t>
  </si>
  <si>
    <t>978-1-119-37573-9</t>
  </si>
  <si>
    <t>978-0-9979465-1-2</t>
  </si>
  <si>
    <t>978-0-9785050-4-2</t>
  </si>
  <si>
    <t>978-1-59888-986-4</t>
  </si>
  <si>
    <t>978-1-58479-942-9</t>
  </si>
  <si>
    <t>978-1-118-00004-5</t>
  </si>
  <si>
    <t>978-0-8264-1276-8</t>
  </si>
  <si>
    <t>978-0-545-26714-4</t>
  </si>
  <si>
    <t>978-0-545-26713-7</t>
  </si>
  <si>
    <t>978-0-415-90808-5</t>
  </si>
  <si>
    <t>978-0-674-97689-4</t>
  </si>
  <si>
    <t>978-1-250-20091-4</t>
  </si>
  <si>
    <t>978-0-7382-8563-4</t>
  </si>
  <si>
    <t>978-0-7382-1914-1</t>
  </si>
  <si>
    <t>978-1-5011-5909-1</t>
  </si>
  <si>
    <t>978-0-674-72901-8</t>
  </si>
  <si>
    <t>978-0-688-17788-1</t>
  </si>
  <si>
    <t>978-0-7879-5343-0</t>
  </si>
  <si>
    <t>978-0-470-60825-8</t>
  </si>
  <si>
    <t>978-1-68373-145-0</t>
  </si>
  <si>
    <t>978-0-7382-2008-6</t>
  </si>
  <si>
    <t>978-1-60520-448-2</t>
  </si>
  <si>
    <t>978-1-57110-389-5</t>
  </si>
  <si>
    <t>978-1-5063-8865-6</t>
  </si>
  <si>
    <t>978-1-118-94449-3</t>
  </si>
  <si>
    <t>978-1-62036-756-8</t>
  </si>
  <si>
    <t>978-0-262-53613-4</t>
  </si>
  <si>
    <t>978-1-61821-524-6</t>
  </si>
  <si>
    <t>978-0-393-70926-1</t>
  </si>
  <si>
    <t>978-0-8077-3750-7</t>
  </si>
  <si>
    <t>978-1-5063-4630-4</t>
  </si>
  <si>
    <t>978-1-4129-4987-3</t>
  </si>
  <si>
    <t>978-1-63369-285-5</t>
  </si>
  <si>
    <t>978-1-324-00125-6</t>
  </si>
  <si>
    <t>978-0-470-59196-3</t>
  </si>
  <si>
    <t>978-1-85539-623-4</t>
  </si>
  <si>
    <t>978-1-4516-9923-4</t>
  </si>
  <si>
    <t>978-0-06-236785-3</t>
  </si>
  <si>
    <t>978-1-62097-199-4</t>
  </si>
  <si>
    <t>978-1-947392-05-2</t>
  </si>
  <si>
    <t>978-1-4516-5442-4</t>
  </si>
  <si>
    <t>978-1-4521-4403-0</t>
  </si>
  <si>
    <t>978-0-06-288294-3</t>
  </si>
  <si>
    <t>978-0-7570-0185-7</t>
  </si>
  <si>
    <t>978-0-691-17465-5</t>
  </si>
  <si>
    <t>978-0-8077-4955-5</t>
  </si>
  <si>
    <t>978-0-670-01671-6</t>
  </si>
  <si>
    <t>978-1-5011-0432-9</t>
  </si>
  <si>
    <t>978-0-9995205-0-5</t>
  </si>
  <si>
    <t>978-0-692-21231-8</t>
  </si>
  <si>
    <t>978-0-14-313322-3</t>
  </si>
  <si>
    <t>978-0-929320-19-9</t>
  </si>
  <si>
    <t>978-1-61180-169-9</t>
  </si>
  <si>
    <t>978-1-60051-287-2</t>
  </si>
  <si>
    <t>978-0-8054-4485-8</t>
  </si>
  <si>
    <t>978-0-9988624-3-9</t>
  </si>
  <si>
    <t>978-1-119-52184-6</t>
  </si>
  <si>
    <t>978-1-5264-2087-9</t>
  </si>
  <si>
    <t>978-0-415-74682-3</t>
  </si>
  <si>
    <t>978-0-9826714-2-9</t>
  </si>
  <si>
    <t>978-0-9979780-0-1</t>
  </si>
  <si>
    <t>978-1-5063-0745-9</t>
  </si>
  <si>
    <t>978-0-470-55047-2</t>
  </si>
  <si>
    <t>978-0-399-15854-4</t>
  </si>
  <si>
    <t>978-1-948212-13-7</t>
  </si>
  <si>
    <t>978-1-4505-3796-4</t>
  </si>
  <si>
    <t>978-0-9764233-1-7</t>
  </si>
  <si>
    <t>978-1-4767-5934-0</t>
  </si>
  <si>
    <t>978-0-691-18061-8</t>
  </si>
  <si>
    <t>978-1-4654-0849-5</t>
  </si>
  <si>
    <t>978-1-61039-441-3</t>
  </si>
  <si>
    <t>978-0-7432-1100-0</t>
  </si>
  <si>
    <t>978-0-7432-1106-2</t>
  </si>
  <si>
    <t>978-0-618-08345-9</t>
  </si>
  <si>
    <t>978-0-9975543-7-3</t>
  </si>
  <si>
    <t>978-1-62120-095-6</t>
  </si>
  <si>
    <t>978-1-62120-129-8</t>
  </si>
  <si>
    <t>978-1-4635-7268-6</t>
  </si>
  <si>
    <t>978-1-4635-8118-3</t>
  </si>
  <si>
    <t>978-1-4664-6406-3</t>
  </si>
  <si>
    <t>978-1-4635-7284-6</t>
  </si>
  <si>
    <t>978-1-119-02244-2</t>
  </si>
  <si>
    <t>978-1-4973-3715-2</t>
  </si>
  <si>
    <t>978-1-4973-3717-6</t>
  </si>
  <si>
    <t>978-0-547-84005-5</t>
  </si>
  <si>
    <t>978-0-9896222-7-1</t>
  </si>
  <si>
    <t>978-1-62120-136-6</t>
  </si>
  <si>
    <t>978-1-5003-4193-0</t>
  </si>
  <si>
    <t>978-1-5005-8144-2</t>
  </si>
  <si>
    <t>978-1-4679-3029-1</t>
  </si>
  <si>
    <t>978-1-4635-2455-5</t>
  </si>
  <si>
    <t>978-1-4635-2456-2</t>
  </si>
  <si>
    <t>978-1-4635-2457-9</t>
  </si>
  <si>
    <t>978-1-5007-0093-5</t>
  </si>
  <si>
    <t>978-1-4776-3339-7</t>
  </si>
  <si>
    <t>978-0-7386-1147-1</t>
  </si>
  <si>
    <t>978-1-61072-919-2</t>
  </si>
  <si>
    <t>978-1-4929-0018-4</t>
  </si>
  <si>
    <t>978-1-63094-524-4</t>
  </si>
  <si>
    <t>978-0-7386-0945-4</t>
  </si>
  <si>
    <t>978-1-61072-965-9</t>
  </si>
  <si>
    <t>978-1-62120-146-5</t>
  </si>
  <si>
    <t>978-1-4505-4519-8</t>
  </si>
  <si>
    <t>978-0-7619-3986-3</t>
  </si>
  <si>
    <t>978-1-58197-271-9</t>
  </si>
  <si>
    <t>978-1-60787-378-5</t>
  </si>
  <si>
    <t>978-1-60787-331-0</t>
  </si>
  <si>
    <t>978-1-60787-451-5</t>
  </si>
  <si>
    <t>978-1-5235-0689-7</t>
  </si>
  <si>
    <t>978-1-60427-131-7</t>
  </si>
  <si>
    <t>978-0-19-998152-6</t>
  </si>
  <si>
    <t>978-0-8052-1112-2</t>
  </si>
  <si>
    <t>978-1-73364-684-0</t>
  </si>
  <si>
    <t>978-0-8050-4156-9</t>
  </si>
  <si>
    <t>978-0-345-33656-9</t>
  </si>
  <si>
    <t>978-0-345-30583-1</t>
  </si>
  <si>
    <t>978-1-4555-0838-9</t>
  </si>
  <si>
    <t>978-0-544-70255-4</t>
  </si>
  <si>
    <t>978-1-4555-1503-5</t>
  </si>
  <si>
    <t>978-1-4767-3062-2</t>
  </si>
  <si>
    <t>978-0-87154-051-5</t>
  </si>
  <si>
    <t>978-1-4166-0884-4</t>
  </si>
  <si>
    <t>978-0-307-94876-2</t>
  </si>
  <si>
    <t>978-0-8129-9731-6</t>
  </si>
  <si>
    <t>978-0-9847717-0-7</t>
  </si>
  <si>
    <t>978-0-465-04082-7</t>
  </si>
  <si>
    <t>978-0-8157-2860-3</t>
  </si>
  <si>
    <t>978-0-544-93528-0</t>
  </si>
  <si>
    <t>978-1-4516-8356-1</t>
  </si>
  <si>
    <t>978-1-5011-0149-6</t>
  </si>
  <si>
    <t>978-0-7879-9755-7</t>
  </si>
  <si>
    <t>978-0-9825231-6-2</t>
  </si>
  <si>
    <t>978-1-936943-48-7</t>
  </si>
  <si>
    <t>978-0-9792922-3-1</t>
  </si>
  <si>
    <t>978-1-936943-02-9</t>
  </si>
  <si>
    <t>978-0-9792922-9-3</t>
  </si>
  <si>
    <t>978-0-9701320-5-5</t>
  </si>
  <si>
    <t>978-0-9792922-4-8</t>
  </si>
  <si>
    <t>978-1-936943-49-4</t>
  </si>
  <si>
    <t>978-1-84905-858-2</t>
  </si>
  <si>
    <t>978-1-62097-236-6</t>
  </si>
  <si>
    <t>978-1-4133-2385-6</t>
  </si>
  <si>
    <t>978-0-88427-200-7</t>
  </si>
  <si>
    <t>978-1-892320-20-9</t>
  </si>
  <si>
    <t>978-1-892320-16-2</t>
  </si>
  <si>
    <t>978-0-7570-0378-3</t>
  </si>
  <si>
    <t>978-0-399-53566-6</t>
  </si>
  <si>
    <t>978-1-59463-079-8</t>
  </si>
  <si>
    <t>978-0-345-54123-9</t>
  </si>
  <si>
    <t>978-1-58134-356-4</t>
  </si>
  <si>
    <t>978-1-61821-669-4</t>
  </si>
  <si>
    <t>978-1-57542-493-4</t>
  </si>
  <si>
    <t>978-1-61821-457-7</t>
  </si>
  <si>
    <t>978-1-5007-2048-3</t>
  </si>
  <si>
    <t>978-0-9979439-2-4</t>
  </si>
  <si>
    <t>978-0-910707-96-1</t>
  </si>
  <si>
    <t>978-1-101-94729-6</t>
  </si>
  <si>
    <t>978-1-4408-3338-0</t>
  </si>
  <si>
    <t>978-0-8144-7342-9</t>
  </si>
  <si>
    <t>978-1-4129-7173-7</t>
  </si>
  <si>
    <t>978-1-59363-489-6</t>
  </si>
  <si>
    <t>978-1-57542-111-7</t>
  </si>
  <si>
    <t>978-0-312-14137-0</t>
  </si>
  <si>
    <t>978-0-547-56465-4</t>
  </si>
  <si>
    <t>978-0-452-27909-4</t>
  </si>
  <si>
    <t>978-0-07-136012-8</t>
  </si>
  <si>
    <t>978-0-553-39238-8</t>
  </si>
  <si>
    <t>978-0-553-39240-1</t>
  </si>
  <si>
    <t>978-0-345-54373-8</t>
  </si>
  <si>
    <t>978-1-138-22561-9</t>
  </si>
  <si>
    <t>978-0-399-18494-9</t>
  </si>
  <si>
    <t>978-0-87659-757-6</t>
  </si>
  <si>
    <t>978-0-525-42907-4</t>
  </si>
  <si>
    <t>978-1-938113-28-4</t>
  </si>
  <si>
    <t>978-0-87659-261-8</t>
  </si>
  <si>
    <t>978-1-60554-121-1</t>
  </si>
  <si>
    <t>978-1-934825-57-0</t>
  </si>
  <si>
    <t>978-1-59363-496-4</t>
  </si>
  <si>
    <t>978-1-4758-2599-2</t>
  </si>
  <si>
    <t>978-0-385-33626-0</t>
  </si>
  <si>
    <t>978-1-63402-243-9</t>
  </si>
  <si>
    <t>978-0-325-05092-8</t>
  </si>
  <si>
    <t>978-1-936706-21-1</t>
  </si>
  <si>
    <t>978-0-671-63198-7</t>
  </si>
  <si>
    <t>978-1-5063-6551-0</t>
  </si>
  <si>
    <t>978-0-7679-0776-7</t>
  </si>
  <si>
    <t>978-1-57912-288-1</t>
  </si>
  <si>
    <t>978-1-5393-6554-9</t>
  </si>
  <si>
    <t>978-0-385-47913-4</t>
  </si>
  <si>
    <t>978-1-4120-1554-7</t>
  </si>
  <si>
    <t>978-0-310-35032-3</t>
  </si>
  <si>
    <t>978-0-684-85367-3</t>
  </si>
  <si>
    <t>978-0-470-37227-2</t>
  </si>
  <si>
    <t>978-0-470-90030-7</t>
  </si>
  <si>
    <t>978-0-325-03731-8</t>
  </si>
  <si>
    <t>978-1-884822-24-7</t>
  </si>
  <si>
    <t>978-1-5235-0530-2</t>
  </si>
  <si>
    <t>978-0-517-55404-3</t>
  </si>
  <si>
    <t>978-0-87659-258-8</t>
  </si>
  <si>
    <t>978-0-14-303739-2</t>
  </si>
  <si>
    <t>978-0-14-312160-2</t>
  </si>
  <si>
    <t>978-1-118-76972-0</t>
  </si>
  <si>
    <t>978-0-7879-8257-7</t>
  </si>
  <si>
    <t>978-0-325-02876-7</t>
  </si>
  <si>
    <t>978-1-4767-4979-2</t>
  </si>
  <si>
    <t>978-1-59385-257-3</t>
  </si>
  <si>
    <t>978-0-88062-140-3</t>
  </si>
  <si>
    <t>978-0-9743616-2-8</t>
  </si>
  <si>
    <t>978-0-325-00655-0</t>
  </si>
  <si>
    <t>978-0-06-208393-7</t>
  </si>
  <si>
    <t>978-1-63159-143-3</t>
  </si>
  <si>
    <t>978-1-5063-2245-2</t>
  </si>
  <si>
    <t>978-0-7148-6973-5</t>
  </si>
  <si>
    <t>978-0-525-24347-2</t>
  </si>
  <si>
    <t>978-1-57110-816-6</t>
  </si>
  <si>
    <t>978-0-609-80320-2</t>
  </si>
  <si>
    <t>978-0-325-07822-9</t>
  </si>
  <si>
    <t>978-1-880045-21-3</t>
  </si>
  <si>
    <t>978-0-691-15667-5</t>
  </si>
  <si>
    <t>978-0-8007-2305-7</t>
  </si>
  <si>
    <t>978-0-300-09833-4</t>
  </si>
  <si>
    <t>978-1-4516-1149-6</t>
  </si>
  <si>
    <t>978-1-4380-0797-7</t>
  </si>
  <si>
    <t>978-1-4380-0166-1</t>
  </si>
  <si>
    <t>978-0-07-144325-8</t>
  </si>
  <si>
    <t>978-0-679-73863-3</t>
  </si>
  <si>
    <t>978-0-9889490-0-3</t>
  </si>
  <si>
    <t>978-0-262-53597-7</t>
  </si>
  <si>
    <t>978-0-226-02856-9</t>
  </si>
  <si>
    <t>978-0-691-14959-2</t>
  </si>
  <si>
    <t>978-0-06-212399-2</t>
  </si>
  <si>
    <t>978-1-4758-2690-6</t>
  </si>
  <si>
    <t>978-0-07-154603-4</t>
  </si>
  <si>
    <t>978-0-691-15914-0</t>
  </si>
  <si>
    <t>978-0-9860119-0-0</t>
  </si>
  <si>
    <t>978-1-4555-3900-0</t>
  </si>
  <si>
    <t>978-1-250-22518-4</t>
  </si>
  <si>
    <t>978-3-319-70328-2</t>
  </si>
  <si>
    <t>978-1-59463-404-8</t>
  </si>
  <si>
    <t>978-1-941393-02-4</t>
  </si>
  <si>
    <t>978-1-5381-1983-9</t>
  </si>
  <si>
    <t>978-1-118-06348-4</t>
  </si>
  <si>
    <t>978-0-06-240056-7</t>
  </si>
  <si>
    <t>978-1-4022-8028-3</t>
  </si>
  <si>
    <t>978-1-4926-4596-2</t>
  </si>
  <si>
    <t>978-1-62097-060-7</t>
  </si>
  <si>
    <t>978-1-4214-2702-7</t>
  </si>
  <si>
    <t>978-0-465-07972-8</t>
  </si>
  <si>
    <t>978-0-691-16551-6</t>
  </si>
  <si>
    <t>978-1-4767-0271-1</t>
  </si>
  <si>
    <t>978-0-7432-4934-8</t>
  </si>
  <si>
    <t>978-0-345-45217-7</t>
  </si>
  <si>
    <t>978-1-119-05074-2</t>
  </si>
  <si>
    <t>978-1-4391-0121-6</t>
  </si>
  <si>
    <t>978-0-312-34376-7</t>
  </si>
  <si>
    <t>978-1-4022-6067-4</t>
  </si>
  <si>
    <t>978-1-943425-08-2</t>
  </si>
  <si>
    <t>978-1-4022-9576-8</t>
  </si>
  <si>
    <t>978-1-5247-5819-6</t>
  </si>
  <si>
    <t>978-0-525-56842-1</t>
  </si>
  <si>
    <t>978-1-4926-4599-3</t>
  </si>
  <si>
    <t>978-1-4926-1335-0</t>
  </si>
  <si>
    <t>978-1-58008-910-4</t>
  </si>
  <si>
    <t>978-1-60774-366-8</t>
  </si>
  <si>
    <t>978-1-4000-9796-8</t>
  </si>
  <si>
    <t>978-1-60774-321-7</t>
  </si>
  <si>
    <t>978-0-8050-8734-5</t>
  </si>
  <si>
    <t>978-1-62023-117-3</t>
  </si>
  <si>
    <t>978-1-933512-61-7</t>
  </si>
  <si>
    <t>978-0-312-60729-6</t>
  </si>
  <si>
    <t>978-1-250-04806-6</t>
  </si>
  <si>
    <t>978-1-58110-230-7</t>
  </si>
  <si>
    <t>978-0-307-94507-5</t>
  </si>
  <si>
    <t>978-0-525-56789-9</t>
  </si>
  <si>
    <t>978-1-5247-5803-5</t>
  </si>
  <si>
    <t>978-0-307-59032-9</t>
  </si>
  <si>
    <t>978-1-61760-119-4</t>
  </si>
  <si>
    <t>978-1-62787-262-1</t>
  </si>
  <si>
    <t>978-1-4573-0428-6</t>
  </si>
  <si>
    <t>978-0-9968678-8-7</t>
  </si>
  <si>
    <t>978-1-939055-98-9</t>
  </si>
  <si>
    <t>978-1-78516-531-3</t>
  </si>
  <si>
    <t>978-0-7679-3258-5</t>
  </si>
  <si>
    <t>978-0-7679-2271-5</t>
  </si>
  <si>
    <t>978-1-61760-075-3</t>
  </si>
  <si>
    <t>978-0-13-294467-0</t>
  </si>
  <si>
    <t>978-0-14-312230-2</t>
  </si>
  <si>
    <t>978-0-14-311282-2</t>
  </si>
  <si>
    <t>978-0-226-72115-6</t>
  </si>
  <si>
    <t>978-0-9834594-1-5</t>
  </si>
  <si>
    <t>978-1-4926-3512-3</t>
  </si>
  <si>
    <t>978-0-87447-988-1</t>
  </si>
  <si>
    <t>978-0-544-02707-7</t>
  </si>
  <si>
    <t>978-0-316-42052-5</t>
  </si>
  <si>
    <t>978-1-119-32839-1</t>
  </si>
  <si>
    <t>978-0-399-15996-1</t>
  </si>
  <si>
    <t>978-1-932662-95-5</t>
  </si>
  <si>
    <t>978-1-59403-989-8</t>
  </si>
  <si>
    <t>978-0-9656086-5-7</t>
  </si>
  <si>
    <t>978-1-931469-91-3</t>
  </si>
  <si>
    <t>978-1-931469-70-8</t>
  </si>
  <si>
    <t>978-1-60774-612-6</t>
  </si>
  <si>
    <t>978-0-9944129-0-4</t>
  </si>
  <si>
    <t>978-0-615-64246-8</t>
  </si>
  <si>
    <t>978-1-59463-031-6</t>
  </si>
  <si>
    <t>978-0-7627-8676-3</t>
  </si>
  <si>
    <t>978-1-5062-3508-0</t>
  </si>
  <si>
    <t>978-1-5062-3684-1</t>
  </si>
  <si>
    <t>978-0-525-56881-0</t>
  </si>
  <si>
    <t>978-0-7689-4337-5</t>
  </si>
  <si>
    <t>978-0-7611-9366-1</t>
  </si>
  <si>
    <t>978-0-692-02791-2</t>
  </si>
  <si>
    <t>978-1-5238-5101-0</t>
  </si>
  <si>
    <t>978-0-578-16931-6</t>
  </si>
  <si>
    <t>978-0-9894964-5-2</t>
  </si>
  <si>
    <t>978-0-9836446-4-4</t>
  </si>
  <si>
    <t>978-1-101-88213-9</t>
  </si>
  <si>
    <t>978-1-5062-1115-2</t>
  </si>
  <si>
    <t>978-1-62845-427-7</t>
  </si>
  <si>
    <t>978-1-63530-241-7</t>
  </si>
  <si>
    <t>978-1-5062-3364-2</t>
  </si>
  <si>
    <t>978-1-5247-5796-0</t>
  </si>
  <si>
    <t>978-1-4380-0859-2</t>
  </si>
  <si>
    <t>978-1-4380-1173-8</t>
  </si>
  <si>
    <t>978-1-5247-5798-4</t>
  </si>
  <si>
    <t>978-1-5247-5799-1</t>
  </si>
  <si>
    <t>978-0-525-56818-6</t>
  </si>
  <si>
    <t>978-1-4380-1113-4</t>
  </si>
  <si>
    <t>978-1-4573-1078-2</t>
  </si>
  <si>
    <t>978-1-4573-1221-2</t>
  </si>
  <si>
    <t>978-1-4380-0919-3</t>
  </si>
  <si>
    <t>978-1-4380-1289-6</t>
  </si>
  <si>
    <t>978-0-07-184490-1</t>
  </si>
  <si>
    <t>978-0-525-56823-0</t>
  </si>
  <si>
    <t>978-1-4380-0864-6</t>
  </si>
  <si>
    <t>978-1-4380-1185-1</t>
  </si>
  <si>
    <t>978-1-62845-637-0</t>
  </si>
  <si>
    <t>978-1-5247-1008-8</t>
  </si>
  <si>
    <t>978-1-5062-4253-8</t>
  </si>
  <si>
    <t>978-1-5247-5807-3</t>
  </si>
  <si>
    <t>978-1-4380-1168-4</t>
  </si>
  <si>
    <t>978-1-5247-5790-8</t>
  </si>
  <si>
    <t>978-1-62845-512-0</t>
  </si>
  <si>
    <t>978-0-323-35378-6</t>
  </si>
  <si>
    <t>978-1-63530-259-2</t>
  </si>
  <si>
    <t>978-1-5062-0336-2</t>
  </si>
  <si>
    <t>978-0-525-56839-1</t>
  </si>
  <si>
    <t>978-0-470-01773-9</t>
  </si>
  <si>
    <t>978-1-59403-635-4</t>
  </si>
  <si>
    <t>978-1-5233-7037-5</t>
  </si>
  <si>
    <t>978-1-259-58371-1</t>
  </si>
  <si>
    <t>978-1-259-58369-8</t>
  </si>
  <si>
    <t>978-0-525-56898-8</t>
  </si>
  <si>
    <t>978-1-5233-8153-1</t>
  </si>
  <si>
    <t>978-1-5247-1079-8</t>
  </si>
  <si>
    <t>978-1-62845-642-4</t>
  </si>
  <si>
    <t>978-1-5233-4184-9</t>
  </si>
  <si>
    <t>978-1-4792-8412-2</t>
  </si>
  <si>
    <t>978-0-544-79118-3</t>
  </si>
  <si>
    <t>978-0-547-33322-9</t>
  </si>
  <si>
    <t>978-0-525-56831-5</t>
  </si>
  <si>
    <t>978-0-525-56832-2</t>
  </si>
  <si>
    <t>978-0-525-56900-8</t>
  </si>
  <si>
    <t>978-1-5247-1081-1</t>
  </si>
  <si>
    <t>978-1-5247-5809-7</t>
  </si>
  <si>
    <t>978-0-9656086-2-6</t>
  </si>
  <si>
    <t>978-1-61072-790-7</t>
  </si>
  <si>
    <t>978-1-5062-3700-8</t>
  </si>
  <si>
    <t>978-1-941743-26-3</t>
  </si>
  <si>
    <t>978-0-7689-2510-4</t>
  </si>
  <si>
    <t>978-1-5062-2079-6</t>
  </si>
  <si>
    <t>978-1-5247-5812-7</t>
  </si>
  <si>
    <t>978-0-525-56833-9</t>
  </si>
  <si>
    <t>978-0-525-56807-0</t>
  </si>
  <si>
    <t>978-1-5062-3513-4</t>
  </si>
  <si>
    <t>978-1-5062-3689-6</t>
  </si>
  <si>
    <t>978-0-7611-9365-4</t>
  </si>
  <si>
    <t>978-1-4380-0619-2</t>
  </si>
  <si>
    <t>978-1-5236-0345-9</t>
  </si>
  <si>
    <t>978-1-5062-5802-7</t>
  </si>
  <si>
    <t>Prepvantage</t>
  </si>
  <si>
    <t>978-1-73108-521-4</t>
  </si>
  <si>
    <t>978-1-5247-5786-1</t>
  </si>
  <si>
    <t>978-0-525-56808-7</t>
  </si>
  <si>
    <t>978-1-118-97485-8</t>
  </si>
  <si>
    <t>978-1-250-16988-4</t>
  </si>
  <si>
    <t>978-1-5247-1082-8</t>
  </si>
  <si>
    <t>978-0-525-56901-5</t>
  </si>
  <si>
    <t>978-1-4380-7682-9</t>
  </si>
  <si>
    <t>978-1-5062-6200-0</t>
  </si>
  <si>
    <t>978-1-4380-0904-9</t>
  </si>
  <si>
    <t>978-0-307-95668-2</t>
  </si>
  <si>
    <t>978-1-4277-9864-0</t>
  </si>
  <si>
    <t>978-0-9652422-8-8</t>
  </si>
  <si>
    <t>978-1-5247-5817-2</t>
  </si>
  <si>
    <t>978-1-4555-3270-4</t>
  </si>
  <si>
    <t>978-1-119-56180-4</t>
  </si>
  <si>
    <t>978-0-9852743-6-8</t>
  </si>
  <si>
    <t>978-1-62845-568-7</t>
  </si>
  <si>
    <t>978-0-7641-4750-0</t>
  </si>
  <si>
    <t>978-1-72123-142-3</t>
  </si>
  <si>
    <t>978-0-87891-077-9</t>
  </si>
  <si>
    <t>978-1-59126-446-0</t>
  </si>
  <si>
    <t>978-0-9831291-7-2</t>
  </si>
  <si>
    <t>978-1-5247-5789-2</t>
  </si>
  <si>
    <t>978-1-4380-0798-4</t>
  </si>
  <si>
    <t>978-0-07-179123-6</t>
  </si>
  <si>
    <t>978-1-4380-0915-5</t>
  </si>
  <si>
    <t>978-1-944911-06-5</t>
  </si>
  <si>
    <t>978-1-5062-4881-3</t>
  </si>
  <si>
    <t>978-1-5143-0022-0</t>
  </si>
  <si>
    <t>978-1-4380-0632-1</t>
  </si>
  <si>
    <t>978-1-5062-3532-5</t>
  </si>
  <si>
    <t>978-1-5062-3534-9</t>
  </si>
  <si>
    <t>978-1-5062-3538-7</t>
  </si>
  <si>
    <t>978-1-5062-3536-3</t>
  </si>
  <si>
    <t>978-1-5232-6793-4</t>
  </si>
  <si>
    <t>978-1-944935-03-0</t>
  </si>
  <si>
    <t>978-1-5062-3540-0</t>
  </si>
  <si>
    <t>978-1-5062-3542-4</t>
  </si>
  <si>
    <t>978-1-62845-501-4</t>
  </si>
  <si>
    <t>978-1-936633-55-5</t>
  </si>
  <si>
    <t>978-1-101-88195-8</t>
  </si>
  <si>
    <t>978-1-105-98495-2</t>
  </si>
  <si>
    <t>978-0-7689-2816-7</t>
  </si>
  <si>
    <t>978-0-7689-1715-4</t>
  </si>
  <si>
    <t>978-0-692-63458-5</t>
  </si>
  <si>
    <t>978-0-7641-4752-4</t>
  </si>
  <si>
    <t>978-1-59555-279-2</t>
  </si>
  <si>
    <t>978-0-9815491-4-9</t>
  </si>
  <si>
    <t>978-1-5247-1069-9</t>
  </si>
  <si>
    <t>978-1-4573-0924-3</t>
  </si>
  <si>
    <t>978-1-61795-157-2</t>
  </si>
  <si>
    <t>978-0-9814737-4-1</t>
  </si>
  <si>
    <t>978-0-451-48783-4</t>
  </si>
  <si>
    <t>978-0-451-48749-0</t>
  </si>
  <si>
    <t>978-0-226-40434-9</t>
  </si>
  <si>
    <t>978-1-79329-844-7</t>
  </si>
  <si>
    <t>978-1-942121-08-4</t>
  </si>
  <si>
    <t>978-0-7689-4158-6</t>
  </si>
  <si>
    <t>978-0-7689-4231-6</t>
  </si>
  <si>
    <t>978-0-7689-4324-5</t>
  </si>
  <si>
    <t>978-0-7689-4323-8</t>
  </si>
  <si>
    <t>978-1-60163-166-4</t>
  </si>
  <si>
    <t>978-1-61760-074-6</t>
  </si>
  <si>
    <t>978-1-61760-132-3</t>
  </si>
  <si>
    <t>978-1-61760-042-5</t>
  </si>
  <si>
    <t>978-0-9913137-7-8</t>
  </si>
  <si>
    <t>978-1-59558-046-7</t>
  </si>
  <si>
    <t>978-0-86571-669-8</t>
  </si>
  <si>
    <t>978-0-465-02996-9</t>
  </si>
  <si>
    <t>978-0-8078-5505-8</t>
  </si>
  <si>
    <t>978-1-59691-681-4</t>
  </si>
  <si>
    <t>978-0-399-58251-6</t>
  </si>
  <si>
    <t>978-1-5017-0920-3</t>
  </si>
  <si>
    <t>978-1-4197-2386-5</t>
  </si>
  <si>
    <t>978-1-59420-293-3</t>
  </si>
  <si>
    <t>978-0-316-21928-0</t>
  </si>
  <si>
    <t>978-1-981656-57-8</t>
  </si>
  <si>
    <t>978-0-525-42661-5</t>
  </si>
  <si>
    <t>978-0-06-249676-8</t>
  </si>
  <si>
    <t>978-1-59420-500-2</t>
  </si>
  <si>
    <t>978-0-8021-2678-8</t>
  </si>
  <si>
    <t>978-0-544-94477-0</t>
  </si>
  <si>
    <t>978-0-300-21050-7</t>
  </si>
  <si>
    <t>978-1-137-28009-1</t>
  </si>
  <si>
    <t>978-1-62040-908-4</t>
  </si>
  <si>
    <t>978-0-06-266112-8</t>
  </si>
  <si>
    <t>978-0-7352-1139-1</t>
  </si>
  <si>
    <t>978-1-58816-865-8</t>
  </si>
  <si>
    <t>978-0-470-60160-0</t>
  </si>
  <si>
    <t>978-0-06-234584-4</t>
  </si>
  <si>
    <t>978-0-86571-797-8</t>
  </si>
  <si>
    <t>978-0-8109-0056-1</t>
  </si>
  <si>
    <t>978-0-446-57271-2</t>
  </si>
  <si>
    <t>978-0-7566-9835-5</t>
  </si>
  <si>
    <t>978-1-4197-2992-8</t>
  </si>
  <si>
    <t>978-1-4197-1390-3</t>
  </si>
  <si>
    <t>978-1-250-05290-2</t>
  </si>
  <si>
    <t>978-1-4767-6346-0</t>
  </si>
  <si>
    <t>978-1-4516-4385-5</t>
  </si>
  <si>
    <t>978-0-399-16656-3</t>
  </si>
  <si>
    <t>978-0-941434-51-5</t>
  </si>
  <si>
    <t>978-0-06-240512-8</t>
  </si>
  <si>
    <t>978-0-06-115166-8</t>
  </si>
  <si>
    <t>978-0-14-312805-2</t>
  </si>
  <si>
    <t>978-1-61689-276-0</t>
  </si>
  <si>
    <t>978-0-7407-9133-8</t>
  </si>
  <si>
    <t>978-0-451-49804-5</t>
  </si>
  <si>
    <t>978-3-89508-928-2</t>
  </si>
  <si>
    <t>978-1-62040-490-4</t>
  </si>
  <si>
    <t>978-1-56523-813-8</t>
  </si>
  <si>
    <t>978-1-4027-6850-7</t>
  </si>
  <si>
    <t>978-0-446-58507-1</t>
  </si>
  <si>
    <t>978-0-8253-0747-8</t>
  </si>
  <si>
    <t>978-0-393-24989-7</t>
  </si>
  <si>
    <t>978-0-393-24023-8</t>
  </si>
  <si>
    <t>978-1-62317-292-3</t>
  </si>
  <si>
    <t>978-1-4908-3804-5</t>
  </si>
  <si>
    <t>978-1-4013-5934-8</t>
  </si>
  <si>
    <t>978-0-679-77186-9</t>
  </si>
  <si>
    <t>978-1-5175-0783-1</t>
  </si>
  <si>
    <t>978-0-942679-34-2</t>
  </si>
  <si>
    <t>978-1-4787-5228-8</t>
  </si>
  <si>
    <t>978-0-306-92146-9</t>
  </si>
  <si>
    <t>978-0-9507062-3-8</t>
  </si>
  <si>
    <t>978-0-310-08756-4</t>
  </si>
  <si>
    <t>978-0-7935-0783-2</t>
  </si>
  <si>
    <t>unp.</t>
  </si>
  <si>
    <t>978-0-9884438-0-8</t>
  </si>
  <si>
    <t>978-0-316-10682-5</t>
  </si>
  <si>
    <t>978-0-300-18652-9</t>
  </si>
  <si>
    <t>978-0-679-60237-8</t>
  </si>
  <si>
    <t>978-1-935096-54-2</t>
  </si>
  <si>
    <t>978-1-61159-901-5</t>
  </si>
  <si>
    <t>978-0-8487-4256-0</t>
  </si>
  <si>
    <t>978-0-517-02535-2</t>
  </si>
  <si>
    <t>978-1-61837-194-2</t>
  </si>
  <si>
    <t>978-1-85967-747-6</t>
  </si>
  <si>
    <t>978-0-8487-4537-0</t>
  </si>
  <si>
    <t>978-0-310-32795-0</t>
  </si>
  <si>
    <t>978-1-57145-999-2</t>
  </si>
  <si>
    <t>978-1-936034-51-2</t>
  </si>
  <si>
    <t>978-0-9905928-3-9</t>
  </si>
  <si>
    <t>978-1-61837-220-8</t>
  </si>
  <si>
    <t>978-1-61837-143-0</t>
  </si>
  <si>
    <t>978-1-62914-416-0</t>
  </si>
  <si>
    <t>978-1-59240-756-9</t>
  </si>
  <si>
    <t>978-0-373-89239-6</t>
  </si>
  <si>
    <t>978-1-60641-831-4</t>
  </si>
  <si>
    <t>978-0-553-49735-9</t>
  </si>
  <si>
    <t>978-1-5029-3648-6</t>
  </si>
  <si>
    <t>978-1-4391-9833-9</t>
  </si>
  <si>
    <t>978-0-8118-3643-2</t>
  </si>
  <si>
    <t>Bksale</t>
  </si>
  <si>
    <t>978-0-553-41855-2</t>
  </si>
  <si>
    <t>978-1-61238-736-9</t>
  </si>
  <si>
    <t>978-0-316-41581-1</t>
  </si>
  <si>
    <t>978-1-4197-3238-6</t>
  </si>
  <si>
    <t>978-1-58479-789-0</t>
  </si>
  <si>
    <t>978-1-4236-3443-0</t>
  </si>
  <si>
    <t>978-1-4380-1101-1</t>
  </si>
  <si>
    <t>978-1-56554-774-2</t>
  </si>
  <si>
    <t>978-0-7611-2987-5</t>
  </si>
  <si>
    <t>978-0-7621-0284-6</t>
  </si>
  <si>
    <t>978-1-60320-105-6</t>
  </si>
  <si>
    <t>978-0-399-53525-3</t>
  </si>
  <si>
    <t>978-0-7607-5935-6</t>
  </si>
  <si>
    <t>978-0-8069-9574-8</t>
  </si>
  <si>
    <t>978-0-9658527-6-0</t>
  </si>
  <si>
    <t>978-0-684-84959-1</t>
  </si>
  <si>
    <t>978-0-446-55765-8</t>
  </si>
  <si>
    <t>978-1-250-03071-9</t>
  </si>
  <si>
    <t>978-1-5011-5798-1</t>
  </si>
  <si>
    <t>978-1-59514-438-6</t>
  </si>
  <si>
    <t>978-1-936976-02-7</t>
  </si>
  <si>
    <t>978-0-307-88825-9</t>
  </si>
  <si>
    <t>978-0-312-30250-4</t>
  </si>
  <si>
    <t>978-0-312-36964-4</t>
  </si>
  <si>
    <t>978-1-59473-314-7</t>
  </si>
  <si>
    <t>978-0-393-05874-1</t>
  </si>
  <si>
    <t>978-0-06-088198-6</t>
  </si>
  <si>
    <t>978-0-06-243925-3</t>
  </si>
  <si>
    <t>978-0-06-208041-7</t>
  </si>
  <si>
    <t>978-0-374-27234-0</t>
  </si>
  <si>
    <t>978-0-312-14122-6</t>
  </si>
  <si>
    <t>978-0-8478-3988-9</t>
  </si>
  <si>
    <t>978-1-61374-811-4</t>
  </si>
  <si>
    <t>978-0-449-01638-1</t>
  </si>
  <si>
    <t>978-1-4521-3462-8</t>
  </si>
  <si>
    <t>978-0-9886140-7-9</t>
  </si>
  <si>
    <t>978-0-307-34180-8</t>
  </si>
  <si>
    <t>978-0-7704-3378-9</t>
  </si>
  <si>
    <t>978-0-06-245560-4</t>
  </si>
  <si>
    <t>978-1-63450-753-0</t>
  </si>
  <si>
    <t>978-0-307-95465-7</t>
  </si>
  <si>
    <t>978-1-57965-775-8</t>
  </si>
  <si>
    <t>978-1-908714-08-4</t>
  </si>
  <si>
    <t>978-0-8065-3849-5</t>
  </si>
  <si>
    <t>978-1-4022-0268-1</t>
  </si>
  <si>
    <t>978-0-06-232610-2</t>
  </si>
  <si>
    <t>978-0-8118-3223-6</t>
  </si>
  <si>
    <t>978-0-8041-8603-2</t>
  </si>
  <si>
    <t>978-1-101-90647-7</t>
  </si>
  <si>
    <t>978-1-4162-0914-0</t>
  </si>
  <si>
    <t>978-1-58005-315-0</t>
  </si>
  <si>
    <t>978-1-932994-72-8</t>
  </si>
  <si>
    <t>978-0-307-39453-8</t>
  </si>
  <si>
    <t>978-0-7611-3960-7</t>
  </si>
  <si>
    <t>978-0-7611-8982-4</t>
  </si>
  <si>
    <t>978-87-92877-59-8</t>
  </si>
  <si>
    <t>978-0-87140-753-5</t>
  </si>
  <si>
    <t>978-0-14-310867-2</t>
  </si>
  <si>
    <t>978-0-393-34715-9</t>
  </si>
  <si>
    <t>978-1-4521-5175-5</t>
  </si>
  <si>
    <t>978-0-670-02497-1</t>
  </si>
  <si>
    <t>978-0-691-16059-7</t>
  </si>
  <si>
    <t>978-0-553-38216-7</t>
  </si>
  <si>
    <t>978-0-375-71439-9</t>
  </si>
  <si>
    <t>978-1-59420-306-0</t>
  </si>
  <si>
    <t>978-0-14-139503-6</t>
  </si>
  <si>
    <t>978-1-4143-9754-2</t>
  </si>
  <si>
    <t>978-0-8160-7338-2</t>
  </si>
  <si>
    <t>978-0-486-22430-5</t>
  </si>
  <si>
    <t>978-1-57168-104-1</t>
  </si>
  <si>
    <t>978-0-316-47852-6</t>
  </si>
  <si>
    <t>978-0-8122-2430-6</t>
  </si>
  <si>
    <t>978-0-7352-1093-6</t>
  </si>
  <si>
    <t>978-1-949017-25-0</t>
  </si>
  <si>
    <t>978-0-393-65169-0</t>
  </si>
  <si>
    <t>978-1-4516-5910-8</t>
  </si>
  <si>
    <t>978-1-101-87020-4</t>
  </si>
  <si>
    <t>978-0-525-57309-8</t>
  </si>
  <si>
    <t>978-1-63388-516-5</t>
  </si>
  <si>
    <t>978-0-525-52226-3</t>
  </si>
  <si>
    <t>978-1-61219-749-4</t>
  </si>
  <si>
    <t>978-1-984877-71-0</t>
  </si>
  <si>
    <t>978-1-940858-66-1</t>
  </si>
  <si>
    <t>978-0-8021-4785-1</t>
  </si>
  <si>
    <t>978-0-316-28654-1</t>
  </si>
  <si>
    <t>978-1-5011-6469-9</t>
  </si>
  <si>
    <t>978-0-06-266697-0</t>
  </si>
  <si>
    <t>978-0-14-313320-9</t>
  </si>
  <si>
    <t>978-1-62157-503-0</t>
  </si>
  <si>
    <t>978-0-14-313212-7</t>
  </si>
  <si>
    <t>Females</t>
  </si>
  <si>
    <t>978-1-78873-737-1</t>
  </si>
  <si>
    <t>978-0-385-54486-3</t>
  </si>
  <si>
    <t>978-0-393-60873-1</t>
  </si>
  <si>
    <t>978-0-525-53377-1</t>
  </si>
  <si>
    <t>978-0-593-13268-5</t>
  </si>
  <si>
    <t>978-1-78873-647-3</t>
  </si>
  <si>
    <t>978-0-7352-2199-4</t>
  </si>
  <si>
    <t>978-1-4683-1697-1</t>
  </si>
  <si>
    <t>978-0-393-24942-2</t>
  </si>
  <si>
    <t>978-0-691-18154-7</t>
  </si>
  <si>
    <t>978-1-982129-33-0</t>
  </si>
  <si>
    <t>978-1-62097-569-5</t>
  </si>
  <si>
    <t>978-0-8070-1955-9</t>
  </si>
  <si>
    <t>978-1-63388-454-0</t>
  </si>
  <si>
    <t>978-1-5011-6943-4</t>
  </si>
  <si>
    <t>978-0-8021-4726-4</t>
  </si>
  <si>
    <t>978-1-250-18894-6</t>
  </si>
  <si>
    <t>978-0-393-65270-3</t>
  </si>
  <si>
    <t>978-0-520-29912-2</t>
  </si>
  <si>
    <t>978-1-5416-1685-1</t>
  </si>
  <si>
    <t>978-1-5460-8603-1</t>
  </si>
  <si>
    <t>978-0-06-294571-6</t>
  </si>
  <si>
    <t>978-1-5416-1811-4</t>
  </si>
  <si>
    <t>978-0-253-04153-1</t>
  </si>
  <si>
    <t>978-1-5387-0177-5</t>
  </si>
  <si>
    <t>978-1-982115-24-1</t>
  </si>
  <si>
    <t>978-1-63557-998-7</t>
  </si>
  <si>
    <t>978-1-982116-78-1</t>
  </si>
  <si>
    <t>978-1-250-31175-7</t>
  </si>
  <si>
    <t>978-1-324-00365-6</t>
  </si>
  <si>
    <t>978-1-62157-988-5</t>
  </si>
  <si>
    <t>978-0-19-026596-0</t>
  </si>
  <si>
    <t>978-0-06-296009-2</t>
  </si>
  <si>
    <t>978-1-64177-025-5</t>
  </si>
  <si>
    <t>978-1-982129-73-6</t>
  </si>
  <si>
    <t>978-0-593-13415-3</t>
  </si>
  <si>
    <t>978-0-06-296579-0</t>
  </si>
  <si>
    <t>978-1-63149-442-0</t>
  </si>
  <si>
    <t>978-0-9976768-0-8</t>
  </si>
  <si>
    <t>978-1-982117-39-9</t>
  </si>
  <si>
    <t>978-0-670-78592-6</t>
  </si>
  <si>
    <t>978-0-300-24829-6</t>
  </si>
  <si>
    <t>978-1-78738-096-7</t>
  </si>
  <si>
    <t>978-1-250-14043-2</t>
  </si>
  <si>
    <t>978-1-5417-6219-0</t>
  </si>
  <si>
    <t>978-1-62616-680-6</t>
  </si>
  <si>
    <t>978-0-06-244962-7</t>
  </si>
  <si>
    <t>978-1-64177-054-5</t>
  </si>
  <si>
    <t>978-0-525-56357-0</t>
  </si>
  <si>
    <t>978-1-5017-1640-9</t>
  </si>
  <si>
    <t>978-1-4197-4246-0</t>
  </si>
  <si>
    <t>978-0-691-18229-2</t>
  </si>
  <si>
    <t>978-0-385-35352-6</t>
  </si>
  <si>
    <t>978-0-316-51232-9</t>
  </si>
  <si>
    <t>978-0-374-27788-8</t>
  </si>
  <si>
    <t>978-1-324-00421-9</t>
  </si>
  <si>
    <t>978-0-691-18124-0</t>
  </si>
  <si>
    <t>978-0-525-56034-0</t>
  </si>
  <si>
    <t>978-1-5387-4538-0</t>
  </si>
  <si>
    <t>978-1-5011-7633-3</t>
  </si>
  <si>
    <t>978-1-5011-8837-4</t>
  </si>
  <si>
    <t>978-0-7352-2098-0</t>
  </si>
  <si>
    <t>978-0-525-57547-4</t>
  </si>
  <si>
    <t>978-1-5011-7281-6</t>
  </si>
  <si>
    <t>978-1-250-13254-3</t>
  </si>
  <si>
    <t>978-1-5387-4708-7</t>
  </si>
  <si>
    <t>978-1-984823-98-4</t>
  </si>
  <si>
    <t>978-1-368-05224-5</t>
  </si>
  <si>
    <t>978-0-7352-2401-8</t>
  </si>
  <si>
    <t>978-1-61254-331-4</t>
  </si>
  <si>
    <t>978-1-948836-12-8</t>
  </si>
  <si>
    <t>978-0-451-49365-1</t>
  </si>
  <si>
    <t>978-1-61039-950-0</t>
  </si>
  <si>
    <t>978-1-63149-645-5</t>
  </si>
  <si>
    <t>978-0-393-65257-4</t>
  </si>
  <si>
    <t>978-1-101-94654-1</t>
  </si>
  <si>
    <t>978-1-62157-983-0</t>
  </si>
  <si>
    <t>978-0-06-286291-4</t>
  </si>
  <si>
    <t>978-1-982123-86-4</t>
  </si>
  <si>
    <t>978-0-8021-4798-1</t>
  </si>
  <si>
    <t>978-0-19-091683-1</t>
  </si>
  <si>
    <t>978-1-5381-3118-3</t>
  </si>
  <si>
    <t>978-1-63557-411-1</t>
  </si>
  <si>
    <t>978-1-5417-6265-7</t>
  </si>
  <si>
    <t>978-1-62097-379-0</t>
  </si>
  <si>
    <t>978-1-4926-8585-2</t>
  </si>
  <si>
    <t>978-0-525-55910-8</t>
  </si>
  <si>
    <t>978-1-58270-701-3</t>
  </si>
  <si>
    <t>978-0-374-16080-7</t>
  </si>
  <si>
    <t>978-1-60980-949-2</t>
  </si>
  <si>
    <t>978-0-06-237509-4</t>
  </si>
  <si>
    <t>978-0-374-17565-8</t>
  </si>
  <si>
    <t>978-0-316-48663-7</t>
  </si>
  <si>
    <t>978-1-63388-512-7</t>
  </si>
  <si>
    <t>978-0-7352-3393-5</t>
  </si>
  <si>
    <t>978-0-385-53880-0</t>
  </si>
  <si>
    <t>978-1-5011-6028-8</t>
  </si>
  <si>
    <t>978-1-4967-2081-8</t>
  </si>
  <si>
    <t>978-0-525-53896-7</t>
  </si>
  <si>
    <t>978-0-385-54440-5</t>
  </si>
  <si>
    <t>978-1-982114-09-1</t>
  </si>
  <si>
    <t>978-1-5011-8888-6</t>
  </si>
  <si>
    <t>978-1-68435-078-0</t>
  </si>
  <si>
    <t>978-0-06-285174-1</t>
  </si>
  <si>
    <t>978-0-19-086221-3</t>
  </si>
  <si>
    <t>978-1-4926-8774-0</t>
  </si>
  <si>
    <t>978-0-300-23485-5</t>
  </si>
  <si>
    <t>978-0-544-94448-0</t>
  </si>
  <si>
    <t>978-0-691-16431-1</t>
  </si>
  <si>
    <t>978-0-525-53373-3</t>
  </si>
  <si>
    <t>978-0-451-49569-3</t>
  </si>
  <si>
    <t>978-1-63557-010-6</t>
  </si>
  <si>
    <t>978-0-674-18501-2</t>
  </si>
  <si>
    <t>978-0-393-65224-6</t>
  </si>
  <si>
    <t>978-0-7352-1799-7</t>
  </si>
  <si>
    <t>©</t>
  </si>
  <si>
    <t>Materials - February 1, 2020 at 11:01:01 AM CST</t>
  </si>
  <si>
    <t>Call # starts with: NEW</t>
  </si>
  <si>
    <t>Excluding On-the-Fly Items</t>
  </si>
  <si>
    <t>Shelf Location</t>
  </si>
  <si>
    <t>Branch</t>
  </si>
  <si>
    <t>Biblio Status</t>
  </si>
  <si>
    <t>Material Status</t>
  </si>
  <si>
    <t>Usage</t>
  </si>
  <si>
    <t>OCLC</t>
  </si>
  <si>
    <t>WB</t>
  </si>
  <si>
    <t>In</t>
  </si>
  <si>
    <t>978-1-77046-369-1</t>
  </si>
  <si>
    <t>978-1-60945-545-3</t>
  </si>
  <si>
    <t>978-0-385-53930-2</t>
  </si>
  <si>
    <t>978-1-78125-997-9</t>
  </si>
  <si>
    <t>Problem</t>
  </si>
  <si>
    <t>978-0-316-51330-2</t>
  </si>
  <si>
    <t>LL</t>
  </si>
  <si>
    <t>Out</t>
  </si>
  <si>
    <t>978-0-292-75951-0</t>
  </si>
  <si>
    <t>978-1-78565-930-0</t>
  </si>
  <si>
    <t>978-0-316-18716-9</t>
  </si>
  <si>
    <t>978-0-374-15501-8</t>
  </si>
  <si>
    <t>978-0-7783-0791-4</t>
  </si>
  <si>
    <t>978-1-984806-09-3</t>
  </si>
  <si>
    <t>978-1-4967-2120-4</t>
  </si>
  <si>
    <t>978-1-250-16473-5</t>
  </si>
  <si>
    <t>978-1-984897-76-3</t>
  </si>
  <si>
    <t>978-1-984820-15-0</t>
  </si>
  <si>
    <t>Transit</t>
  </si>
  <si>
    <t>978-0-06-287834-2</t>
  </si>
  <si>
    <t>Followers</t>
  </si>
  <si>
    <t>978-1-5258-3626-8</t>
  </si>
  <si>
    <t>978-1-4767-4779-8</t>
  </si>
  <si>
    <t>978-1-931883-89-4</t>
  </si>
  <si>
    <t>978-1-250-20076-1</t>
  </si>
  <si>
    <t>978-1-984805-80-5</t>
  </si>
  <si>
    <t>978-0-525-53946-9</t>
  </si>
  <si>
    <t>978-0-316-52309-7</t>
  </si>
  <si>
    <t>978-0-544-82425-6</t>
  </si>
  <si>
    <t>978-0-385-54378-1</t>
  </si>
  <si>
    <t>Sanditon</t>
  </si>
  <si>
    <t>978-1-5387-3468-1</t>
  </si>
  <si>
    <t>Malina</t>
  </si>
  <si>
    <t>978-0-8112-2872-5</t>
  </si>
  <si>
    <t>978-1-5387-6160-1</t>
  </si>
  <si>
    <t>978-1-5387-5056-8</t>
  </si>
  <si>
    <t>978-0-593-09972-8</t>
  </si>
  <si>
    <t>978-93-88002-00-4</t>
  </si>
  <si>
    <t>978-1-250-31307-2</t>
  </si>
  <si>
    <t>978-1-250-20713-5</t>
  </si>
  <si>
    <t>978-0-385-54031-5</t>
  </si>
  <si>
    <t>978-1-250-15772-0</t>
  </si>
  <si>
    <t>978-1-5247-5958-2</t>
  </si>
  <si>
    <t>978-1-5258-0598-1</t>
  </si>
  <si>
    <t>978-1-4926-6690-5</t>
  </si>
  <si>
    <t>978-1-61695-963-0</t>
  </si>
  <si>
    <t>978-1-5420-0521-0</t>
  </si>
  <si>
    <t>978-1-984803-92-4</t>
  </si>
  <si>
    <t>978-1-984855-17-6</t>
  </si>
  <si>
    <t>978-1-250-29785-3</t>
  </si>
  <si>
    <t>978-1-932325-57-7</t>
  </si>
  <si>
    <t>978-1-250-13301-4</t>
  </si>
  <si>
    <t>978-0-310-33259-6</t>
  </si>
  <si>
    <t>978-1-250-11025-1</t>
  </si>
  <si>
    <t>978-0-06-287149-7</t>
  </si>
  <si>
    <t>978-1-63152-674-9</t>
  </si>
  <si>
    <t>Exposed</t>
  </si>
  <si>
    <t>978-1-939931-67-2</t>
  </si>
  <si>
    <t>978-1-4926-7886-1</t>
  </si>
  <si>
    <t>978-1-5247-3201-1</t>
  </si>
  <si>
    <t>978-0-451-49284-5</t>
  </si>
  <si>
    <t>978-1-250-05105-9</t>
  </si>
  <si>
    <t>978-1-883285-79-1</t>
  </si>
  <si>
    <t>978-0-425-28129-1</t>
  </si>
  <si>
    <t>978-0-525-51087-1</t>
  </si>
  <si>
    <t>978-1-5247-4493-9</t>
  </si>
  <si>
    <t>978-1-61620-975-9</t>
  </si>
  <si>
    <t>978-0-425-28594-7</t>
  </si>
  <si>
    <t>978-0-593-13000-1</t>
  </si>
  <si>
    <t>Outfox</t>
  </si>
  <si>
    <t>978-1-4555-7219-9</t>
  </si>
  <si>
    <t>978-0-8021-4793-6</t>
  </si>
  <si>
    <t>978-1-59606-892-6</t>
  </si>
  <si>
    <t>978-1-5387-4582-3</t>
  </si>
  <si>
    <t>978-1-68261-878-3</t>
  </si>
  <si>
    <t>978-1-250-31884-8</t>
  </si>
  <si>
    <t>978-0-06-291357-9</t>
  </si>
  <si>
    <t>978-1-62999-629-5</t>
  </si>
  <si>
    <t>978-0-316-45493-3</t>
  </si>
  <si>
    <t>978-1-62779-476-3</t>
  </si>
  <si>
    <t>978-1-64129-078-4</t>
  </si>
  <si>
    <t>Shamed</t>
  </si>
  <si>
    <t>978-1-250-14286-3</t>
  </si>
  <si>
    <t>Thirteen</t>
  </si>
  <si>
    <t>978-1-250-29760-0</t>
  </si>
  <si>
    <t>978-1-250-04732-8</t>
  </si>
  <si>
    <t>978-0-06-286885-5</t>
  </si>
  <si>
    <t>978-1-250-08733-1</t>
  </si>
  <si>
    <t>978-1-5387-3133-8</t>
  </si>
  <si>
    <t>978-0-525-55824-8</t>
  </si>
  <si>
    <t>Exhalation</t>
  </si>
  <si>
    <t>978-1-101-94788-3</t>
  </si>
  <si>
    <t>978-0-06-284113-1</t>
  </si>
  <si>
    <t>978-0-399-59354-3</t>
  </si>
  <si>
    <t>978-1-984802-68-2</t>
  </si>
  <si>
    <t>978-0-525-54172-1</t>
  </si>
  <si>
    <t>978-0-7278-8898-3</t>
  </si>
  <si>
    <t>978-1-5011-7170-3</t>
  </si>
  <si>
    <t>Pending</t>
  </si>
  <si>
    <t>978-1-4967-2517-2</t>
  </si>
  <si>
    <t>978-0-451-49086-5</t>
  </si>
  <si>
    <t>978-1-250-20444-8</t>
  </si>
  <si>
    <t>978-1-64129-027-2</t>
  </si>
  <si>
    <t>978-1-982129-70-5</t>
  </si>
  <si>
    <t>978-0-399-59059-7</t>
  </si>
  <si>
    <t>978-0-7180-8588-9</t>
  </si>
  <si>
    <t>978-0-525-65647-0</t>
  </si>
  <si>
    <t>978-1-250-14079-1</t>
  </si>
  <si>
    <t>978-1-5011-9968-4</t>
  </si>
  <si>
    <t>Mine</t>
  </si>
  <si>
    <t>978-1-5011-8454-3</t>
  </si>
  <si>
    <t>978-1-4967-2341-3</t>
  </si>
  <si>
    <t>978-0-06-291372-2</t>
  </si>
  <si>
    <t>978-0-316-48561-6</t>
  </si>
  <si>
    <t>978-1-982127-51-0</t>
  </si>
  <si>
    <t>Genesis</t>
  </si>
  <si>
    <t>978-0-525-54215-5</t>
  </si>
  <si>
    <t>978-1-62157-660-0</t>
  </si>
  <si>
    <t>978-0-06-256321-7</t>
  </si>
  <si>
    <t>Quantum</t>
  </si>
  <si>
    <t>978-1-5420-9406-1</t>
  </si>
  <si>
    <t>978-1-64129-064-7</t>
  </si>
  <si>
    <t>978-1-64129-061-6</t>
  </si>
  <si>
    <t>978-1-59051-058-2</t>
  </si>
  <si>
    <t>Labyrinth</t>
  </si>
  <si>
    <t>978-1-5011-9365-1</t>
  </si>
  <si>
    <t>978-0-525-53568-3</t>
  </si>
  <si>
    <t>978-0-06-247327-1</t>
  </si>
  <si>
    <t>978-0-06-227166-2</t>
  </si>
  <si>
    <t>978-0-385-54542-6</t>
  </si>
  <si>
    <t>Dominicana</t>
  </si>
  <si>
    <t>978-1-250-20593-3</t>
  </si>
  <si>
    <t>978-1-250-20976-4</t>
  </si>
  <si>
    <t>978-0-06-296456-4</t>
  </si>
  <si>
    <t>Kingdomtide</t>
  </si>
  <si>
    <t>978-0-316-42010-5</t>
  </si>
  <si>
    <t>978-0-525-54181-3</t>
  </si>
  <si>
    <t>978-0-7352-1726-3</t>
  </si>
  <si>
    <t>978-1-4967-2170-9</t>
  </si>
  <si>
    <t>978-1-4967-0959-2</t>
  </si>
  <si>
    <t>978-1-250-23966-2</t>
  </si>
  <si>
    <t>978-0-525-52127-3</t>
  </si>
  <si>
    <t>978-0-14-313393-3</t>
  </si>
  <si>
    <t>978-1-5247-4458-8</t>
  </si>
  <si>
    <t>978-0-525-53594-2</t>
  </si>
  <si>
    <t>978-0-8007-3653-8</t>
  </si>
  <si>
    <t>978-1-5247-9674-7</t>
  </si>
  <si>
    <t>978-1-984805-38-6</t>
  </si>
  <si>
    <t>978-1-5011-0175-5</t>
  </si>
  <si>
    <t>978-0-06-269816-2</t>
  </si>
  <si>
    <t>978-0-525-65563-3</t>
  </si>
  <si>
    <t>Cantoras</t>
  </si>
  <si>
    <t>978-0-525-52169-3</t>
  </si>
  <si>
    <t>978-1-250-20588-9</t>
  </si>
  <si>
    <t>978-0-7783-5124-5</t>
  </si>
  <si>
    <t>Banshee</t>
  </si>
  <si>
    <t>978-1-948340-11-3</t>
  </si>
  <si>
    <t>978-1-250-10348-2</t>
  </si>
  <si>
    <t>978-0-525-53924-7</t>
  </si>
  <si>
    <t>978-93-5302-598-4</t>
  </si>
  <si>
    <t>978-1-4964-1736-7</t>
  </si>
  <si>
    <t>978-0-316-49199-0</t>
  </si>
  <si>
    <t>Doppelg�nger</t>
  </si>
  <si>
    <t>978-0-8112-2891-6</t>
  </si>
  <si>
    <t>978-1-250-22547-4</t>
  </si>
  <si>
    <t>978-1-59376-578-1</t>
  </si>
  <si>
    <t>978-1-982103-42-2</t>
  </si>
  <si>
    <t>978-1-984805-68-3</t>
  </si>
  <si>
    <t>978-1-5420-9423-8</t>
  </si>
  <si>
    <t>978-0-593-09905-6</t>
  </si>
  <si>
    <t>978-0-7783-0918-5</t>
  </si>
  <si>
    <t>978-1-77196-307-7</t>
  </si>
  <si>
    <t>978-1-945814-93-8</t>
  </si>
  <si>
    <t>978-0-06-247365-3</t>
  </si>
  <si>
    <t>978-1-07-362656-4</t>
  </si>
  <si>
    <t>978-0-316-50972-5</t>
  </si>
  <si>
    <t>978-0-399-18019-4</t>
  </si>
  <si>
    <t>978-0-06-289544-8</t>
  </si>
  <si>
    <t>978-1-982129-58-3</t>
  </si>
  <si>
    <t>978-1-5011-1182-2</t>
  </si>
  <si>
    <t>978-0-8021-5698-3</t>
  </si>
  <si>
    <t>978-1-4967-1702-3</t>
  </si>
  <si>
    <t>978-0-525-51129-8</t>
  </si>
  <si>
    <t>978-1-984803-46-7</t>
  </si>
  <si>
    <t>978-1-250-31680-6</t>
  </si>
  <si>
    <t>978-1-250-31542-7</t>
  </si>
  <si>
    <t>978-1-5323-9828-5</t>
  </si>
  <si>
    <t>978-1-101-98584-7</t>
  </si>
  <si>
    <t>978-0-8007-3707-8</t>
  </si>
  <si>
    <t>978-1-5258-0512-7</t>
  </si>
  <si>
    <t>978-1-984805-17-1</t>
  </si>
  <si>
    <t>978-1-5011-9062-9</t>
  </si>
  <si>
    <t>978-1-5011-7181-9</t>
  </si>
  <si>
    <t>978-1-61775-751-8</t>
  </si>
  <si>
    <t>978-1-328-61419-3</t>
  </si>
  <si>
    <t>978-0-525-53679-6</t>
  </si>
  <si>
    <t>978-1-68144-129-0</t>
  </si>
  <si>
    <t>978-0-06-267673-3</t>
  </si>
  <si>
    <t>978-0-399-59230-0</t>
  </si>
  <si>
    <t>978-0-374-11801-3</t>
  </si>
  <si>
    <t>978-1-5247-4500-4</t>
  </si>
  <si>
    <t>978-0-06-291354-8</t>
  </si>
  <si>
    <t>978-1-984820-95-2</t>
  </si>
  <si>
    <t>Agency</t>
  </si>
  <si>
    <t>978-1-101-98693-6</t>
  </si>
  <si>
    <t>978-1-59463-473-4</t>
  </si>
  <si>
    <t>978-0-525-53559-1</t>
  </si>
  <si>
    <t>978-1-64009-242-6</t>
  </si>
  <si>
    <t>978-1-78681-969-7</t>
  </si>
  <si>
    <t>978-1-250-19479-4</t>
  </si>
  <si>
    <t>978-0-06-235643-7</t>
  </si>
  <si>
    <t>978-1-5344-2787-7</t>
  </si>
  <si>
    <t>978-0-7783-6885-4</t>
  </si>
  <si>
    <t>978-0-7783-0824-9</t>
  </si>
  <si>
    <t>978-0-451-49041-4</t>
  </si>
  <si>
    <t>978-0-06-294291-3</t>
  </si>
  <si>
    <t>Cleanness</t>
  </si>
  <si>
    <t>978-0-374-12458-8</t>
  </si>
  <si>
    <t>978-0-525-54184-4</t>
  </si>
  <si>
    <t>978-1-250-16422-3</t>
  </si>
  <si>
    <t>Tidelands</t>
  </si>
  <si>
    <t>978-1-5011-8715-5</t>
  </si>
  <si>
    <t>978-1-250-06679-4</t>
  </si>
  <si>
    <t>978-0-8021-4740-0</t>
  </si>
  <si>
    <t>978-0-385-54418-4</t>
  </si>
  <si>
    <t>978-0-385-54415-3</t>
  </si>
  <si>
    <t>Wyoming</t>
  </si>
  <si>
    <t>978-1-947793-44-6</t>
  </si>
  <si>
    <t>978-1-984802-21-7</t>
  </si>
  <si>
    <t>978-1-984802-19-4</t>
  </si>
  <si>
    <t>978-0-316-44539-9</t>
  </si>
  <si>
    <t>978-1-984806-37-6</t>
  </si>
  <si>
    <t>978-0-06-247669-2</t>
  </si>
  <si>
    <t>978-1-59853-642-3</t>
  </si>
  <si>
    <t>978-0-8007-2770-3</t>
  </si>
  <si>
    <t>978-1-948226-94-3</t>
  </si>
  <si>
    <t>978-1-982112-29-5</t>
  </si>
  <si>
    <t>978-1-5011-9990-5</t>
  </si>
  <si>
    <t>978-1-4814-9495-3</t>
  </si>
  <si>
    <t>978-0-525-65669-2</t>
  </si>
  <si>
    <t>978-0-316-42199-7</t>
  </si>
  <si>
    <t>978-1-984823-79-3</t>
  </si>
  <si>
    <t>978-0-525-56005-0</t>
  </si>
  <si>
    <t>978-0-374-16446-1</t>
  </si>
  <si>
    <t>978-1-982126-58-2</t>
  </si>
  <si>
    <t>978-0-85766-831-8</t>
  </si>
  <si>
    <t>978-1-5247-4490-8</t>
  </si>
  <si>
    <t>978-0-06-291025-7</t>
  </si>
  <si>
    <t>978-0-06-294120-6</t>
  </si>
  <si>
    <t>978-1-4926-4708-9</t>
  </si>
  <si>
    <t>978-0-316-42001-3</t>
  </si>
  <si>
    <t>978-0-316-43557-4</t>
  </si>
  <si>
    <t>978-1-4967-1590-6</t>
  </si>
  <si>
    <t>978-1-4967-1933-1</t>
  </si>
  <si>
    <t>978-0-06-220067-9</t>
  </si>
  <si>
    <t>978-0-06-239195-7</t>
  </si>
  <si>
    <t>978-1-5011-3757-0</t>
  </si>
  <si>
    <t>978-0-06-247355-4</t>
  </si>
  <si>
    <t>978-1-947993-60-0</t>
  </si>
  <si>
    <t>978-1-5420-4171-3</t>
  </si>
  <si>
    <t>978-1-5420-9257-9</t>
  </si>
  <si>
    <t>978-1-5039-0543-6</t>
  </si>
  <si>
    <t>978-0-525-61924-6</t>
  </si>
  <si>
    <t>978-0-525-53496-9</t>
  </si>
  <si>
    <t>978-1-5420-1642-1</t>
  </si>
  <si>
    <t>978-0-385-54464-1</t>
  </si>
  <si>
    <t>978-1-4967-1319-3</t>
  </si>
  <si>
    <t>978-0-00-831964-9</t>
  </si>
  <si>
    <t>978-0-7642-3415-6</t>
  </si>
  <si>
    <t>978-0-399-57457-3</t>
  </si>
  <si>
    <t>978-1-250-12045-8</t>
  </si>
  <si>
    <t>Stay</t>
  </si>
  <si>
    <t>978-1-5420-4240-6</t>
  </si>
  <si>
    <t>978-0-8021-4755-4</t>
  </si>
  <si>
    <t>978-1-62371-982-1</t>
  </si>
  <si>
    <t>978-1-988754-17-8</t>
  </si>
  <si>
    <t>978-0-06-285531-2</t>
  </si>
  <si>
    <t>Paranoid</t>
  </si>
  <si>
    <t>978-1-4967-2246-1</t>
  </si>
  <si>
    <t>978-1-984824-21-9</t>
  </si>
  <si>
    <t>978-1-984802-79-8</t>
  </si>
  <si>
    <t>Synapse</t>
  </si>
  <si>
    <t>978-0-7852-2525-6</t>
  </si>
  <si>
    <t>978-0-06-285343-1</t>
  </si>
  <si>
    <t>978-0-7783-0861-4</t>
  </si>
  <si>
    <t>978-1-5011-9010-0</t>
  </si>
  <si>
    <t>978-0-06-293595-3</t>
  </si>
  <si>
    <t>Hindsight</t>
  </si>
  <si>
    <t>978-1-5387-6292-9</t>
  </si>
  <si>
    <t>Smokescreen</t>
  </si>
  <si>
    <t>978-1-5387-1308-2</t>
  </si>
  <si>
    <t>978-0-525-52250-8</t>
  </si>
  <si>
    <t>978-0-06-289702-2</t>
  </si>
  <si>
    <t>978-1-984821-22-5</t>
  </si>
  <si>
    <t>978-1-250-24765-0</t>
  </si>
  <si>
    <t>978-1-982107-48-2</t>
  </si>
  <si>
    <t>978-1-5011-2142-5</t>
  </si>
  <si>
    <t>978-0-593-10034-9</t>
  </si>
  <si>
    <t>978-0-14-313498-5</t>
  </si>
  <si>
    <t>978-1-73200-649-2</t>
  </si>
  <si>
    <t>978-0-385-54547-1</t>
  </si>
  <si>
    <t>978-1-982106-98-0</t>
  </si>
  <si>
    <t>978-1-5420-4145-4</t>
  </si>
  <si>
    <t>978-1-982107-79-6</t>
  </si>
  <si>
    <t>978-0-06-291450-7</t>
  </si>
  <si>
    <t>978-1-59463-327-0</t>
  </si>
  <si>
    <t>978-1-910709-58-0</t>
  </si>
  <si>
    <t>978-0-374-16483-6</t>
  </si>
  <si>
    <t>978-1-982110-56-7</t>
  </si>
  <si>
    <t>978-0-593-13282-1</t>
  </si>
  <si>
    <t>978-0-7352-1792-8</t>
  </si>
  <si>
    <t>978-1-64286-041-2</t>
  </si>
  <si>
    <t>978-1-984804-06-8</t>
  </si>
  <si>
    <t>978-0-316-29400-3</t>
  </si>
  <si>
    <t>978-0-8112-2664-6</t>
  </si>
  <si>
    <t>978-1-984806-43-7</t>
  </si>
  <si>
    <t>978-1-4767-4929-7</t>
  </si>
  <si>
    <t>978-0-06-283430-0</t>
  </si>
  <si>
    <t>978-0-7564-1211-1</t>
  </si>
  <si>
    <t>978-0-451-49434-4</t>
  </si>
  <si>
    <t>978-1-4967-0985-1</t>
  </si>
  <si>
    <t>978-1-59606-910-7</t>
  </si>
  <si>
    <t>978-0-525-55765-4</t>
  </si>
  <si>
    <t>978-1-77196-269-8</t>
  </si>
  <si>
    <t>978-1-982135-70-6</t>
  </si>
  <si>
    <t>978-0-525-56618-2</t>
  </si>
  <si>
    <t>978-1-5011-9160-2</t>
  </si>
  <si>
    <t>978-1-5011-9163-3</t>
  </si>
  <si>
    <t>978-1-5011-9157-2</t>
  </si>
  <si>
    <t>978-1-5420-1725-1</t>
  </si>
  <si>
    <t>978-1-984878-87-8</t>
  </si>
  <si>
    <t>978-0-316-44092-9</t>
  </si>
  <si>
    <t>978-1-984821-21-8</t>
  </si>
  <si>
    <t>978-1-935070-55-9</t>
  </si>
  <si>
    <t>978-1-250-31792-6</t>
  </si>
  <si>
    <t>978-0-374-27778-9</t>
  </si>
  <si>
    <t>978-1-5387-6489-3</t>
  </si>
  <si>
    <t>978-1-4197-3908-8</t>
  </si>
  <si>
    <t>978-1-63286-984-5</t>
  </si>
  <si>
    <t>978-1-5420-4056-3</t>
  </si>
  <si>
    <t>978-0-7642-3307-4</t>
  </si>
  <si>
    <t>978-0-7642-3283-1</t>
  </si>
  <si>
    <t>978-0-7852-2140-1</t>
  </si>
  <si>
    <t>978-1-5247-4394-9</t>
  </si>
  <si>
    <t>978-1-250-18067-4</t>
  </si>
  <si>
    <t>978-0-06-239001-1</t>
  </si>
  <si>
    <t>Patience</t>
  </si>
  <si>
    <t>978-1-910296-99-8</t>
  </si>
  <si>
    <t>978-1-250-30603-6</t>
  </si>
  <si>
    <t>978-1-335-93803-9</t>
  </si>
  <si>
    <t>978-0-316-36340-2</t>
  </si>
  <si>
    <t>978-0-385-54425-2</t>
  </si>
  <si>
    <t>978-0-451-49237-1</t>
  </si>
  <si>
    <t>978-1-984818-23-2</t>
  </si>
  <si>
    <t>978-1-250-17550-2</t>
  </si>
  <si>
    <t>978-1-982126-76-6</t>
  </si>
  <si>
    <t>978-1-07-689460-1</t>
  </si>
  <si>
    <t>978-1-69643-411-9</t>
  </si>
  <si>
    <t>978-1-4201-4672-1</t>
  </si>
  <si>
    <t>978-0-374-53858-3</t>
  </si>
  <si>
    <t>978-1-5420-9280-7</t>
  </si>
  <si>
    <t>978-0-06-287555-6</t>
  </si>
  <si>
    <t>978-1-982106-76-8</t>
  </si>
  <si>
    <t>978-0-399-18139-9</t>
  </si>
  <si>
    <t>978-0-399-18133-7</t>
  </si>
  <si>
    <t>978-1-61620-981-0</t>
  </si>
  <si>
    <t>978-0-525-52136-5</t>
  </si>
  <si>
    <t>978-0-451-49278-4</t>
  </si>
  <si>
    <t>978-0-571-35425-2</t>
  </si>
  <si>
    <t>978-0-14-311052-1</t>
  </si>
  <si>
    <t>978-1-5011-7731-6</t>
  </si>
  <si>
    <t>Costalegre</t>
  </si>
  <si>
    <t>978-1-947793-36-1</t>
  </si>
  <si>
    <t>978-1-63557-325-1</t>
  </si>
  <si>
    <t>978-0-525-53939-1</t>
  </si>
  <si>
    <t>978-0-8021-4761-5</t>
  </si>
  <si>
    <t>978-0-06-295846-4</t>
  </si>
  <si>
    <t>978-1-5420-4035-8</t>
  </si>
  <si>
    <t>978-0-593-10003-5</t>
  </si>
  <si>
    <t>978-1-984822-13-0</t>
  </si>
  <si>
    <t>978-1-4736-8235-1</t>
  </si>
  <si>
    <t>978-1-250-07001-2</t>
  </si>
  <si>
    <t>978-0-393-08356-9</t>
  </si>
  <si>
    <t>978-1-250-30169-7</t>
  </si>
  <si>
    <t>978-1-4967-1454-1</t>
  </si>
  <si>
    <t>978-1-4967-2190-7</t>
  </si>
  <si>
    <t>978-1-335-47791-0</t>
  </si>
  <si>
    <t>978-1-4964-2710-6</t>
  </si>
  <si>
    <t>Conviction</t>
  </si>
  <si>
    <t>978-0-316-52850-4</t>
  </si>
  <si>
    <t>978-1-5011-6537-5</t>
  </si>
  <si>
    <t>978-0-06-290995-4</t>
  </si>
  <si>
    <t>978-1-946724-22-9</t>
  </si>
  <si>
    <t>978-1-948830-04-1</t>
  </si>
  <si>
    <t>978-0-525-54067-0</t>
  </si>
  <si>
    <t>978-0-385-54121-3</t>
  </si>
  <si>
    <t>978-1-250-26570-8</t>
  </si>
  <si>
    <t>978-1-73398-301-3</t>
  </si>
  <si>
    <t>978-0-399-56248-8</t>
  </si>
  <si>
    <t>978-1-944700-90-4</t>
  </si>
  <si>
    <t>978-1-250-31319-5</t>
  </si>
  <si>
    <t>978-0-8021-4751-6</t>
  </si>
  <si>
    <t>978-0-7278-8915-7</t>
  </si>
  <si>
    <t>978-1-984854-78-0</t>
  </si>
  <si>
    <t>Knife</t>
  </si>
  <si>
    <t>978-0-525-65539-8</t>
  </si>
  <si>
    <t>978-0-7653-9210-7</t>
  </si>
  <si>
    <t>978-1-250-31799-5</t>
  </si>
  <si>
    <t>978-1-984806-46-8</t>
  </si>
  <si>
    <t>978-0-8021-4791-2</t>
  </si>
  <si>
    <t>978-0-8129-9286-1</t>
  </si>
  <si>
    <t>Girl</t>
  </si>
  <si>
    <t>978-0-374-16255-9</t>
  </si>
  <si>
    <t>978-0-87286-772-7</t>
  </si>
  <si>
    <t>Isolde</t>
  </si>
  <si>
    <t>978-1-78227-477-3</t>
  </si>
  <si>
    <t>978-1-101-87060-0</t>
  </si>
  <si>
    <t>978-0-06-289987-3</t>
  </si>
  <si>
    <t>978-1-250-18581-5</t>
  </si>
  <si>
    <t>978-1-250-29563-7</t>
  </si>
  <si>
    <t>978-1-5420-4051-8</t>
  </si>
  <si>
    <t>978-1-78909-148-9</t>
  </si>
  <si>
    <t>978-0-7352-1909-0</t>
  </si>
  <si>
    <t>978-0-8112-2885-5</t>
  </si>
  <si>
    <t>978-1-335-14635-9</t>
  </si>
  <si>
    <t>978-0-399-57497-9</t>
  </si>
  <si>
    <t>978-0-06-266881-3</t>
  </si>
  <si>
    <t>978-0-525-56350-1</t>
  </si>
  <si>
    <t>978-0-06-296367-3</t>
  </si>
  <si>
    <t>978-1-63206-234-5</t>
  </si>
  <si>
    <t>978-0-316-42027-3</t>
  </si>
  <si>
    <t>978-0-316-52688-3</t>
  </si>
  <si>
    <t>978-0-316-52758-3</t>
  </si>
  <si>
    <t>978-0-316-42029-7</t>
  </si>
  <si>
    <t>Lost</t>
  </si>
  <si>
    <t>978-0-316-42032-7</t>
  </si>
  <si>
    <t>Unsolved</t>
  </si>
  <si>
    <t>978-0-316-41982-6</t>
  </si>
  <si>
    <t>978-1-5387-3252-6</t>
  </si>
  <si>
    <t>978-0-06-284327-2</t>
  </si>
  <si>
    <t>978-1-250-06621-3</t>
  </si>
  <si>
    <t>978-0-525-62101-0</t>
  </si>
  <si>
    <t>978-0-525-62098-3</t>
  </si>
  <si>
    <t>978-0-8021-4806-3</t>
  </si>
  <si>
    <t>978-0-06-286737-7</t>
  </si>
  <si>
    <t>978-1-984802-58-3</t>
  </si>
  <si>
    <t>978-1-250-29394-7</t>
  </si>
  <si>
    <t>978-0-525-65628-9</t>
  </si>
  <si>
    <t>978-0-525-57619-8</t>
  </si>
  <si>
    <t>978-0-525-65615-9</t>
  </si>
  <si>
    <t>978-1-5387-4722-3</t>
  </si>
  <si>
    <t>978-1-947793-34-7</t>
  </si>
  <si>
    <t>978-1-984803-78-8</t>
  </si>
  <si>
    <t>978-0-525-53811-0</t>
  </si>
  <si>
    <t>978-1-78565-857-0</t>
  </si>
  <si>
    <t>978-1-64129-070-8</t>
  </si>
  <si>
    <t>978-1-64385-235-5</t>
  </si>
  <si>
    <t>978-1-250-29772-3</t>
  </si>
  <si>
    <t>978-0-358-02393-7</t>
  </si>
  <si>
    <t>978-1-73303-770-9</t>
  </si>
  <si>
    <t>978-1-335-05027-4</t>
  </si>
  <si>
    <t>978-1-982108-69-4</t>
  </si>
  <si>
    <t>978-0-525-53994-0</t>
  </si>
  <si>
    <t>978-0-9997622-1-9</t>
  </si>
  <si>
    <t>978-1-08-157753-7</t>
  </si>
  <si>
    <t>978-0-525-54190-5</t>
  </si>
  <si>
    <t>978-1-5247-9862-8</t>
  </si>
  <si>
    <t>978-0-06-295219-6</t>
  </si>
  <si>
    <t>978-1-4926-9163-1</t>
  </si>
  <si>
    <t>978-0-06-289934-7</t>
  </si>
  <si>
    <t>978-1-5258-3151-5</t>
  </si>
  <si>
    <t>978-1-4814-8421-3</t>
  </si>
  <si>
    <t>978-1-250-20717-3</t>
  </si>
  <si>
    <t>978-1-250-12303-9</t>
  </si>
  <si>
    <t>978-1-250-20709-8</t>
  </si>
  <si>
    <t>978-0-06-284749-2</t>
  </si>
  <si>
    <t>978-0-593-19804-9</t>
  </si>
  <si>
    <t>978-1-101-99114-5</t>
  </si>
  <si>
    <t>978-1-68144-338-6</t>
  </si>
  <si>
    <t>978-1-945654-31-2</t>
  </si>
  <si>
    <t>978-1-948226-07-3</t>
  </si>
  <si>
    <t>978-1-5247-4196-9</t>
  </si>
  <si>
    <t>978-0-593-13298-2</t>
  </si>
  <si>
    <t>978-1-982109-58-5</t>
  </si>
  <si>
    <t>978-1-101-94774-6</t>
  </si>
  <si>
    <t>978-0-06-293686-8</t>
  </si>
  <si>
    <t>978-0-525-53661-1</t>
  </si>
  <si>
    <t>978-0-374-28011-6</t>
  </si>
  <si>
    <t>978-0-525-53964-3</t>
  </si>
  <si>
    <t>978-1-64009-258-7</t>
  </si>
  <si>
    <t>978-1-63557-447-0</t>
  </si>
  <si>
    <t>978-0-06-295217-2</t>
  </si>
  <si>
    <t>978-1-5247-4290-4</t>
  </si>
  <si>
    <t>978-0-06-283483-6</t>
  </si>
  <si>
    <t>978-0-451-49166-4</t>
  </si>
  <si>
    <t>978-0-593-09913-1</t>
  </si>
  <si>
    <t>978-0-06-285808-5</t>
  </si>
  <si>
    <t>978-1-984897-81-7</t>
  </si>
  <si>
    <t>978-1-5247-4821-0</t>
  </si>
  <si>
    <t>978-1-5247-4829-6</t>
  </si>
  <si>
    <t>978-1-5247-4782-4</t>
  </si>
  <si>
    <t>978-0-8007-2240-1</t>
  </si>
  <si>
    <t>978-1-4391-4025-3</t>
  </si>
  <si>
    <t>978-1-4998-6224-9</t>
  </si>
  <si>
    <t>978-0-525-55899-6</t>
  </si>
  <si>
    <t>978-1-5344-3986-3</t>
  </si>
  <si>
    <t>Crossing</t>
  </si>
  <si>
    <t>978-1-5247-4749-7</t>
  </si>
  <si>
    <t>978-1-5247-9768-3</t>
  </si>
  <si>
    <t>978-0-399-17950-1</t>
  </si>
  <si>
    <t>978-0-399-17941-9</t>
  </si>
  <si>
    <t>978-0-399-17947-1</t>
  </si>
  <si>
    <t>978-0-399-17953-2</t>
  </si>
  <si>
    <t>978-0-399-17944-0</t>
  </si>
  <si>
    <t>978-1-55597-847-1</t>
  </si>
  <si>
    <t>978-0-7278-8943-0</t>
  </si>
  <si>
    <t>978-0-06-245871-1</t>
  </si>
  <si>
    <t>978-1-328-73652-9</t>
  </si>
  <si>
    <t>978-0-399-56305-8</t>
  </si>
  <si>
    <t>978-0-8129-9654-8</t>
  </si>
  <si>
    <t>978-0-06-289536-3</t>
  </si>
  <si>
    <t>978-1-64313-197-9</t>
  </si>
  <si>
    <t>978-0-06-288602-6</t>
  </si>
  <si>
    <t>978-1-64123-213-5</t>
  </si>
  <si>
    <t>978-1-5247-9868-0</t>
  </si>
  <si>
    <t>978-1-5247-9872-7</t>
  </si>
  <si>
    <t>978-0-7783-0871-3</t>
  </si>
  <si>
    <t>978-0-451-49247-0</t>
  </si>
  <si>
    <t>978-1-250-17040-8</t>
  </si>
  <si>
    <t>978-0-316-44909-0</t>
  </si>
  <si>
    <t>978-1-250-30614-2</t>
  </si>
  <si>
    <t>978-0-525-54133-2</t>
  </si>
  <si>
    <t>978-1-56689-550-7</t>
  </si>
  <si>
    <t>978-1-64385-132-7</t>
  </si>
  <si>
    <t>978-1-61695-650-9</t>
  </si>
  <si>
    <t>978-1-64129-076-0</t>
  </si>
  <si>
    <t>978-0-7783-0872-0</t>
  </si>
  <si>
    <t>Carbon</t>
  </si>
  <si>
    <t>978-1-949140-13-2</t>
  </si>
  <si>
    <t>978-0-06-287723-9</t>
  </si>
  <si>
    <t>978-1-5420-0513-5</t>
  </si>
  <si>
    <t>978-0-14-313366-7</t>
  </si>
  <si>
    <t>978-0-7352-1115-5</t>
  </si>
  <si>
    <t>978-1-5039-0366-1</t>
  </si>
  <si>
    <t>978-1-59051-969-1</t>
  </si>
  <si>
    <t>978-0-525-56202-3</t>
  </si>
  <si>
    <t>978-1-984805-84-3</t>
  </si>
  <si>
    <t>978-0-316-45157-4</t>
  </si>
  <si>
    <t>978-1-982104-52-8</t>
  </si>
  <si>
    <t>978-0-525-52277-5</t>
  </si>
  <si>
    <t>978-0-7783-0883-6</t>
  </si>
  <si>
    <t>978-1-5011-9503-7</t>
  </si>
  <si>
    <t>978-1-982135-47-8</t>
  </si>
  <si>
    <t>978-1-5011-8877-0</t>
  </si>
  <si>
    <t>978-1-68137-387-4</t>
  </si>
  <si>
    <t>978-1-250-15977-9</t>
  </si>
  <si>
    <t>978-0-316-25130-3</t>
  </si>
  <si>
    <t>978-1-5011-3348-0</t>
  </si>
  <si>
    <t>978-1-101-96657-0</t>
  </si>
  <si>
    <t>978-0-399-18210-5</t>
  </si>
  <si>
    <t>978-0-06-288626-2</t>
  </si>
  <si>
    <t>978-0-385-53707-0</t>
  </si>
  <si>
    <t>978-0-7180-8305-2</t>
  </si>
  <si>
    <t>978-0-06-242558-4</t>
  </si>
  <si>
    <t>978-1-4967-2086-3</t>
  </si>
  <si>
    <t>978-0-06-293109-2</t>
  </si>
  <si>
    <t>978-0-06-266031-2</t>
  </si>
  <si>
    <t>978-1-63557-420-3</t>
  </si>
  <si>
    <t>978-0-06-291346-3</t>
  </si>
  <si>
    <t>978-0-525-54231-5</t>
  </si>
  <si>
    <t>978-0-8021-2949-9</t>
  </si>
  <si>
    <t>Contraband</t>
  </si>
  <si>
    <t>978-0-593-08313-0</t>
  </si>
  <si>
    <t>Stealth</t>
  </si>
  <si>
    <t>978-0-593-08316-1</t>
  </si>
  <si>
    <t>Treason</t>
  </si>
  <si>
    <t>978-0-593-08319-2</t>
  </si>
  <si>
    <t>978-0-525-53527-0</t>
  </si>
  <si>
    <t>Zuleikha</t>
  </si>
  <si>
    <t>978-1-78607-350-1</t>
  </si>
  <si>
    <t>978-0-299-32090-4</t>
  </si>
  <si>
    <t>978-1-984820-98-3</t>
  </si>
  <si>
    <t>Copperhead</t>
  </si>
  <si>
    <t>978-1-984877-28-4</t>
  </si>
  <si>
    <t>978-0-87565-718-9</t>
  </si>
  <si>
    <t>978-0-06-287778-9</t>
  </si>
  <si>
    <t>Abbott</t>
  </si>
  <si>
    <t>978-1-68415-245-2</t>
  </si>
  <si>
    <t>978-1-5343-1440-5</t>
  </si>
  <si>
    <t>978-0-393-63564-5</t>
  </si>
  <si>
    <t>978-1-78578-514-6</t>
  </si>
  <si>
    <t>978-1-77046-359-2</t>
  </si>
  <si>
    <t>978-1-77046-373-8</t>
  </si>
  <si>
    <t>978-1-68415-427-2</t>
  </si>
  <si>
    <t>Sara</t>
  </si>
  <si>
    <t>978-1-73274-853-8</t>
  </si>
  <si>
    <t>978-1-984801-51-7</t>
  </si>
  <si>
    <t>978-1-5067-0979-6</t>
  </si>
  <si>
    <t>Grass</t>
  </si>
  <si>
    <t>978-1-77046-362-2</t>
  </si>
  <si>
    <t>978-0-375-42540-0</t>
  </si>
  <si>
    <t>978-1-984855-35-0</t>
  </si>
  <si>
    <t>978-1-5011-6895-6</t>
  </si>
  <si>
    <t>978-0-440-42325-6</t>
  </si>
  <si>
    <t>978-1-77950-049-6</t>
  </si>
  <si>
    <t>978-1-250-15371-5</t>
  </si>
  <si>
    <t>978-1-250-15370-8</t>
  </si>
  <si>
    <t>978-1-68112-139-0</t>
  </si>
  <si>
    <t>978-1-982149-27-7</t>
  </si>
  <si>
    <t>978-1-68247-471-6</t>
  </si>
  <si>
    <t>978-1-78627-415-1</t>
  </si>
  <si>
    <t>978-1-59465-619-4</t>
  </si>
  <si>
    <t>978-1-250-15066-0</t>
  </si>
  <si>
    <t>978-1-64337-571-7</t>
  </si>
  <si>
    <t>978-1-60309-450-4</t>
  </si>
  <si>
    <t>978-0-375-42432-8</t>
  </si>
  <si>
    <t>978-1-4197-3674-2</t>
  </si>
  <si>
    <t>978-0-19-069288-9</t>
  </si>
  <si>
    <t>978-0-399-56442-0</t>
  </si>
  <si>
    <t>978-0-316-52524-4</t>
  </si>
  <si>
    <t>978-1-5417-7375-2</t>
  </si>
  <si>
    <t>978-1-4521-6723-7</t>
  </si>
  <si>
    <t>978-1-63388-377-2</t>
  </si>
  <si>
    <t>978-0-525-53858-5</t>
  </si>
  <si>
    <t>978-1-250-15907-6</t>
  </si>
  <si>
    <t>978-1-250-21284-9</t>
  </si>
  <si>
    <t>978-1-61620-728-1</t>
  </si>
  <si>
    <t>978-1-63388-522-6</t>
  </si>
  <si>
    <t>978-0-7624-6787-7</t>
  </si>
  <si>
    <t>978-0-316-47030-8</t>
  </si>
  <si>
    <t>Conscious</t>
  </si>
  <si>
    <t>978-0-06-290671-7</t>
  </si>
  <si>
    <t>978-1-68137-397-3</t>
  </si>
  <si>
    <t>978-0-374-23721-9</t>
  </si>
  <si>
    <t>978-0-06-294338-5</t>
  </si>
  <si>
    <t>978-1-4521-6886-9</t>
  </si>
  <si>
    <t>978-1-68442-372-9</t>
  </si>
  <si>
    <t>978-1-250-29719-8</t>
  </si>
  <si>
    <t>978-1-948836-53-1</t>
  </si>
  <si>
    <t>978-0-7352-1947-2</t>
  </si>
  <si>
    <t>978-0-7352-1448-4</t>
  </si>
  <si>
    <t>978-0-393-65142-3</t>
  </si>
  <si>
    <t>978-1-250-19624-8</t>
  </si>
  <si>
    <t>978-1-5387-1483-6</t>
  </si>
  <si>
    <t>978-0-525-54218-6</t>
  </si>
  <si>
    <t>978-1-5416-9937-3</t>
  </si>
  <si>
    <t>978-1-5011-9273-9</t>
  </si>
  <si>
    <t>978-1-101-98038-5</t>
  </si>
  <si>
    <t>978-1-250-21082-1</t>
  </si>
  <si>
    <t>978-0-358-00332-8</t>
  </si>
  <si>
    <t>978-0-7382-8572-6</t>
  </si>
  <si>
    <t>978-1-911630-21-0</t>
  </si>
  <si>
    <t>978-0-7352-1877-2</t>
  </si>
  <si>
    <t>978-0-06-265244-7</t>
  </si>
  <si>
    <t>978-1-4019-5716-2</t>
  </si>
  <si>
    <t>978-0-525-52281-2</t>
  </si>
  <si>
    <t>978-1-4019-5744-5</t>
  </si>
  <si>
    <t>978-1-4521-7654-3</t>
  </si>
  <si>
    <t>978-1-4002-1433-4</t>
  </si>
  <si>
    <t>978-1-982113-22-3</t>
  </si>
  <si>
    <t>978-1-85675-401-9</t>
  </si>
  <si>
    <t>978-0-525-53499-0</t>
  </si>
  <si>
    <t>978-0-7352-1400-2</t>
  </si>
  <si>
    <t>978-0-393-65249-9</t>
  </si>
  <si>
    <t>978-0-525-53729-8</t>
  </si>
  <si>
    <t>978-1-5247-5975-9</t>
  </si>
  <si>
    <t>978-0-7624-6845-4</t>
  </si>
  <si>
    <t>978-1-984817-06-8</t>
  </si>
  <si>
    <t>978-1-982133-51-1</t>
  </si>
  <si>
    <t>978-1-982135-88-1</t>
  </si>
  <si>
    <t>978-0-06-268363-2</t>
  </si>
  <si>
    <t>978-1-982138-79-0</t>
  </si>
  <si>
    <t>978-0-06-294816-8</t>
  </si>
  <si>
    <t>978-1-250-30750-7</t>
  </si>
  <si>
    <t>978-0-525-54010-6</t>
  </si>
  <si>
    <t>978-1-5011-4772-2</t>
  </si>
  <si>
    <t>978-1-250-20039-6</t>
  </si>
  <si>
    <t>978-0-06-274953-6</t>
  </si>
  <si>
    <t>978-0-691-17944-5</t>
  </si>
  <si>
    <t>978-0-14-313453-4</t>
  </si>
  <si>
    <t>978-1-5416-7263-5</t>
  </si>
  <si>
    <t>978-0-316-49252-2</t>
  </si>
  <si>
    <t>978-1-5064-4956-2</t>
  </si>
  <si>
    <t>978-0-8007-2883-0</t>
  </si>
  <si>
    <t>978-0-310-45407-6</t>
  </si>
  <si>
    <t>Gracelaced</t>
  </si>
  <si>
    <t>978-0-7369-6904-8</t>
  </si>
  <si>
    <t>978-1-948626-04-0</t>
  </si>
  <si>
    <t>978-1-63253-282-4</t>
  </si>
  <si>
    <t>978-0-7352-2523-7</t>
  </si>
  <si>
    <t>978-1-5460-1016-6</t>
  </si>
  <si>
    <t>978-0-7369-7222-2</t>
  </si>
  <si>
    <t>978-0-8007-2349-1</t>
  </si>
  <si>
    <t>978-1-5064-3373-8</t>
  </si>
  <si>
    <t>978-1-64279-499-1</t>
  </si>
  <si>
    <t>978-1-984824-12-7</t>
  </si>
  <si>
    <t>978-0-06-279711-7</t>
  </si>
  <si>
    <t>978-1-4002-0841-8</t>
  </si>
  <si>
    <t>978-0-300-24141-9</t>
  </si>
  <si>
    <t>978-1-5018-8827-4</t>
  </si>
  <si>
    <t>978-0-451-49486-3</t>
  </si>
  <si>
    <t>978-0-300-24622-3</t>
  </si>
  <si>
    <t>978-1-250-11938-4</t>
  </si>
  <si>
    <t>978-0-307-33833-4</t>
  </si>
  <si>
    <t>978-1-61180-565-9</t>
  </si>
  <si>
    <t>978-0-14-313404-6</t>
  </si>
  <si>
    <t>978-1-4019-5896-1</t>
  </si>
  <si>
    <t>978-1-57965-893-9</t>
  </si>
  <si>
    <t>978-0-525-51071-0</t>
  </si>
  <si>
    <t>978-0-593-13014-8</t>
  </si>
  <si>
    <t>978-1-984826-06-0</t>
  </si>
  <si>
    <t>978-1-324-00425-7</t>
  </si>
  <si>
    <t>978-0-06-285305-9</t>
  </si>
  <si>
    <t>978-1-328-51900-9</t>
  </si>
  <si>
    <t>978-0-525-53709-0</t>
  </si>
  <si>
    <t>978-1-5247-4338-3</t>
  </si>
  <si>
    <t>978-0-399-56279-2</t>
  </si>
  <si>
    <t>978-0-316-50908-4</t>
  </si>
  <si>
    <t>978-1-5416-1851-0</t>
  </si>
  <si>
    <t>978-1-78868-636-5</t>
  </si>
  <si>
    <t>978-1-78868-619-8</t>
  </si>
  <si>
    <t>978-1-324-00331-1</t>
  </si>
  <si>
    <t>978-0-393-60921-9</t>
  </si>
  <si>
    <t>978-1-5247-4301-7</t>
  </si>
  <si>
    <t>978-0-393-24214-0</t>
  </si>
  <si>
    <t>978-1-64313-217-4</t>
  </si>
  <si>
    <t>978-1-4262-2055-5</t>
  </si>
  <si>
    <t>978-0-316-44961-8</t>
  </si>
  <si>
    <t>978-1-984824-14-1</t>
  </si>
  <si>
    <t>978-1-61620-560-7</t>
  </si>
  <si>
    <t>978-1-5011-8849-7</t>
  </si>
  <si>
    <t>978-1-5247-4341-3</t>
  </si>
  <si>
    <t>978-0-06-297136-4</t>
  </si>
  <si>
    <t>978-1-328-97245-3</t>
  </si>
  <si>
    <t>978-0-674-72532-4</t>
  </si>
  <si>
    <t>978-0-306-84648-9</t>
  </si>
  <si>
    <t>978-1-5247-4418-2</t>
  </si>
  <si>
    <t>978-0-316-45332-5</t>
  </si>
  <si>
    <t>978-1-5247-4702-2</t>
  </si>
  <si>
    <t>978-0-06-288282-0</t>
  </si>
  <si>
    <t>978-0-7624-9412-5</t>
  </si>
  <si>
    <t>978-1-5011-8426-0</t>
  </si>
  <si>
    <t>978-1-68403-331-7</t>
  </si>
  <si>
    <t>978-1-982115-39-5</t>
  </si>
  <si>
    <t>978-1-4019-5666-0</t>
  </si>
  <si>
    <t>978-1-5011-9197-8</t>
  </si>
  <si>
    <t>978-1-64313-127-6</t>
  </si>
  <si>
    <t>978-1-940358-36-9</t>
  </si>
  <si>
    <t>978-0-06-291593-1</t>
  </si>
  <si>
    <t>978-0-525-53603-1</t>
  </si>
  <si>
    <t>978-0-300-19221-6</t>
  </si>
  <si>
    <t>978-0-8129-9883-2</t>
  </si>
  <si>
    <t>978-0-399-58281-3</t>
  </si>
  <si>
    <t>978-0-8021-2743-3</t>
  </si>
  <si>
    <t>978-0-525-56127-9</t>
  </si>
  <si>
    <t>978-0-87140-446-6</t>
  </si>
  <si>
    <t>978-1-984825-05-6</t>
  </si>
  <si>
    <t>978-1-4019-5682-0</t>
  </si>
  <si>
    <t>978-1-5387-1528-4</t>
  </si>
  <si>
    <t>978-1-5416-9952-6</t>
  </si>
  <si>
    <t>978-0-316-47032-2</t>
  </si>
  <si>
    <t>978-0-525-53422-8</t>
  </si>
  <si>
    <t>978-1-5247-4359-8</t>
  </si>
  <si>
    <t>978-1-5011-4059-4</t>
  </si>
  <si>
    <t>978-1-60469-973-9</t>
  </si>
  <si>
    <t>978-1-60469-370-6</t>
  </si>
  <si>
    <t>978-1-60469-670-7</t>
  </si>
  <si>
    <t>978-0-374-28000-0</t>
  </si>
  <si>
    <t>978-1-5247-3236-3</t>
  </si>
  <si>
    <t>978-1-5247-4304-8</t>
  </si>
  <si>
    <t>978-1-5011-7500-8</t>
  </si>
  <si>
    <t>978-1-328-54396-7</t>
  </si>
  <si>
    <t>978-1-4197-3868-5</t>
  </si>
  <si>
    <t>978-1-328-58503-5</t>
  </si>
  <si>
    <t>978-1-4926-7519-8</t>
  </si>
  <si>
    <t>978-1-78713-242-9</t>
  </si>
  <si>
    <t>978-1-328-50825-6</t>
  </si>
  <si>
    <t>978-1-328-66225-5</t>
  </si>
  <si>
    <t>978-1-936787-79-1</t>
  </si>
  <si>
    <t>978-1-62097-251-9</t>
  </si>
  <si>
    <t>978-1-57284-267-0</t>
  </si>
  <si>
    <t>978-1-4197-3635-3</t>
  </si>
  <si>
    <t>978-1-77041-435-8</t>
  </si>
  <si>
    <t>978-1-4654-9421-4</t>
  </si>
  <si>
    <t>978-0-06-256137-4</t>
  </si>
  <si>
    <t>978-1-4197-3473-1</t>
  </si>
  <si>
    <t>978-0-385-34591-0</t>
  </si>
  <si>
    <t>978-0-316-45313-4</t>
  </si>
  <si>
    <t>978-1-945256-04-2</t>
  </si>
  <si>
    <t>978-1-328-63134-3</t>
  </si>
  <si>
    <t>978-0-451-49701-7</t>
  </si>
  <si>
    <t>978-1-984825-53-7</t>
  </si>
  <si>
    <t>978-1-4019-5713-1</t>
  </si>
  <si>
    <t>978-1-984857-08-8</t>
  </si>
  <si>
    <t>978-1-62860-369-9</t>
  </si>
  <si>
    <t>978-0-06-241343-7</t>
  </si>
  <si>
    <t>978-0-525-57588-7</t>
  </si>
  <si>
    <t>978-0-358-00441-7</t>
  </si>
  <si>
    <t>978-1-5247-3308-7</t>
  </si>
  <si>
    <t>978-1-4262-2013-5</t>
  </si>
  <si>
    <t>978-1-62414-554-4</t>
  </si>
  <si>
    <t>978-1-328-98812-6</t>
  </si>
  <si>
    <t>978-1-78472-575-4</t>
  </si>
  <si>
    <t>978-1-4521-5586-9</t>
  </si>
  <si>
    <t>978-1-4930-4146-6</t>
  </si>
  <si>
    <t>978-1-62860-394-1</t>
  </si>
  <si>
    <t>978-1-945256-73-8</t>
  </si>
  <si>
    <t>978-1-5387-3190-1</t>
  </si>
  <si>
    <t>978-1-4521-7873-8</t>
  </si>
  <si>
    <t>978-0-8478-6698-4</t>
  </si>
  <si>
    <t>978-0-316-42309-0</t>
  </si>
  <si>
    <t>978-0-525-57661-7</t>
  </si>
  <si>
    <t>978-1-982131-24-1</t>
  </si>
  <si>
    <t>978-0-7369-7414-1</t>
  </si>
  <si>
    <t>978-1-4236-5215-1</t>
  </si>
  <si>
    <t>978-0-7624-6482-1</t>
  </si>
  <si>
    <t>978-2-08-020412-7</t>
  </si>
  <si>
    <t>978-0-14-313194-6</t>
  </si>
  <si>
    <t>978-1-60286-590-7</t>
  </si>
  <si>
    <t>978-0-06-289369-7</t>
  </si>
  <si>
    <t>978-1-250-19360-5</t>
  </si>
  <si>
    <t>978-0-06-287996-7</t>
  </si>
  <si>
    <t>978-0-9963079-6-3</t>
  </si>
  <si>
    <t>978-0-06-288021-5</t>
  </si>
  <si>
    <t>978-0-525-54193-6</t>
  </si>
  <si>
    <t>978-0-06-285268-7</t>
  </si>
  <si>
    <t>978-1-56858-822-3</t>
  </si>
  <si>
    <t>978-1-984825-19-3</t>
  </si>
  <si>
    <t>978-0-399-59209-6</t>
  </si>
  <si>
    <t>978-1-63369-878-9</t>
  </si>
  <si>
    <t>978-0-7352-1350-0</t>
  </si>
  <si>
    <t>978-0-374-27975-2</t>
  </si>
  <si>
    <t>978-0-06-293667-7</t>
  </si>
  <si>
    <t>978-90-6369-531-6</t>
  </si>
  <si>
    <t>978-1-62153-715-1</t>
  </si>
  <si>
    <t>978-0-393-25487-7</t>
  </si>
  <si>
    <t>978-1-63345-077-6</t>
  </si>
  <si>
    <t>978-1-84976-627-2</t>
  </si>
  <si>
    <t>978-1-984880-25-3</t>
  </si>
  <si>
    <t>978-0-500-48025-0</t>
  </si>
  <si>
    <t>978-0-358-06728-3</t>
  </si>
  <si>
    <t>978-0-06-297658-1</t>
  </si>
  <si>
    <t>978-1-250-22513-9</t>
  </si>
  <si>
    <t>978-1-59853-616-4</t>
  </si>
  <si>
    <t>978-0-06-297070-1</t>
  </si>
  <si>
    <t>978-1-5248-5062-3</t>
  </si>
  <si>
    <t>978-0-241-36635-6</t>
  </si>
  <si>
    <t>978-1-68188-999-3</t>
  </si>
  <si>
    <t>978-1-4521-7020-6</t>
  </si>
  <si>
    <t>978-0-06-287862-5</t>
  </si>
  <si>
    <t>978-1-4971-0016-9</t>
  </si>
  <si>
    <t>978-1-63149-480-2</t>
  </si>
  <si>
    <t>978-1-63586-028-3</t>
  </si>
  <si>
    <t>978-1-4197-3380-2</t>
  </si>
  <si>
    <t>978-0-399-57957-8</t>
  </si>
  <si>
    <t>978-1-63250-690-0</t>
  </si>
  <si>
    <t>978-0-7624-9381-4</t>
  </si>
  <si>
    <t>978-1-944515-85-0</t>
  </si>
  <si>
    <t>978-4-8053-1518-7</t>
  </si>
  <si>
    <t>978-1-4197-3279-9</t>
  </si>
  <si>
    <t>978-1-78494-512-1</t>
  </si>
  <si>
    <t>978-1-68356-031-9</t>
  </si>
  <si>
    <t>978-1-61180-773-8</t>
  </si>
  <si>
    <t>978-1-78713-278-8</t>
  </si>
  <si>
    <t>978-1-5247-6350-3</t>
  </si>
  <si>
    <t>978-0-593-08625-4</t>
  </si>
  <si>
    <t>978-0-525-52065-8</t>
  </si>
  <si>
    <t>978-1-5416-4436-6</t>
  </si>
  <si>
    <t>978-1-250-23096-6</t>
  </si>
  <si>
    <t>978-1-5387-3214-4</t>
  </si>
  <si>
    <t>978-1-4197-3483-0</t>
  </si>
  <si>
    <t>978-0-358-18172-9</t>
  </si>
  <si>
    <t>978-1-250-16519-0</t>
  </si>
  <si>
    <t>978-1-250-25662-1</t>
  </si>
  <si>
    <t>978-0-7624-9605-1</t>
  </si>
  <si>
    <t>978-1-5387-3019-5</t>
  </si>
  <si>
    <t>978-1-984826-21-3</t>
  </si>
  <si>
    <t>978-1-328-50785-3</t>
  </si>
  <si>
    <t>978-0-525-53466-2</t>
  </si>
  <si>
    <t>978-1-63565-359-5</t>
  </si>
  <si>
    <t>978-0-06-290595-6</t>
  </si>
  <si>
    <t>978-0-385-54374-3</t>
  </si>
  <si>
    <t>978-0-316-48188-5</t>
  </si>
  <si>
    <t>978-1-68137-405-5</t>
  </si>
  <si>
    <t>978-0-465-04268-5</t>
  </si>
  <si>
    <t>978-1-56689-560-6</t>
  </si>
  <si>
    <t>978-1-328-51194-2</t>
  </si>
  <si>
    <t>978-1-55659-486-1</t>
  </si>
  <si>
    <t>978-0-465-09450-9</t>
  </si>
  <si>
    <t>978-0-8229-4566-6</t>
  </si>
  <si>
    <t>978-1-55597-848-8</t>
  </si>
  <si>
    <t>978-1-55597-831-0</t>
  </si>
  <si>
    <t>978-1-946482-18-1</t>
  </si>
  <si>
    <t>Feed</t>
  </si>
  <si>
    <t>978-1-947793-57-6</t>
  </si>
  <si>
    <t>Dunce</t>
  </si>
  <si>
    <t>978-1-940696-85-0</t>
  </si>
  <si>
    <t>978-0-525-65565-7</t>
  </si>
  <si>
    <t>978-1-57131-520-5</t>
  </si>
  <si>
    <t>978-1-55659-559-2</t>
  </si>
  <si>
    <t>978-1-5011-8283-9</t>
  </si>
  <si>
    <t>978-1-328-46580-1</t>
  </si>
  <si>
    <t>978-0-8142-5543-8</t>
  </si>
  <si>
    <t>978-1-4773-1868-3</t>
  </si>
  <si>
    <t>978-0-316-49289-8</t>
  </si>
  <si>
    <t>978-0-385-69238-0</t>
  </si>
  <si>
    <t>Surfacing</t>
  </si>
  <si>
    <t>978-0-14-313445-9</t>
  </si>
  <si>
    <t>978-0-316-25963-7</t>
  </si>
  <si>
    <t>978-0-525-51054-3</t>
  </si>
  <si>
    <t>Axiomatic</t>
  </si>
  <si>
    <t>978-1-945492-29-7</t>
  </si>
  <si>
    <t>978-0-374-28006-2</t>
  </si>
  <si>
    <t>978-0-525-57506-1</t>
  </si>
  <si>
    <t>978-0-358-09316-9</t>
  </si>
  <si>
    <t>978-1-984879-58-5</t>
  </si>
  <si>
    <t>978-0-525-56110-1</t>
  </si>
  <si>
    <t>978-1-982130-85-5</t>
  </si>
  <si>
    <t>978-1-4197-3450-2</t>
  </si>
  <si>
    <t>978-1-328-60437-8</t>
  </si>
  <si>
    <t>978-1-328-48424-6</t>
  </si>
  <si>
    <t>978-1-328-63609-6</t>
  </si>
  <si>
    <t>978-0-593-12913-5</t>
  </si>
  <si>
    <t>978-0-06-286804-6</t>
  </si>
  <si>
    <t>978-0-385-54176-3</t>
  </si>
  <si>
    <t>978-0-262-04283-3</t>
  </si>
  <si>
    <t>978-1-5387-6467-1</t>
  </si>
  <si>
    <t>978-1-5235-0648-4</t>
  </si>
  <si>
    <t>978-0-358-09423-4</t>
  </si>
  <si>
    <t>978-1-5381-1532-9</t>
  </si>
  <si>
    <t>978-1-5011-7672-2</t>
  </si>
  <si>
    <t>978-1-9999179-6-8</t>
  </si>
  <si>
    <t>978-1-64313-125-2</t>
  </si>
  <si>
    <t>978-1-61519-625-8</t>
  </si>
  <si>
    <t>978-0-451-49395-8</t>
  </si>
  <si>
    <t>978-0-525-62161-4</t>
  </si>
  <si>
    <t>978-0-8021-2508-8</t>
  </si>
  <si>
    <t>978-0-316-50862-9</t>
  </si>
  <si>
    <t>978-0-451-49350-7</t>
  </si>
  <si>
    <t>978-1-5011-7841-2</t>
  </si>
  <si>
    <t>978-1-4654-8248-8</t>
  </si>
  <si>
    <t>978-1-5011-5930-5</t>
  </si>
  <si>
    <t>978-0-525-57392-0</t>
  </si>
  <si>
    <t>978-0-316-43915-2</t>
  </si>
  <si>
    <t>978-0-385-54219-7</t>
  </si>
  <si>
    <t>978-1-982134-22-8</t>
  </si>
  <si>
    <t>978-0-374-28761-0</t>
  </si>
  <si>
    <t>978-0-374-16994-7</t>
  </si>
  <si>
    <t>978-1-5011-9762-8</t>
  </si>
  <si>
    <t>978-1-61373-700-2</t>
  </si>
  <si>
    <t>978-0-316-49146-4</t>
  </si>
  <si>
    <t>978-0-06-295239-4</t>
  </si>
  <si>
    <t>978-0-06-274955-0</t>
  </si>
  <si>
    <t>978-1-59051-992-9</t>
  </si>
  <si>
    <t>978-0-316-34925-3</t>
  </si>
  <si>
    <t>978-0-385-54245-6</t>
  </si>
  <si>
    <t>978-0-7453-3854-5</t>
  </si>
  <si>
    <t>978-1-982111-54-0</t>
  </si>
  <si>
    <t>978-1-64259-023-4</t>
  </si>
  <si>
    <t>978-1-5011-5546-8</t>
  </si>
  <si>
    <t>978-1-5247-9649-5</t>
  </si>
  <si>
    <t>978-0-374-27934-9</t>
  </si>
  <si>
    <t>978-0-06-242764-9</t>
  </si>
  <si>
    <t>978-1-328-51903-0</t>
  </si>
  <si>
    <t>978-1-250-01995-0</t>
  </si>
  <si>
    <t>978-1-4773-1650-4</t>
  </si>
  <si>
    <t>978-1-64313-211-2</t>
  </si>
  <si>
    <t>978-1-4773-1649-8</t>
  </si>
  <si>
    <t>978-0-06-289854-8</t>
  </si>
  <si>
    <t>978-1-62097-436-0</t>
  </si>
  <si>
    <t>978-1-944700-94-2</t>
  </si>
  <si>
    <t>978-1-250-29943-7</t>
  </si>
  <si>
    <t>978-1-4654-8610-3</t>
  </si>
  <si>
    <t>978-1-250-14264-1</t>
  </si>
  <si>
    <t>978-1-4964-4133-1</t>
  </si>
  <si>
    <t>978-1-73281-993-1</t>
  </si>
  <si>
    <t>978-1-5387-3153-6</t>
  </si>
  <si>
    <t>978-0-525-52083-2</t>
  </si>
  <si>
    <t>978-0-06-279585-4</t>
  </si>
  <si>
    <t>Edison</t>
  </si>
  <si>
    <t>978-0-8129-9311-0</t>
  </si>
  <si>
    <t>978-1-5011-8416-1</t>
  </si>
  <si>
    <t>978-1-937720-47-6</t>
  </si>
  <si>
    <t>978-0-525-56037-1</t>
  </si>
  <si>
    <t>978-0-525-65497-1</t>
  </si>
  <si>
    <t>978-1-5011-9984-4</t>
  </si>
  <si>
    <t>978-0-7352-2435-3</t>
  </si>
  <si>
    <t>978-1-5387-5104-6</t>
  </si>
  <si>
    <t>978-1-5387-6305-6</t>
  </si>
  <si>
    <t>978-0-7352-2529-9</t>
  </si>
  <si>
    <t>978-1-328-66205-7</t>
  </si>
  <si>
    <t>978-0-88082-344-9</t>
  </si>
  <si>
    <t>Habiburahman</t>
  </si>
  <si>
    <t>978-1-947534-85-8</t>
  </si>
  <si>
    <t>978-1-250-26655-2</t>
  </si>
  <si>
    <t>978-1-77164-479-2</t>
  </si>
  <si>
    <t>978-1-5011-6634-1</t>
  </si>
  <si>
    <t>978-0-06-074958-3</t>
  </si>
  <si>
    <t>978-0-06-269154-5</t>
  </si>
  <si>
    <t>978-0-393-63472-3</t>
  </si>
  <si>
    <t>978-0-06-280397-9</t>
  </si>
  <si>
    <t>978-0-525-53398-6</t>
  </si>
  <si>
    <t>978-1-250-22582-5</t>
  </si>
  <si>
    <t>978-0-385-13220-6</t>
  </si>
  <si>
    <t>978-1-250-14760-8</t>
  </si>
  <si>
    <t>978-1-250-13929-0</t>
  </si>
  <si>
    <t>978-1-5011-3273-5</t>
  </si>
  <si>
    <t>978-1-4767-9310-8</t>
  </si>
  <si>
    <t>978-1-73307-451-3</t>
  </si>
  <si>
    <t>978-1-63557-365-7</t>
  </si>
  <si>
    <t>978-0-525-42864-0</t>
  </si>
  <si>
    <t>978-1-937512-85-9</t>
  </si>
  <si>
    <t>978-1-947793-38-5</t>
  </si>
  <si>
    <t>978-0-316-55262-2</t>
  </si>
  <si>
    <t>978-1-5011-7524-4</t>
  </si>
  <si>
    <t>978-1-250-13390-8</t>
  </si>
  <si>
    <t>978-0-8129-9461-2</t>
  </si>
  <si>
    <t>978-1-5011-8765-0</t>
  </si>
  <si>
    <t>978-0-306-92195-7</t>
  </si>
  <si>
    <t>978-0-8021-2944-4</t>
  </si>
  <si>
    <t>978-1-64445-003-1</t>
  </si>
  <si>
    <t>978-1-63557-185-1</t>
  </si>
  <si>
    <t>978-1-250-29824-9</t>
  </si>
  <si>
    <t>978-0-8129-9683-8</t>
  </si>
  <si>
    <t>978-0-593-08437-3</t>
  </si>
  <si>
    <t>978-1-250-22388-3</t>
  </si>
  <si>
    <t>978-0-393-60953-0</t>
  </si>
  <si>
    <t>978-0-7352-2370-7</t>
  </si>
  <si>
    <t>978-1-58005-929-9</t>
  </si>
  <si>
    <t>978-1-250-19016-1</t>
  </si>
  <si>
    <t>978-0-06-204953-7</t>
  </si>
  <si>
    <t>978-0-306-92268-8</t>
  </si>
  <si>
    <t>978-1-948226-42-4</t>
  </si>
  <si>
    <t>978-1-328-59312-2</t>
  </si>
  <si>
    <t>978-1-4000-6970-5</t>
  </si>
  <si>
    <t>Becoming</t>
  </si>
  <si>
    <t>978-1-5247-6313-8</t>
  </si>
  <si>
    <t>978-1-982133-11-5</t>
  </si>
  <si>
    <t>978-0-618-03970-8</t>
  </si>
  <si>
    <t>978-1-5235-1037-5</t>
  </si>
  <si>
    <t>978-1-5387-1795-0</t>
  </si>
  <si>
    <t>978-1-5387-1300-6</t>
  </si>
  <si>
    <t>978-0-06-291799-7</t>
  </si>
  <si>
    <t>978-0-06-286878-7</t>
  </si>
  <si>
    <t>978-0-374-27583-9</t>
  </si>
  <si>
    <t>978-0-06-229354-1</t>
  </si>
  <si>
    <t>978-0-06-282069-3</t>
  </si>
  <si>
    <t>Prince</t>
  </si>
  <si>
    <t>978-0-399-58965-2</t>
  </si>
  <si>
    <t>978-1-948226-19-6</t>
  </si>
  <si>
    <t>978-1-5011-8997-5</t>
  </si>
  <si>
    <t>978-1-5051-1370-9</t>
  </si>
  <si>
    <t>978-0-525-55867-5</t>
  </si>
  <si>
    <t>978-1-68442-290-6</t>
  </si>
  <si>
    <t>978-0-06-274319-0</t>
  </si>
  <si>
    <t>978-1-5011-5814-8</t>
  </si>
  <si>
    <t>978-1-250-20475-2</t>
  </si>
  <si>
    <t>978-0-7852-2831-8</t>
  </si>
  <si>
    <t>978-0-374-27772-7</t>
  </si>
  <si>
    <t>978-1-63331-028-5</t>
  </si>
  <si>
    <t>978-0-316-48534-0</t>
  </si>
  <si>
    <t>978-0-525-65768-2</t>
  </si>
  <si>
    <t>978-0-8041-7672-9</t>
  </si>
  <si>
    <t>978-1-250-23723-1</t>
  </si>
  <si>
    <t>Sontag</t>
  </si>
  <si>
    <t>978-0-06-289639-1</t>
  </si>
  <si>
    <t>978-1-250-24402-4</t>
  </si>
  <si>
    <t>978-0-316-48527-2</t>
  </si>
  <si>
    <t>978-0-262-04318-2</t>
  </si>
  <si>
    <t>978-1-250-30737-8</t>
  </si>
  <si>
    <t>978-1-250-23722-4</t>
  </si>
  <si>
    <t>978-1-250-20280-2</t>
  </si>
  <si>
    <t>978-1-982139-59-9</t>
  </si>
  <si>
    <t>978-1-5420-4302-1</t>
  </si>
  <si>
    <t>978-0-06-290637-3</t>
  </si>
  <si>
    <t>978-1-947793-45-3</t>
  </si>
  <si>
    <t>978-1-62349-784-2</t>
  </si>
  <si>
    <t>978-0-8129-9699-9</t>
  </si>
  <si>
    <t>978-0-06-245651-9</t>
  </si>
  <si>
    <t>978-0-399-59050-4</t>
  </si>
  <si>
    <t>978-0-374-27801-4</t>
  </si>
  <si>
    <t>978-0-393-60886-1</t>
  </si>
  <si>
    <t>978-0-525-54221-6</t>
  </si>
  <si>
    <t>978-0-525-50883-0</t>
  </si>
  <si>
    <t>978-1-64160-162-7</t>
  </si>
  <si>
    <t>978-0-385-35365-6</t>
  </si>
  <si>
    <t>978-1-73249-122-9</t>
  </si>
  <si>
    <t>978-0-525-42831-2</t>
  </si>
  <si>
    <t>978-0-06-290568-0</t>
  </si>
  <si>
    <t>978-1-84792-460-5</t>
  </si>
  <si>
    <t>978-0-316-49209-6</t>
  </si>
  <si>
    <t>978-1-5011-6492-7</t>
  </si>
  <si>
    <t>978-0-300-21790-2</t>
  </si>
  <si>
    <t>978-0-465-09666-4</t>
  </si>
  <si>
    <t>978-1-4088-9652-5</t>
  </si>
  <si>
    <t>978-1-5247-6059-5</t>
  </si>
  <si>
    <t>978-1-982126-64-3</t>
  </si>
  <si>
    <t>978-0-7352-7982-7</t>
  </si>
  <si>
    <t>978-1-5011-9570-9</t>
  </si>
  <si>
    <t>978-1-63557-395-4</t>
  </si>
  <si>
    <t>978-0-399-17975-4</t>
  </si>
  <si>
    <t>978-1-5387-2965-6</t>
  </si>
  <si>
    <t>978-1-324-00329-8</t>
  </si>
  <si>
    <t>978-1-250-17364-5</t>
  </si>
  <si>
    <t>978-0-300-21595-3</t>
  </si>
  <si>
    <t>978-0-544-86647-8</t>
  </si>
  <si>
    <t>978-1-62097-506-0</t>
  </si>
  <si>
    <t>978-1-982120-25-2</t>
  </si>
  <si>
    <t>978-0-399-16666-2</t>
  </si>
  <si>
    <t>978-1-63286-924-1</t>
  </si>
  <si>
    <t>978-0-465-06088-7</t>
  </si>
  <si>
    <t>978-0-300-21998-2</t>
  </si>
  <si>
    <t>978-1-59416-321-0</t>
  </si>
  <si>
    <t>978-0-316-49266-9</t>
  </si>
  <si>
    <t>978-0-399-58522-7</t>
  </si>
  <si>
    <t>978-1-5011-1622-3</t>
  </si>
  <si>
    <t>978-1-4516-4137-0</t>
  </si>
  <si>
    <t>978-0-19-086060-8</t>
  </si>
  <si>
    <t>978-1-5011-8220-4</t>
  </si>
  <si>
    <t>978-1-250-25671-3</t>
  </si>
  <si>
    <t>Anonymous</t>
  </si>
  <si>
    <t>978-1-5387-1846-9</t>
  </si>
  <si>
    <t>978-1-63388-596-7</t>
  </si>
  <si>
    <t>978-0-358-39117-3</t>
  </si>
  <si>
    <t>978-1-4516-0632-4</t>
  </si>
  <si>
    <t>978-1-4521-8275-9</t>
  </si>
  <si>
    <t>978-1-250-23528-2</t>
  </si>
  <si>
    <t>978-0-525-54053-3</t>
  </si>
  <si>
    <t>978-1-5416-7252-9</t>
  </si>
  <si>
    <t>978-0-385-54316-3</t>
  </si>
  <si>
    <t>978-1-5011-0424-4</t>
  </si>
  <si>
    <t>978-1-64445-005-5</t>
  </si>
  <si>
    <t>978-1-68405-546-3</t>
  </si>
  <si>
    <t>978-1-984806-97-0</t>
  </si>
  <si>
    <t>978-1-4262-2059-3</t>
  </si>
  <si>
    <t>978-0-7148-7877-5</t>
  </si>
  <si>
    <t>978-1-57687-937-5</t>
  </si>
  <si>
    <t>978-1-4773-1800-3</t>
  </si>
  <si>
    <t>Material Problems - February 1, 2020 at 11:19:13 AM CST</t>
  </si>
  <si>
    <t>Created on or after 2-1-2019</t>
  </si>
  <si>
    <t>Created before 2-1-2020</t>
  </si>
  <si>
    <t>Currently unresolved (for the material)</t>
  </si>
  <si>
    <t>Member #</t>
  </si>
  <si>
    <t>Mat Price</t>
  </si>
  <si>
    <t>Lost/Destroyed</t>
  </si>
  <si>
    <t>Missing</t>
  </si>
  <si>
    <t>Other</t>
  </si>
  <si>
    <t/>
  </si>
  <si>
    <t>Damaged</t>
  </si>
  <si>
    <t>Dolphins</t>
  </si>
  <si>
    <t>Koalas</t>
  </si>
  <si>
    <t>Cranes</t>
  </si>
  <si>
    <t>Orangutans</t>
  </si>
  <si>
    <t>Houses</t>
  </si>
  <si>
    <t>Mujercitas</t>
  </si>
  <si>
    <t>Homer</t>
  </si>
  <si>
    <t>Tatty-Ratty</t>
  </si>
  <si>
    <t>Corduroy</t>
  </si>
  <si>
    <t>Elska</t>
  </si>
  <si>
    <t>Pocahontas</t>
  </si>
  <si>
    <t>2019-11-22  - PayPal - Paid    10-29-2019  - Tess - WB - 10-29-2019  - Due: 10-22-2019. Notified: 10-29-2019, 11-5-2019, 11-13-2019</t>
  </si>
  <si>
    <t>Silkwood</t>
  </si>
  <si>
    <t>Alaska</t>
  </si>
  <si>
    <t>Incomplete</t>
  </si>
  <si>
    <t>2019-09-23  - PayPal - Paid    9-23-2019  - kmf -    9-23-2019  - Due: 9-23-2019.</t>
  </si>
  <si>
    <t>Saboteur</t>
  </si>
  <si>
    <t>Slacker</t>
  </si>
  <si>
    <t>2019-08-13  - Member did not claim the book. It had severe water damage. Discarded the book.    7-2-2019  - Member paid via pay pal. Holding it in circ problem box thru 7/31/19 in case if member would like to keep this book.    6-26-2019  - PayPal - Paid     6-25-2019  - Check In - LL - water damage. chewed</t>
  </si>
  <si>
    <t>1-22-2020  - mm - WB - This book was added to collection in 2010, and it has circulated 84 times. Not charging member for the item. Notifying member via email.    1-21-2020  - Tess - WB - The book was checked out in November. The check outs were extended so they could search. The book is not in the library.    1-21-2020  - Due: 1-3-2020. Notified: 1-10-2020, 1-17-2020</t>
  </si>
  <si>
    <t>Wind</t>
  </si>
  <si>
    <t>Hanna</t>
  </si>
  <si>
    <t>Goldie</t>
  </si>
  <si>
    <t>Balto</t>
  </si>
  <si>
    <t>Hoot</t>
  </si>
  <si>
    <t>Madagascar</t>
  </si>
  <si>
    <t>Brave</t>
  </si>
  <si>
    <t>2020-01-12  - mm - LL - Member owes $20. DVD case sent to TS    1-12-2020  - mm - LL - Member owes $20 for the missing DVD. sending the empty DVD case to TS, since this item has been in the circ problem box since 11/23/2019.    12-10-2019  - mm - LL -   11-23-2019  - BD - Check In - LL - missing disc</t>
  </si>
  <si>
    <t>2019-10-10  - mbw - Missing disc 6 since at least June, contacted last few members and they do not have it.    10-10-2019  - mbw - WB -    10-10-2019  - mbw -     10-10-2019  - kt - Check In - WB - Missing 6th disc, most recent patron noticed after checking out and brought the set back in.</t>
  </si>
  <si>
    <t>Mia</t>
  </si>
  <si>
    <t>Duplicity</t>
  </si>
  <si>
    <t>Silverlicious</t>
  </si>
  <si>
    <t>2019-11-04  - mtc - Member says they returned DVDs 279448 and 287884 to the outside bin at WB on Sat morning, 11/2/19. Both items were still on their account on 11/4/19. The items are not on the shelf. I've checked them both in and am marking them both as missing.</t>
  </si>
  <si>
    <t>2019-09-18  - mm - Sending to TS. Member does not have the missing disc    8-31-2019  - BD - LL - resolving from member account as item was last out more than a month ago; emailed prior member (502900, Neidel-Layton)    8-30-2019  - kl - Check In - LL - found on shelf with one disc missing</t>
  </si>
  <si>
    <t>Purplicious</t>
  </si>
  <si>
    <t>2019-08-06  - mm - LL - Member paid $12 for the damaged book #287249. He kept the book.        8-4-2019  - HD - Check In - LL - liquid damage</t>
  </si>
  <si>
    <t>Cityblock</t>
  </si>
  <si>
    <t>Rushmore</t>
  </si>
  <si>
    <t>2019-10-13  - gp - LL - spoke with manisha, reviewed historical problems. Trusting member, item was last checked out in April 2019. Possible disc was not in case when member checked out. Resolving issue and sending to Tech Serv.    10-13-2019  - gp - LL - member called asking to renew items (acct was blocked because of problem) mentioned that family does not recall seeing disc 6--possibly previously missing prior to check out    9-26-2019  - kt - Check In - LL - Missing 6th disc</t>
  </si>
  <si>
    <t>Hitch</t>
  </si>
  <si>
    <t>Bumped</t>
  </si>
  <si>
    <t>2019-11-05  - gp - LL - member had page removed from the book, member paid $23 for book plus $6.40 in fines. We have marked the book as discarded and have given the books to the member. Item will need to be replaced it is a part of a series.    11-5-2019  - Due: 11-9-2019.</t>
  </si>
  <si>
    <t>Janitors</t>
  </si>
  <si>
    <t>Fifteen</t>
  </si>
  <si>
    <t>Bossypants</t>
  </si>
  <si>
    <t>Shiver</t>
  </si>
  <si>
    <t>Emeraldalicious</t>
  </si>
  <si>
    <t>Shark</t>
  </si>
  <si>
    <t>Orangutan</t>
  </si>
  <si>
    <t>1-21-2020  - Tess - WB - The book was checked out in November and the check out has been extended so they could search. It is not in the library.    1-21-2020  - Due: 1-17-2020.</t>
  </si>
  <si>
    <t>Afterworlds</t>
  </si>
  <si>
    <t>Stormbreaker</t>
  </si>
  <si>
    <t>2019-08-03  - ss - WB - paid for item.       8-1-2019  - km - Check In - WB - book is damp</t>
  </si>
  <si>
    <t>Hedgehog</t>
  </si>
  <si>
    <t>Seveneves</t>
  </si>
  <si>
    <t>2019-10-28  - mm - WB - Pay Pal paid on 10/25/19.Will hold for member in circ prob box until 11/25/19 in case if she would like to keep this book.    10-25-2019  - PayPal - Paid    10-23-2019  - mbw - WB - $35 charge    10-23-2019  - ln - Check In - WB - severe water damage</t>
  </si>
  <si>
    <t>Moana</t>
  </si>
  <si>
    <t>Superfudge</t>
  </si>
  <si>
    <t>Lodestar</t>
  </si>
  <si>
    <t>2020-01-28  - SS - LL - member paid for item, took it      1-27-2020  - AI - Check In - LL - top corner of all pages are torn</t>
  </si>
  <si>
    <t>Patina</t>
  </si>
  <si>
    <t>Legion</t>
  </si>
  <si>
    <t>Contagion</t>
  </si>
  <si>
    <t>Dreamers</t>
  </si>
  <si>
    <t>2019-10-12  - kh - LL - Was on reserve for member, but we can't find it on the reserve or regular shelf. Called member and said she did not have it. Said she had not been notified and that this was the second time this had happened.    10-12-2019  - Due: 10-6-2019.</t>
  </si>
  <si>
    <t>#MurderFunding</t>
  </si>
  <si>
    <t>Goscinny</t>
  </si>
  <si>
    <t>2019-08-13  - mm - Discarded book, since member hasn't claimed it, and it has severe water damage.    7-30-2019  - mm - Paid online! Coded missing! The book will be held at LL in problem box until 8/15/19 in case if member wants to keep the copy since they paid for it.    7-20-2019  - PayPal - Paid    7-11-2019  - TL - LL - Book came back wet. emailed patron.    7-11-2019  - TL - Check In - LL - Water damage. Still wet.</t>
  </si>
  <si>
    <t>2019-10-14  - mm - Member paid. We will hold it for member in circ prob box at WBL until 30th Oct. If not claimed then ask Leah if she would like to reorder a new copy, then discard this item.    10-8-2019  - rm - WB - Member paid for "Way of the Warrior Kid" online. Please give to member at next checkout.    10-8-2019  - PayPal - Paid    10-8-2019  - rm - WB - Member will pay for damaged book online.    10-1-2019  - TL - Check In - WB - Eaten pages.</t>
  </si>
  <si>
    <t>Grenade</t>
  </si>
  <si>
    <t>2019-11-26  - mm - Coded damaged    11-3-2019  - CMJ - WB - Member paid    10-10-2019  - kh - LL - $13 charge added. Will contact member to let them know.    10-10-2019  - kt - Check In - LL - Puppy chewed corner. Patron kindly left a note to offer to replace!</t>
  </si>
  <si>
    <t>Frozen</t>
  </si>
  <si>
    <t>ILL-AUTO</t>
  </si>
  <si>
    <t>2020-01-22  - mm - WB - RS requested to add this problem as a note since member owes only $10 for the missing ILL.    1-22-2020  - mm - WB - Member owes $10 for the damaged ILL    1-22-2020  - rs - WB - 11/13/2019: rs - WB - This is for an ILL titled "Traction: get a grip on your business" that was damaged. The replacement cost is $10. To make the bookkeeping easier, we paid the lender and are asking our member for reimbursement. The lender has requested that the damaged book be returned to their acquisitions dept.    12-13-2019  - Due: 11-14-2019. Notified: 11-21-2019, 11-30-2019, 12-6-2019, 1-21-2020</t>
  </si>
  <si>
    <t>Circulation Statistics - February 1, 2020 at 12:19:06 PM CST</t>
  </si>
  <si>
    <t>1/1/2019 through 12/31/2019</t>
  </si>
  <si>
    <t>By Material Type</t>
  </si>
  <si>
    <t>Including In-Library</t>
  </si>
  <si>
    <t>Including Renewals</t>
  </si>
  <si>
    <t>By Checked OUT</t>
  </si>
  <si>
    <t>All Branches</t>
  </si>
  <si>
    <t>1/2019</t>
  </si>
  <si>
    <t>2/2019</t>
  </si>
  <si>
    <t>3/2019</t>
  </si>
  <si>
    <t>4/2019</t>
  </si>
  <si>
    <t>5/2019</t>
  </si>
  <si>
    <t>6/2019</t>
  </si>
  <si>
    <t>7/2019</t>
  </si>
  <si>
    <t>8/2019</t>
  </si>
  <si>
    <t>9/2019</t>
  </si>
  <si>
    <t>10/2019</t>
  </si>
  <si>
    <t>11/2019</t>
  </si>
  <si>
    <t>12/2019</t>
  </si>
  <si>
    <t>Totals</t>
  </si>
  <si>
    <t>None/On-the-fly</t>
  </si>
  <si>
    <t>Circulation Snapshot (Material Types) - February 1, 2020 at 12:39:02 PM CST 12:39:02</t>
  </si>
  <si>
    <t>Does not include holdings that are Pending</t>
  </si>
  <si>
    <t>Snapshot taken 1-1-2020</t>
  </si>
  <si>
    <t>Holdings</t>
  </si>
  <si>
    <t>% of Total</t>
  </si>
  <si>
    <t>% Out</t>
  </si>
  <si>
    <t>Titles</t>
  </si>
  <si>
    <t>Value</t>
  </si>
  <si>
    <t xml:space="preserve"> </t>
  </si>
  <si>
    <t>% of WB</t>
  </si>
  <si>
    <t>WB Out</t>
  </si>
  <si>
    <t>% WB Out</t>
  </si>
  <si>
    <t>WB Titles</t>
  </si>
  <si>
    <t>WB Value</t>
  </si>
  <si>
    <t>% of LL</t>
  </si>
  <si>
    <t>LL Out</t>
  </si>
  <si>
    <t>% LL Out</t>
  </si>
  <si>
    <t>LL Titles</t>
  </si>
  <si>
    <t>LL Value</t>
  </si>
  <si>
    <t>% of Total Out</t>
  </si>
  <si>
    <t>Total</t>
  </si>
  <si>
    <t>Also, the sum of the branch titles may be greater than the overall title count.</t>
  </si>
  <si>
    <t xml:space="preserve">NOTE: the sums of the values in the Titles columns may be greater than the values in the Total row.  </t>
  </si>
  <si>
    <t>This is because a single title can have holdings of multiple material types and in multiple branches.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</si>
</sst>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Red]\-[$$-409]#,##0.00"/>
    <numFmt numFmtId="165"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165" fontId="0" fillId="0" borderId="0" xfId="0" applyNumberFormat="1"/>
    <xf numFmtId="0" fontId="0" fillId="0" borderId="0" xfId="0" applyAlignment="1">
      <alignment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4</xdr:col>
      <xdr:colOff>3506</xdr:colOff>
      <xdr:row>26</xdr:row>
      <xdr:rowOff>32407</xdr:rowOff>
    </xdr:to>
    <xdr:pic>
      <xdr:nvPicPr>
        <xdr:cNvPr id="2" name="Picture 1">
          <a:extLst>
            <a:ext uri="{FF2B5EF4-FFF2-40B4-BE49-F238E27FC236}">
              <a16:creationId xmlns:a16="http://schemas.microsoft.com/office/drawing/2014/main" id="{ED2B45FC-A473-4D68-9539-0D0E5C162721}"/>
            </a:ext>
          </a:extLst>
        </xdr:cNvPr>
        <xdr:cNvPicPr>
          <a:picLocks noChangeAspect="1"/>
        </xdr:cNvPicPr>
      </xdr:nvPicPr>
      <xdr:blipFill>
        <a:blip xmlns:r="http://schemas.openxmlformats.org/officeDocument/2006/relationships" r:embed="rId1"/>
        <a:stretch>
          <a:fillRect/>
        </a:stretch>
      </xdr:blipFill>
      <xdr:spPr>
        <a:xfrm>
          <a:off x="1" y="0"/>
          <a:ext cx="2441905" cy="4902857"/>
        </a:xfrm>
        <a:prstGeom prst="rect">
          <a:avLst/>
        </a:prstGeom>
      </xdr:spPr>
    </xdr:pic>
    <xdr:clientData/>
  </xdr:twoCellAnchor>
  <xdr:twoCellAnchor editAs="oneCell">
    <xdr:from>
      <xdr:col>3</xdr:col>
      <xdr:colOff>600075</xdr:colOff>
      <xdr:row>0</xdr:row>
      <xdr:rowOff>0</xdr:rowOff>
    </xdr:from>
    <xdr:to>
      <xdr:col>8</xdr:col>
      <xdr:colOff>28265</xdr:colOff>
      <xdr:row>22</xdr:row>
      <xdr:rowOff>175993</xdr:rowOff>
    </xdr:to>
    <xdr:pic>
      <xdr:nvPicPr>
        <xdr:cNvPr id="3" name="Picture 2">
          <a:extLst>
            <a:ext uri="{FF2B5EF4-FFF2-40B4-BE49-F238E27FC236}">
              <a16:creationId xmlns:a16="http://schemas.microsoft.com/office/drawing/2014/main" id="{AB5F8FC7-B1DF-43D9-B30B-2B944FBB21F9}"/>
            </a:ext>
          </a:extLst>
        </xdr:cNvPr>
        <xdr:cNvPicPr>
          <a:picLocks noChangeAspect="1"/>
        </xdr:cNvPicPr>
      </xdr:nvPicPr>
      <xdr:blipFill>
        <a:blip xmlns:r="http://schemas.openxmlformats.org/officeDocument/2006/relationships" r:embed="rId2"/>
        <a:stretch>
          <a:fillRect/>
        </a:stretch>
      </xdr:blipFill>
      <xdr:spPr>
        <a:xfrm>
          <a:off x="2428875" y="0"/>
          <a:ext cx="2476190" cy="4297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12701</xdr:colOff>
      <xdr:row>0</xdr:row>
      <xdr:rowOff>25401</xdr:rowOff>
    </xdr:from>
    <xdr:to>
      <xdr:col>8</xdr:col>
      <xdr:colOff>381615</xdr:colOff>
      <xdr:row>29</xdr:row>
      <xdr:rowOff>21547</xdr:rowOff>
    </xdr:to>
    <xdr:pic>
      <xdr:nvPicPr>
        <xdr:cNvPr id="2" name="Picture 1">
          <a:extLst>
            <a:ext uri="{FF2B5EF4-FFF2-40B4-BE49-F238E27FC236}">
              <a16:creationId xmlns:a16="http://schemas.microsoft.com/office/drawing/2014/main" id="{9C9ACCAC-8002-4F50-9194-FFD4C0753507}"/>
            </a:ext>
          </a:extLst>
        </xdr:cNvPr>
        <xdr:cNvPicPr>
          <a:picLocks noChangeAspect="1"/>
        </xdr:cNvPicPr>
      </xdr:nvPicPr>
      <xdr:blipFill>
        <a:blip xmlns:r="http://schemas.openxmlformats.org/officeDocument/2006/relationships" r:embed="rId1"/>
        <a:stretch>
          <a:fillRect/>
        </a:stretch>
      </xdr:blipFill>
      <xdr:spPr>
        <a:xfrm>
          <a:off x="12701" y="25401"/>
          <a:ext cx="5245714" cy="5428571"/>
        </a:xfrm>
        <a:prstGeom prst="rect">
          <a:avLst/>
        </a:prstGeom>
        <a:noFill/>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574857</xdr:colOff>
      <xdr:row>25</xdr:row>
      <xdr:rowOff>166399</xdr:rowOff>
    </xdr:to>
    <xdr:pic>
      <xdr:nvPicPr>
        <xdr:cNvPr id="2" name="Picture 1">
          <a:extLst>
            <a:ext uri="{FF2B5EF4-FFF2-40B4-BE49-F238E27FC236}">
              <a16:creationId xmlns:a16="http://schemas.microsoft.com/office/drawing/2014/main" id="{4AC6308A-A4DA-46FD-9782-289A3CED77C2}"/>
            </a:ext>
          </a:extLst>
        </xdr:cNvPr>
        <xdr:cNvPicPr>
          <a:picLocks noChangeAspect="1"/>
        </xdr:cNvPicPr>
      </xdr:nvPicPr>
      <xdr:blipFill>
        <a:blip xmlns:r="http://schemas.openxmlformats.org/officeDocument/2006/relationships" r:embed="rId1"/>
        <a:stretch>
          <a:fillRect/>
        </a:stretch>
      </xdr:blipFill>
      <xdr:spPr>
        <a:xfrm>
          <a:off x="0" y="0"/>
          <a:ext cx="3622857" cy="484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468267</xdr:colOff>
      <xdr:row>9</xdr:row>
      <xdr:rowOff>28361</xdr:rowOff>
    </xdr:to>
    <xdr:pic>
      <xdr:nvPicPr>
        <xdr:cNvPr id="2" name="Picture 1">
          <a:extLst>
            <a:ext uri="{FF2B5EF4-FFF2-40B4-BE49-F238E27FC236}">
              <a16:creationId xmlns:a16="http://schemas.microsoft.com/office/drawing/2014/main" id="{36822ADE-DC99-4AB4-B1E8-5C7982EC1545}"/>
            </a:ext>
          </a:extLst>
        </xdr:cNvPr>
        <xdr:cNvPicPr>
          <a:picLocks noChangeAspect="1"/>
        </xdr:cNvPicPr>
      </xdr:nvPicPr>
      <xdr:blipFill>
        <a:blip xmlns:r="http://schemas.openxmlformats.org/officeDocument/2006/relationships" r:embed="rId1"/>
        <a:stretch>
          <a:fillRect/>
        </a:stretch>
      </xdr:blipFill>
      <xdr:spPr>
        <a:xfrm>
          <a:off x="0" y="0"/>
          <a:ext cx="2906667" cy="171428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433906</xdr:colOff>
      <xdr:row>17</xdr:row>
      <xdr:rowOff>156427</xdr:rowOff>
    </xdr:to>
    <xdr:pic>
      <xdr:nvPicPr>
        <xdr:cNvPr id="2" name="Picture 1">
          <a:extLst>
            <a:ext uri="{FF2B5EF4-FFF2-40B4-BE49-F238E27FC236}">
              <a16:creationId xmlns:a16="http://schemas.microsoft.com/office/drawing/2014/main" id="{C6785FF0-923D-4300-BA0C-0820C522790C}"/>
            </a:ext>
          </a:extLst>
        </xdr:cNvPr>
        <xdr:cNvPicPr>
          <a:picLocks noChangeAspect="1"/>
        </xdr:cNvPicPr>
      </xdr:nvPicPr>
      <xdr:blipFill>
        <a:blip xmlns:r="http://schemas.openxmlformats.org/officeDocument/2006/relationships" r:embed="rId1"/>
        <a:stretch>
          <a:fillRect/>
        </a:stretch>
      </xdr:blipFill>
      <xdr:spPr>
        <a:xfrm>
          <a:off x="1" y="0"/>
          <a:ext cx="3481905" cy="3340952"/>
        </a:xfrm>
        <a:prstGeom prst="rect">
          <a:avLst/>
        </a:prstGeom>
      </xdr:spPr>
    </xdr:pic>
    <xdr:clientData/>
  </xdr:twoCellAnchor>
</xdr:wsDr>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D62-61D0-4029-B780-586B86115220}">
  <sheetPr>
    <tabColor theme="9" tint="0.39997558519241921"/>
  </sheetPr>
  <dimension ref="A1"/>
  <sheetViews>
    <sheetView workbookViewId="0">
      <selection activeCell="I1" sqref="I1"/>
    </sheetView>
  </sheetViews>
  <sheetFormatPr baseColWidth="10" defaultColWidth="8.83203125" defaultRowHeight="15"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DA5F5-E011-4A55-A9D0-ED7C44841372}">
  <sheetPr>
    <tabColor theme="9" tint="0.39997558519241921"/>
  </sheetPr>
  <dimension ref="A1:W73"/>
  <sheetViews>
    <sheetView workbookViewId="0"/>
  </sheetViews>
  <sheetFormatPr baseColWidth="10" defaultColWidth="8.83203125" defaultRowHeight="15" x14ac:dyDescent="0.2"/>
  <cols>
    <col min="1" max="1" width="30.6640625" customWidth="1"/>
    <col min="2" max="2" width="8.6640625" customWidth="1"/>
    <col min="3" max="3" width="9.33203125" customWidth="1"/>
    <col min="4" max="4" width="5.5" customWidth="1"/>
    <col min="5" max="5" width="6.83203125" customWidth="1"/>
    <col min="6" max="6" width="5.83203125" customWidth="1"/>
    <col min="7" max="7" width="14.1640625" customWidth="1"/>
    <col min="8" max="8" width="2.1640625" customWidth="1"/>
    <col min="9" max="9" width="6.5" customWidth="1"/>
    <col min="10" max="10" width="8.83203125" customWidth="1"/>
    <col min="11" max="11" width="8.1640625" customWidth="1"/>
    <col min="12" max="12" width="10.5" customWidth="1"/>
    <col min="13" max="13" width="9.33203125" customWidth="1"/>
    <col min="14" max="14" width="13.6640625" customWidth="1"/>
    <col min="15" max="15" width="2.5" customWidth="1"/>
    <col min="16" max="16" width="9.33203125" customWidth="1"/>
    <col min="17" max="17" width="7.83203125" customWidth="1"/>
    <col min="18" max="18" width="7" customWidth="1"/>
    <col min="19" max="19" width="9.1640625" customWidth="1"/>
    <col min="20" max="20" width="8" customWidth="1"/>
    <col min="21" max="21" width="13.33203125" customWidth="1"/>
    <col min="22" max="22" width="2.5" customWidth="1"/>
    <col min="23" max="23" width="12.33203125" customWidth="1"/>
  </cols>
  <sheetData>
    <row r="1" spans="1:23" x14ac:dyDescent="0.2">
      <c r="A1" t="s">
        <v>3641</v>
      </c>
    </row>
    <row r="2" spans="1:23" x14ac:dyDescent="0.2">
      <c r="A2" t="s">
        <v>3642</v>
      </c>
    </row>
    <row r="3" spans="1:23" x14ac:dyDescent="0.2">
      <c r="A3" t="s">
        <v>3643</v>
      </c>
    </row>
    <row r="4" spans="1:23" x14ac:dyDescent="0.2">
      <c r="A4" t="s">
        <v>3663</v>
      </c>
    </row>
    <row r="5" spans="1:23" x14ac:dyDescent="0.2">
      <c r="A5" t="s">
        <v>3662</v>
      </c>
    </row>
    <row r="6" spans="1:23" x14ac:dyDescent="0.2">
      <c r="A6" t="s">
        <v>3664</v>
      </c>
    </row>
    <row r="8" spans="1:23" x14ac:dyDescent="0.2">
      <c r="A8" t="s">
        <v>12</v>
      </c>
      <c r="B8" t="s">
        <v>3644</v>
      </c>
      <c r="C8" t="s">
        <v>3645</v>
      </c>
      <c r="D8" t="s">
        <v>2404</v>
      </c>
      <c r="E8" t="s">
        <v>3646</v>
      </c>
      <c r="F8" t="s">
        <v>3647</v>
      </c>
      <c r="G8" t="s">
        <v>3648</v>
      </c>
      <c r="H8" t="s">
        <v>3649</v>
      </c>
      <c r="I8" t="s">
        <v>2395</v>
      </c>
      <c r="J8" t="s">
        <v>3650</v>
      </c>
      <c r="K8" t="s">
        <v>3651</v>
      </c>
      <c r="L8" t="s">
        <v>3652</v>
      </c>
      <c r="M8" t="s">
        <v>3653</v>
      </c>
      <c r="N8" t="s">
        <v>3654</v>
      </c>
      <c r="P8" t="s">
        <v>2403</v>
      </c>
      <c r="Q8" t="s">
        <v>3655</v>
      </c>
      <c r="R8" t="s">
        <v>3656</v>
      </c>
      <c r="S8" t="s">
        <v>3657</v>
      </c>
      <c r="T8" t="s">
        <v>3658</v>
      </c>
      <c r="U8" t="s">
        <v>3659</v>
      </c>
      <c r="W8" t="s">
        <v>3660</v>
      </c>
    </row>
    <row r="9" spans="1:23" x14ac:dyDescent="0.2">
      <c r="A9" t="str">
        <f>"1 - Default"</f>
        <v>1 - Default</v>
      </c>
      <c r="B9">
        <v>5</v>
      </c>
      <c r="C9">
        <v>0</v>
      </c>
      <c r="D9">
        <v>0</v>
      </c>
      <c r="E9">
        <v>0</v>
      </c>
      <c r="F9">
        <v>5</v>
      </c>
      <c r="G9" s="1">
        <v>1</v>
      </c>
      <c r="H9" t="str">
        <f t="shared" ref="H9:H72" si="0">" "</f>
        <v xml:space="preserve"> </v>
      </c>
      <c r="I9">
        <v>4</v>
      </c>
      <c r="J9">
        <v>0</v>
      </c>
      <c r="K9">
        <v>0</v>
      </c>
      <c r="L9">
        <v>0</v>
      </c>
      <c r="M9">
        <v>4</v>
      </c>
      <c r="N9" s="1">
        <v>1</v>
      </c>
      <c r="O9" s="1"/>
      <c r="P9">
        <v>1</v>
      </c>
      <c r="Q9">
        <v>0</v>
      </c>
      <c r="R9">
        <v>0</v>
      </c>
      <c r="S9">
        <v>0</v>
      </c>
      <c r="T9">
        <v>1</v>
      </c>
      <c r="U9" s="1">
        <v>0</v>
      </c>
      <c r="W9">
        <v>0</v>
      </c>
    </row>
    <row r="10" spans="1:23" x14ac:dyDescent="0.2">
      <c r="A10" t="str">
        <f>"2 - Fiction"</f>
        <v>2 - Fiction</v>
      </c>
      <c r="B10">
        <v>15473</v>
      </c>
      <c r="C10">
        <v>17.2</v>
      </c>
      <c r="D10">
        <v>1443</v>
      </c>
      <c r="E10">
        <v>9.3000000000000007</v>
      </c>
      <c r="F10">
        <v>12536</v>
      </c>
      <c r="G10" s="1">
        <v>416766.86</v>
      </c>
      <c r="H10" t="str">
        <f t="shared" si="0"/>
        <v xml:space="preserve"> </v>
      </c>
      <c r="I10">
        <v>7983</v>
      </c>
      <c r="J10">
        <v>16.100000000000001</v>
      </c>
      <c r="K10">
        <v>930</v>
      </c>
      <c r="L10">
        <v>11.6</v>
      </c>
      <c r="M10">
        <v>7564</v>
      </c>
      <c r="N10" s="1">
        <v>213791.99</v>
      </c>
      <c r="O10" s="1"/>
      <c r="P10">
        <v>7490</v>
      </c>
      <c r="Q10">
        <v>18.600000000000001</v>
      </c>
      <c r="R10">
        <v>513</v>
      </c>
      <c r="S10">
        <v>6.8</v>
      </c>
      <c r="T10">
        <v>7152</v>
      </c>
      <c r="U10" s="1">
        <v>202974.87</v>
      </c>
      <c r="W10">
        <v>17.100000000000001</v>
      </c>
    </row>
    <row r="11" spans="1:23" x14ac:dyDescent="0.2">
      <c r="A11" t="str">
        <f>"3 - Reference"</f>
        <v>3 - Reference</v>
      </c>
      <c r="B11">
        <v>262</v>
      </c>
      <c r="C11">
        <v>0.3</v>
      </c>
      <c r="D11">
        <v>0</v>
      </c>
      <c r="E11">
        <v>0</v>
      </c>
      <c r="F11">
        <v>224</v>
      </c>
      <c r="G11" s="1">
        <v>15370.95</v>
      </c>
      <c r="H11" t="str">
        <f t="shared" si="0"/>
        <v xml:space="preserve"> </v>
      </c>
      <c r="I11">
        <v>156</v>
      </c>
      <c r="J11">
        <v>0.3</v>
      </c>
      <c r="K11">
        <v>0</v>
      </c>
      <c r="L11">
        <v>0</v>
      </c>
      <c r="M11">
        <v>152</v>
      </c>
      <c r="N11" s="1">
        <v>10868</v>
      </c>
      <c r="O11" s="1"/>
      <c r="P11">
        <v>106</v>
      </c>
      <c r="Q11">
        <v>0.3</v>
      </c>
      <c r="R11">
        <v>0</v>
      </c>
      <c r="S11">
        <v>0</v>
      </c>
      <c r="T11">
        <v>105</v>
      </c>
      <c r="U11" s="1">
        <v>4502.95</v>
      </c>
      <c r="W11">
        <v>0</v>
      </c>
    </row>
    <row r="12" spans="1:23" x14ac:dyDescent="0.2">
      <c r="A12" t="str">
        <f>"4 - Juvy Fiction"</f>
        <v>4 - Juvy Fiction</v>
      </c>
      <c r="B12">
        <v>8329</v>
      </c>
      <c r="C12">
        <v>9.3000000000000007</v>
      </c>
      <c r="D12">
        <v>1051</v>
      </c>
      <c r="E12">
        <v>12.6</v>
      </c>
      <c r="F12">
        <v>6808</v>
      </c>
      <c r="G12" s="1">
        <v>128803.65</v>
      </c>
      <c r="H12" t="str">
        <f t="shared" si="0"/>
        <v xml:space="preserve"> </v>
      </c>
      <c r="I12">
        <v>4391</v>
      </c>
      <c r="J12">
        <v>8.9</v>
      </c>
      <c r="K12">
        <v>626</v>
      </c>
      <c r="L12">
        <v>14.3</v>
      </c>
      <c r="M12">
        <v>4194</v>
      </c>
      <c r="N12" s="1">
        <v>67563.64</v>
      </c>
      <c r="O12" s="1"/>
      <c r="P12">
        <v>3938</v>
      </c>
      <c r="Q12">
        <v>9.8000000000000007</v>
      </c>
      <c r="R12">
        <v>425</v>
      </c>
      <c r="S12">
        <v>10.8</v>
      </c>
      <c r="T12">
        <v>3646</v>
      </c>
      <c r="U12" s="1">
        <v>61240.01</v>
      </c>
      <c r="W12">
        <v>12.4</v>
      </c>
    </row>
    <row r="13" spans="1:23" x14ac:dyDescent="0.2">
      <c r="A13" t="str">
        <f>"5 - Easy"</f>
        <v>5 - Easy</v>
      </c>
      <c r="B13">
        <v>8640</v>
      </c>
      <c r="C13">
        <v>9.6</v>
      </c>
      <c r="D13">
        <v>915</v>
      </c>
      <c r="E13">
        <v>10.6</v>
      </c>
      <c r="F13">
        <v>7552</v>
      </c>
      <c r="G13" s="1">
        <v>164250.92000000001</v>
      </c>
      <c r="H13" t="str">
        <f t="shared" si="0"/>
        <v xml:space="preserve"> </v>
      </c>
      <c r="I13">
        <v>4820</v>
      </c>
      <c r="J13">
        <v>9.6999999999999993</v>
      </c>
      <c r="K13">
        <v>504</v>
      </c>
      <c r="L13">
        <v>10.5</v>
      </c>
      <c r="M13">
        <v>4588</v>
      </c>
      <c r="N13" s="1">
        <v>91026.51</v>
      </c>
      <c r="O13" s="1"/>
      <c r="P13">
        <v>3820</v>
      </c>
      <c r="Q13">
        <v>9.5</v>
      </c>
      <c r="R13">
        <v>411</v>
      </c>
      <c r="S13">
        <v>10.8</v>
      </c>
      <c r="T13">
        <v>3659</v>
      </c>
      <c r="U13" s="1">
        <v>73224.41</v>
      </c>
      <c r="W13">
        <v>10.8</v>
      </c>
    </row>
    <row r="14" spans="1:23" x14ac:dyDescent="0.2">
      <c r="A14" t="str">
        <f>"6 - Magazine"</f>
        <v>6 - Magazine</v>
      </c>
      <c r="B14">
        <v>2088</v>
      </c>
      <c r="C14">
        <v>2.2999999999999998</v>
      </c>
      <c r="D14">
        <v>171</v>
      </c>
      <c r="E14">
        <v>8.1999999999999993</v>
      </c>
      <c r="F14">
        <v>361</v>
      </c>
      <c r="G14" s="1">
        <v>10623</v>
      </c>
      <c r="H14" t="str">
        <f t="shared" si="0"/>
        <v xml:space="preserve"> </v>
      </c>
      <c r="I14">
        <v>1130</v>
      </c>
      <c r="J14">
        <v>2.2999999999999998</v>
      </c>
      <c r="K14">
        <v>124</v>
      </c>
      <c r="L14">
        <v>11</v>
      </c>
      <c r="M14">
        <v>303</v>
      </c>
      <c r="N14" s="1">
        <v>5830</v>
      </c>
      <c r="O14" s="1"/>
      <c r="P14">
        <v>958</v>
      </c>
      <c r="Q14">
        <v>2.4</v>
      </c>
      <c r="R14">
        <v>47</v>
      </c>
      <c r="S14">
        <v>4.9000000000000004</v>
      </c>
      <c r="T14">
        <v>192</v>
      </c>
      <c r="U14" s="1">
        <v>4793</v>
      </c>
      <c r="W14">
        <v>2</v>
      </c>
    </row>
    <row r="15" spans="1:23" x14ac:dyDescent="0.2">
      <c r="A15" t="str">
        <f>"7 - 000 - 199"</f>
        <v>7 - 000 - 199</v>
      </c>
      <c r="B15">
        <v>1080</v>
      </c>
      <c r="C15">
        <v>1.2</v>
      </c>
      <c r="D15">
        <v>115</v>
      </c>
      <c r="E15">
        <v>10.6</v>
      </c>
      <c r="F15">
        <v>985</v>
      </c>
      <c r="G15" s="1">
        <v>30540.48</v>
      </c>
      <c r="H15" t="str">
        <f t="shared" si="0"/>
        <v xml:space="preserve"> </v>
      </c>
      <c r="I15">
        <v>624</v>
      </c>
      <c r="J15">
        <v>1.3</v>
      </c>
      <c r="K15">
        <v>74</v>
      </c>
      <c r="L15">
        <v>11.9</v>
      </c>
      <c r="M15">
        <v>614</v>
      </c>
      <c r="N15" s="1">
        <v>17632.48</v>
      </c>
      <c r="O15" s="1"/>
      <c r="P15">
        <v>456</v>
      </c>
      <c r="Q15">
        <v>1.1000000000000001</v>
      </c>
      <c r="R15">
        <v>41</v>
      </c>
      <c r="S15">
        <v>9</v>
      </c>
      <c r="T15">
        <v>447</v>
      </c>
      <c r="U15" s="1">
        <v>12908</v>
      </c>
      <c r="W15">
        <v>1.4</v>
      </c>
    </row>
    <row r="16" spans="1:23" x14ac:dyDescent="0.2">
      <c r="A16" t="str">
        <f>"8 - 200 - 299"</f>
        <v>8 - 200 - 299</v>
      </c>
      <c r="B16">
        <v>671</v>
      </c>
      <c r="C16">
        <v>0.7</v>
      </c>
      <c r="D16">
        <v>52</v>
      </c>
      <c r="E16">
        <v>7.7</v>
      </c>
      <c r="F16">
        <v>625</v>
      </c>
      <c r="G16" s="1">
        <v>17009.89</v>
      </c>
      <c r="H16" t="str">
        <f t="shared" si="0"/>
        <v xml:space="preserve"> </v>
      </c>
      <c r="I16">
        <v>407</v>
      </c>
      <c r="J16">
        <v>0.8</v>
      </c>
      <c r="K16">
        <v>25</v>
      </c>
      <c r="L16">
        <v>6.1</v>
      </c>
      <c r="M16">
        <v>400</v>
      </c>
      <c r="N16" s="1">
        <v>10456.950000000001</v>
      </c>
      <c r="O16" s="1"/>
      <c r="P16">
        <v>264</v>
      </c>
      <c r="Q16">
        <v>0.7</v>
      </c>
      <c r="R16">
        <v>27</v>
      </c>
      <c r="S16">
        <v>10.199999999999999</v>
      </c>
      <c r="T16">
        <v>263</v>
      </c>
      <c r="U16" s="1">
        <v>6552.94</v>
      </c>
      <c r="W16">
        <v>0.6</v>
      </c>
    </row>
    <row r="17" spans="1:23" x14ac:dyDescent="0.2">
      <c r="A17" t="str">
        <f>"9 - 300 - 399"</f>
        <v>9 - 300 - 399</v>
      </c>
      <c r="B17">
        <v>2581</v>
      </c>
      <c r="C17">
        <v>2.9</v>
      </c>
      <c r="D17">
        <v>261</v>
      </c>
      <c r="E17">
        <v>10.1</v>
      </c>
      <c r="F17">
        <v>2404</v>
      </c>
      <c r="G17" s="1">
        <v>75709.789999999994</v>
      </c>
      <c r="H17" t="str">
        <f t="shared" si="0"/>
        <v xml:space="preserve"> </v>
      </c>
      <c r="I17">
        <v>1660</v>
      </c>
      <c r="J17">
        <v>3.3</v>
      </c>
      <c r="K17">
        <v>173</v>
      </c>
      <c r="L17">
        <v>10.4</v>
      </c>
      <c r="M17">
        <v>1631</v>
      </c>
      <c r="N17" s="1">
        <v>48843.8</v>
      </c>
      <c r="O17" s="1"/>
      <c r="P17">
        <v>921</v>
      </c>
      <c r="Q17">
        <v>2.2999999999999998</v>
      </c>
      <c r="R17">
        <v>88</v>
      </c>
      <c r="S17">
        <v>9.6</v>
      </c>
      <c r="T17">
        <v>914</v>
      </c>
      <c r="U17" s="1">
        <v>26865.99</v>
      </c>
      <c r="W17">
        <v>3.1</v>
      </c>
    </row>
    <row r="18" spans="1:23" x14ac:dyDescent="0.2">
      <c r="A18" t="str">
        <f>"10 - 400 - 499"</f>
        <v>10 - 400 - 499</v>
      </c>
      <c r="B18">
        <v>356</v>
      </c>
      <c r="C18">
        <v>0.4</v>
      </c>
      <c r="D18">
        <v>23</v>
      </c>
      <c r="E18">
        <v>6.5</v>
      </c>
      <c r="F18">
        <v>331</v>
      </c>
      <c r="G18" s="1">
        <v>10294.950000000001</v>
      </c>
      <c r="H18" t="str">
        <f t="shared" si="0"/>
        <v xml:space="preserve"> </v>
      </c>
      <c r="I18">
        <v>190</v>
      </c>
      <c r="J18">
        <v>0.4</v>
      </c>
      <c r="K18">
        <v>14</v>
      </c>
      <c r="L18">
        <v>7.4</v>
      </c>
      <c r="M18">
        <v>185</v>
      </c>
      <c r="N18" s="1">
        <v>5580.95</v>
      </c>
      <c r="O18" s="1"/>
      <c r="P18">
        <v>166</v>
      </c>
      <c r="Q18">
        <v>0.4</v>
      </c>
      <c r="R18">
        <v>9</v>
      </c>
      <c r="S18">
        <v>5.4</v>
      </c>
      <c r="T18">
        <v>164</v>
      </c>
      <c r="U18" s="1">
        <v>4714</v>
      </c>
      <c r="W18">
        <v>0.3</v>
      </c>
    </row>
    <row r="19" spans="1:23" x14ac:dyDescent="0.2">
      <c r="A19" t="str">
        <f>"11 - 500 - 599"</f>
        <v>11 - 500 - 599</v>
      </c>
      <c r="B19">
        <v>657</v>
      </c>
      <c r="C19">
        <v>0.7</v>
      </c>
      <c r="D19">
        <v>44</v>
      </c>
      <c r="E19">
        <v>6.7</v>
      </c>
      <c r="F19">
        <v>632</v>
      </c>
      <c r="G19" s="1">
        <v>19925.7</v>
      </c>
      <c r="H19" t="str">
        <f t="shared" si="0"/>
        <v xml:space="preserve"> </v>
      </c>
      <c r="I19">
        <v>413</v>
      </c>
      <c r="J19">
        <v>0.8</v>
      </c>
      <c r="K19">
        <v>25</v>
      </c>
      <c r="L19">
        <v>6.1</v>
      </c>
      <c r="M19">
        <v>410</v>
      </c>
      <c r="N19" s="1">
        <v>12494.75</v>
      </c>
      <c r="O19" s="1"/>
      <c r="P19">
        <v>244</v>
      </c>
      <c r="Q19">
        <v>0.6</v>
      </c>
      <c r="R19">
        <v>19</v>
      </c>
      <c r="S19">
        <v>7.8</v>
      </c>
      <c r="T19">
        <v>244</v>
      </c>
      <c r="U19" s="1">
        <v>7430.95</v>
      </c>
      <c r="W19">
        <v>0.5</v>
      </c>
    </row>
    <row r="20" spans="1:23" x14ac:dyDescent="0.2">
      <c r="A20" t="str">
        <f>"12 - 600 - 699"</f>
        <v>12 - 600 - 699</v>
      </c>
      <c r="B20">
        <v>3887</v>
      </c>
      <c r="C20">
        <v>4.3</v>
      </c>
      <c r="D20">
        <v>358</v>
      </c>
      <c r="E20">
        <v>9.1999999999999993</v>
      </c>
      <c r="F20">
        <v>3709</v>
      </c>
      <c r="G20" s="1">
        <v>117474.23</v>
      </c>
      <c r="H20" t="str">
        <f t="shared" si="0"/>
        <v xml:space="preserve"> </v>
      </c>
      <c r="I20">
        <v>2313</v>
      </c>
      <c r="J20">
        <v>4.7</v>
      </c>
      <c r="K20">
        <v>214</v>
      </c>
      <c r="L20">
        <v>9.3000000000000007</v>
      </c>
      <c r="M20">
        <v>2290</v>
      </c>
      <c r="N20" s="1">
        <v>70286.28</v>
      </c>
      <c r="O20" s="1"/>
      <c r="P20">
        <v>1574</v>
      </c>
      <c r="Q20">
        <v>3.9</v>
      </c>
      <c r="R20">
        <v>144</v>
      </c>
      <c r="S20">
        <v>9.1</v>
      </c>
      <c r="T20">
        <v>1563</v>
      </c>
      <c r="U20" s="1">
        <v>47187.95</v>
      </c>
      <c r="W20">
        <v>4.2</v>
      </c>
    </row>
    <row r="21" spans="1:23" x14ac:dyDescent="0.2">
      <c r="A21" t="str">
        <f>"13 - 700 - 799"</f>
        <v>13 - 700 - 799</v>
      </c>
      <c r="B21">
        <v>1705</v>
      </c>
      <c r="C21">
        <v>1.9</v>
      </c>
      <c r="D21">
        <v>88</v>
      </c>
      <c r="E21">
        <v>5.2</v>
      </c>
      <c r="F21">
        <v>1678</v>
      </c>
      <c r="G21" s="1">
        <v>53590.2</v>
      </c>
      <c r="H21" t="str">
        <f t="shared" si="0"/>
        <v xml:space="preserve"> </v>
      </c>
      <c r="I21">
        <v>1044</v>
      </c>
      <c r="J21">
        <v>2.1</v>
      </c>
      <c r="K21">
        <v>46</v>
      </c>
      <c r="L21">
        <v>4.4000000000000004</v>
      </c>
      <c r="M21">
        <v>1038</v>
      </c>
      <c r="N21" s="1">
        <v>33033.4</v>
      </c>
      <c r="O21" s="1"/>
      <c r="P21">
        <v>661</v>
      </c>
      <c r="Q21">
        <v>1.6</v>
      </c>
      <c r="R21">
        <v>42</v>
      </c>
      <c r="S21">
        <v>6.4</v>
      </c>
      <c r="T21">
        <v>656</v>
      </c>
      <c r="U21" s="1">
        <v>20556.8</v>
      </c>
      <c r="W21">
        <v>1</v>
      </c>
    </row>
    <row r="22" spans="1:23" x14ac:dyDescent="0.2">
      <c r="A22" t="str">
        <f>"14 - 800 - 899"</f>
        <v>14 - 800 - 899</v>
      </c>
      <c r="B22">
        <v>938</v>
      </c>
      <c r="C22">
        <v>1</v>
      </c>
      <c r="D22">
        <v>46</v>
      </c>
      <c r="E22">
        <v>4.9000000000000004</v>
      </c>
      <c r="F22">
        <v>883</v>
      </c>
      <c r="G22" s="1">
        <v>24317.15</v>
      </c>
      <c r="H22" t="str">
        <f t="shared" si="0"/>
        <v xml:space="preserve"> </v>
      </c>
      <c r="I22">
        <v>622</v>
      </c>
      <c r="J22">
        <v>1.3</v>
      </c>
      <c r="K22">
        <v>31</v>
      </c>
      <c r="L22">
        <v>5</v>
      </c>
      <c r="M22">
        <v>618</v>
      </c>
      <c r="N22" s="1">
        <v>16199.3</v>
      </c>
      <c r="O22" s="1"/>
      <c r="P22">
        <v>316</v>
      </c>
      <c r="Q22">
        <v>0.8</v>
      </c>
      <c r="R22">
        <v>15</v>
      </c>
      <c r="S22">
        <v>4.7</v>
      </c>
      <c r="T22">
        <v>314</v>
      </c>
      <c r="U22" s="1">
        <v>8117.85</v>
      </c>
      <c r="W22">
        <v>0.5</v>
      </c>
    </row>
    <row r="23" spans="1:23" x14ac:dyDescent="0.2">
      <c r="A23" t="str">
        <f>"15 - 900 - 919"</f>
        <v>15 - 900 - 919</v>
      </c>
      <c r="B23">
        <v>919</v>
      </c>
      <c r="C23">
        <v>1</v>
      </c>
      <c r="D23">
        <v>188</v>
      </c>
      <c r="E23">
        <v>20.5</v>
      </c>
      <c r="F23">
        <v>849</v>
      </c>
      <c r="G23" s="1">
        <v>25588.76</v>
      </c>
      <c r="H23" t="str">
        <f t="shared" si="0"/>
        <v xml:space="preserve"> </v>
      </c>
      <c r="I23">
        <v>514</v>
      </c>
      <c r="J23">
        <v>1</v>
      </c>
      <c r="K23">
        <v>119</v>
      </c>
      <c r="L23">
        <v>23.2</v>
      </c>
      <c r="M23">
        <v>508</v>
      </c>
      <c r="N23" s="1">
        <v>14271.91</v>
      </c>
      <c r="O23" s="1"/>
      <c r="P23">
        <v>405</v>
      </c>
      <c r="Q23">
        <v>1</v>
      </c>
      <c r="R23">
        <v>69</v>
      </c>
      <c r="S23">
        <v>17</v>
      </c>
      <c r="T23">
        <v>396</v>
      </c>
      <c r="U23" s="1">
        <v>11316.85</v>
      </c>
      <c r="W23">
        <v>2.2000000000000002</v>
      </c>
    </row>
    <row r="24" spans="1:23" x14ac:dyDescent="0.2">
      <c r="A24" t="str">
        <f>"16 - 920 - 929"</f>
        <v>16 - 920 - 929</v>
      </c>
      <c r="B24">
        <v>2012</v>
      </c>
      <c r="C24">
        <v>2.2000000000000002</v>
      </c>
      <c r="D24">
        <v>178</v>
      </c>
      <c r="E24">
        <v>8.8000000000000007</v>
      </c>
      <c r="F24">
        <v>1904</v>
      </c>
      <c r="G24" s="1">
        <v>61218.8</v>
      </c>
      <c r="H24" t="str">
        <f t="shared" si="0"/>
        <v xml:space="preserve"> </v>
      </c>
      <c r="I24">
        <v>1429</v>
      </c>
      <c r="J24">
        <v>2.9</v>
      </c>
      <c r="K24">
        <v>110</v>
      </c>
      <c r="L24">
        <v>7.7</v>
      </c>
      <c r="M24">
        <v>1401</v>
      </c>
      <c r="N24" s="1">
        <v>43623.8</v>
      </c>
      <c r="O24" s="1"/>
      <c r="P24">
        <v>583</v>
      </c>
      <c r="Q24">
        <v>1.4</v>
      </c>
      <c r="R24">
        <v>68</v>
      </c>
      <c r="S24">
        <v>11.7</v>
      </c>
      <c r="T24">
        <v>577</v>
      </c>
      <c r="U24" s="1">
        <v>17595</v>
      </c>
      <c r="W24">
        <v>2.1</v>
      </c>
    </row>
    <row r="25" spans="1:23" x14ac:dyDescent="0.2">
      <c r="A25" t="str">
        <f>"17 - 930 - 999"</f>
        <v>17 - 930 - 999</v>
      </c>
      <c r="B25">
        <v>1563</v>
      </c>
      <c r="C25">
        <v>1.7</v>
      </c>
      <c r="D25">
        <v>76</v>
      </c>
      <c r="E25">
        <v>4.9000000000000004</v>
      </c>
      <c r="F25">
        <v>1478</v>
      </c>
      <c r="G25" s="1">
        <v>49696.5</v>
      </c>
      <c r="H25" t="str">
        <f t="shared" si="0"/>
        <v xml:space="preserve"> </v>
      </c>
      <c r="I25">
        <v>1119</v>
      </c>
      <c r="J25">
        <v>2.2999999999999998</v>
      </c>
      <c r="K25">
        <v>56</v>
      </c>
      <c r="L25">
        <v>5</v>
      </c>
      <c r="M25">
        <v>1077</v>
      </c>
      <c r="N25" s="1">
        <v>36301.85</v>
      </c>
      <c r="O25" s="1"/>
      <c r="P25">
        <v>444</v>
      </c>
      <c r="Q25">
        <v>1.1000000000000001</v>
      </c>
      <c r="R25">
        <v>20</v>
      </c>
      <c r="S25">
        <v>4.5</v>
      </c>
      <c r="T25">
        <v>437</v>
      </c>
      <c r="U25" s="1">
        <v>13394.65</v>
      </c>
      <c r="W25">
        <v>0.9</v>
      </c>
    </row>
    <row r="26" spans="1:23" x14ac:dyDescent="0.2">
      <c r="A26" t="str">
        <f>"18 - Audio E Songs"</f>
        <v>18 - Audio E Songs</v>
      </c>
      <c r="B26">
        <v>0</v>
      </c>
      <c r="C26">
        <v>0</v>
      </c>
      <c r="D26">
        <v>0</v>
      </c>
      <c r="E26">
        <v>0</v>
      </c>
      <c r="F26">
        <v>0</v>
      </c>
      <c r="G26" s="1">
        <v>0</v>
      </c>
      <c r="H26" t="str">
        <f t="shared" si="0"/>
        <v xml:space="preserve"> </v>
      </c>
      <c r="I26">
        <v>0</v>
      </c>
      <c r="J26">
        <v>0</v>
      </c>
      <c r="K26">
        <v>0</v>
      </c>
      <c r="L26">
        <v>0</v>
      </c>
      <c r="M26">
        <v>0</v>
      </c>
      <c r="N26" s="1">
        <v>0</v>
      </c>
      <c r="O26" s="1"/>
      <c r="P26">
        <v>0</v>
      </c>
      <c r="Q26">
        <v>0</v>
      </c>
      <c r="R26">
        <v>0</v>
      </c>
      <c r="S26">
        <v>0</v>
      </c>
      <c r="T26">
        <v>0</v>
      </c>
      <c r="U26" s="1">
        <v>0</v>
      </c>
      <c r="W26">
        <v>0</v>
      </c>
    </row>
    <row r="27" spans="1:23" x14ac:dyDescent="0.2">
      <c r="A27" t="str">
        <f>"19 - Movies, Children"</f>
        <v>19 - Movies, Children</v>
      </c>
      <c r="B27">
        <v>1343</v>
      </c>
      <c r="C27">
        <v>1.5</v>
      </c>
      <c r="D27">
        <v>105</v>
      </c>
      <c r="E27">
        <v>7.8</v>
      </c>
      <c r="F27">
        <v>1136</v>
      </c>
      <c r="G27" s="1">
        <v>24682.74</v>
      </c>
      <c r="H27" t="str">
        <f t="shared" si="0"/>
        <v xml:space="preserve"> </v>
      </c>
      <c r="I27">
        <v>605</v>
      </c>
      <c r="J27">
        <v>1.2</v>
      </c>
      <c r="K27">
        <v>62</v>
      </c>
      <c r="L27">
        <v>10.199999999999999</v>
      </c>
      <c r="M27">
        <v>588</v>
      </c>
      <c r="N27" s="1">
        <v>11187.95</v>
      </c>
      <c r="O27" s="1"/>
      <c r="P27">
        <v>738</v>
      </c>
      <c r="Q27">
        <v>1.8</v>
      </c>
      <c r="R27">
        <v>43</v>
      </c>
      <c r="S27">
        <v>5.8</v>
      </c>
      <c r="T27">
        <v>694</v>
      </c>
      <c r="U27" s="1">
        <v>13494.79</v>
      </c>
      <c r="W27">
        <v>1.2</v>
      </c>
    </row>
    <row r="28" spans="1:23" x14ac:dyDescent="0.2">
      <c r="A28" t="str">
        <f>"20 - Children's Graphic Novels"</f>
        <v>20 - Children's Graphic Novels</v>
      </c>
      <c r="B28">
        <v>875</v>
      </c>
      <c r="C28">
        <v>1</v>
      </c>
      <c r="D28">
        <v>231</v>
      </c>
      <c r="E28">
        <v>26.4</v>
      </c>
      <c r="F28">
        <v>720</v>
      </c>
      <c r="G28" s="1">
        <v>16235.99</v>
      </c>
      <c r="H28" t="str">
        <f t="shared" si="0"/>
        <v xml:space="preserve"> </v>
      </c>
      <c r="I28">
        <v>383</v>
      </c>
      <c r="J28">
        <v>0.8</v>
      </c>
      <c r="K28">
        <v>113</v>
      </c>
      <c r="L28">
        <v>29.5</v>
      </c>
      <c r="M28">
        <v>348</v>
      </c>
      <c r="N28" s="1">
        <v>7162</v>
      </c>
      <c r="O28" s="1"/>
      <c r="P28">
        <v>492</v>
      </c>
      <c r="Q28">
        <v>1.2</v>
      </c>
      <c r="R28">
        <v>118</v>
      </c>
      <c r="S28">
        <v>24</v>
      </c>
      <c r="T28">
        <v>464</v>
      </c>
      <c r="U28" s="1">
        <v>9073.99</v>
      </c>
      <c r="W28">
        <v>2.7</v>
      </c>
    </row>
    <row r="29" spans="1:23" x14ac:dyDescent="0.2">
      <c r="A29" t="str">
        <f>"21 - J 000 - J 199"</f>
        <v>21 - J 000 - J 199</v>
      </c>
      <c r="B29">
        <v>325</v>
      </c>
      <c r="C29">
        <v>0.4</v>
      </c>
      <c r="D29">
        <v>31</v>
      </c>
      <c r="E29">
        <v>9.5</v>
      </c>
      <c r="F29">
        <v>299</v>
      </c>
      <c r="G29" s="1">
        <v>7147.88</v>
      </c>
      <c r="H29" t="str">
        <f t="shared" si="0"/>
        <v xml:space="preserve"> </v>
      </c>
      <c r="I29">
        <v>183</v>
      </c>
      <c r="J29">
        <v>0.4</v>
      </c>
      <c r="K29">
        <v>21</v>
      </c>
      <c r="L29">
        <v>11.5</v>
      </c>
      <c r="M29">
        <v>176</v>
      </c>
      <c r="N29" s="1">
        <v>4099.99</v>
      </c>
      <c r="O29" s="1"/>
      <c r="P29">
        <v>142</v>
      </c>
      <c r="Q29">
        <v>0.4</v>
      </c>
      <c r="R29">
        <v>10</v>
      </c>
      <c r="S29">
        <v>7</v>
      </c>
      <c r="T29">
        <v>140</v>
      </c>
      <c r="U29" s="1">
        <v>3047.89</v>
      </c>
      <c r="W29">
        <v>0.4</v>
      </c>
    </row>
    <row r="30" spans="1:23" x14ac:dyDescent="0.2">
      <c r="A30" t="str">
        <f>"22 - J 200 - J 299"</f>
        <v>22 - J 200 - J 299</v>
      </c>
      <c r="B30">
        <v>210</v>
      </c>
      <c r="C30">
        <v>0.2</v>
      </c>
      <c r="D30">
        <v>14</v>
      </c>
      <c r="E30">
        <v>6.7</v>
      </c>
      <c r="F30">
        <v>202</v>
      </c>
      <c r="G30" s="1">
        <v>4704.84</v>
      </c>
      <c r="H30" t="str">
        <f t="shared" si="0"/>
        <v xml:space="preserve"> </v>
      </c>
      <c r="I30">
        <v>115</v>
      </c>
      <c r="J30">
        <v>0.2</v>
      </c>
      <c r="K30">
        <v>6</v>
      </c>
      <c r="L30">
        <v>5.2</v>
      </c>
      <c r="M30">
        <v>114</v>
      </c>
      <c r="N30" s="1">
        <v>2545.89</v>
      </c>
      <c r="O30" s="1"/>
      <c r="P30">
        <v>95</v>
      </c>
      <c r="Q30">
        <v>0.2</v>
      </c>
      <c r="R30">
        <v>8</v>
      </c>
      <c r="S30">
        <v>8.4</v>
      </c>
      <c r="T30">
        <v>94</v>
      </c>
      <c r="U30" s="1">
        <v>2158.9499999999998</v>
      </c>
      <c r="W30">
        <v>0.2</v>
      </c>
    </row>
    <row r="31" spans="1:23" x14ac:dyDescent="0.2">
      <c r="A31" t="str">
        <f>"23 - J 300 - J 399"</f>
        <v>23 - J 300 - J 399</v>
      </c>
      <c r="B31">
        <v>1662</v>
      </c>
      <c r="C31">
        <v>1.9</v>
      </c>
      <c r="D31">
        <v>237</v>
      </c>
      <c r="E31">
        <v>14.3</v>
      </c>
      <c r="F31">
        <v>1512</v>
      </c>
      <c r="G31" s="1">
        <v>32899.57</v>
      </c>
      <c r="H31" t="str">
        <f t="shared" si="0"/>
        <v xml:space="preserve"> </v>
      </c>
      <c r="I31">
        <v>852</v>
      </c>
      <c r="J31">
        <v>1.7</v>
      </c>
      <c r="K31">
        <v>137</v>
      </c>
      <c r="L31">
        <v>16.100000000000001</v>
      </c>
      <c r="M31">
        <v>824</v>
      </c>
      <c r="N31" s="1">
        <v>16900.88</v>
      </c>
      <c r="O31" s="1"/>
      <c r="P31">
        <v>810</v>
      </c>
      <c r="Q31">
        <v>2</v>
      </c>
      <c r="R31">
        <v>100</v>
      </c>
      <c r="S31">
        <v>12.3</v>
      </c>
      <c r="T31">
        <v>795</v>
      </c>
      <c r="U31" s="1">
        <v>15998.69</v>
      </c>
      <c r="W31">
        <v>2.8</v>
      </c>
    </row>
    <row r="32" spans="1:23" x14ac:dyDescent="0.2">
      <c r="A32" t="str">
        <f>"24 - J 400 - J 499"</f>
        <v>24 - J 400 - J 499</v>
      </c>
      <c r="B32">
        <v>706</v>
      </c>
      <c r="C32">
        <v>0.8</v>
      </c>
      <c r="D32">
        <v>36</v>
      </c>
      <c r="E32">
        <v>5.0999999999999996</v>
      </c>
      <c r="F32">
        <v>657</v>
      </c>
      <c r="G32" s="1">
        <v>12437.02</v>
      </c>
      <c r="H32" t="str">
        <f t="shared" si="0"/>
        <v xml:space="preserve"> </v>
      </c>
      <c r="I32">
        <v>417</v>
      </c>
      <c r="J32">
        <v>0.8</v>
      </c>
      <c r="K32">
        <v>25</v>
      </c>
      <c r="L32">
        <v>6</v>
      </c>
      <c r="M32">
        <v>407</v>
      </c>
      <c r="N32" s="1">
        <v>7385.29</v>
      </c>
      <c r="O32" s="1"/>
      <c r="P32">
        <v>289</v>
      </c>
      <c r="Q32">
        <v>0.7</v>
      </c>
      <c r="R32">
        <v>11</v>
      </c>
      <c r="S32">
        <v>3.8</v>
      </c>
      <c r="T32">
        <v>285</v>
      </c>
      <c r="U32" s="1">
        <v>5051.7299999999996</v>
      </c>
      <c r="W32">
        <v>0.4</v>
      </c>
    </row>
    <row r="33" spans="1:23" x14ac:dyDescent="0.2">
      <c r="A33" t="str">
        <f>"25 - J 500 - J 599"</f>
        <v>25 - J 500 - J 599</v>
      </c>
      <c r="B33">
        <v>2501</v>
      </c>
      <c r="C33">
        <v>2.8</v>
      </c>
      <c r="D33">
        <v>125</v>
      </c>
      <c r="E33">
        <v>5</v>
      </c>
      <c r="F33">
        <v>2409</v>
      </c>
      <c r="G33" s="1">
        <v>53133.04</v>
      </c>
      <c r="H33" t="str">
        <f t="shared" si="0"/>
        <v xml:space="preserve"> </v>
      </c>
      <c r="I33">
        <v>1435</v>
      </c>
      <c r="J33">
        <v>2.9</v>
      </c>
      <c r="K33">
        <v>72</v>
      </c>
      <c r="L33">
        <v>5</v>
      </c>
      <c r="M33">
        <v>1424</v>
      </c>
      <c r="N33" s="1">
        <v>30917.48</v>
      </c>
      <c r="O33" s="1"/>
      <c r="P33">
        <v>1066</v>
      </c>
      <c r="Q33">
        <v>2.6</v>
      </c>
      <c r="R33">
        <v>53</v>
      </c>
      <c r="S33">
        <v>5</v>
      </c>
      <c r="T33">
        <v>1062</v>
      </c>
      <c r="U33" s="1">
        <v>22215.56</v>
      </c>
      <c r="W33">
        <v>1.5</v>
      </c>
    </row>
    <row r="34" spans="1:23" x14ac:dyDescent="0.2">
      <c r="A34" t="str">
        <f>"26 - J 600 - J 699"</f>
        <v>26 - J 600 - J 699</v>
      </c>
      <c r="B34">
        <v>1242</v>
      </c>
      <c r="C34">
        <v>1.4</v>
      </c>
      <c r="D34">
        <v>72</v>
      </c>
      <c r="E34">
        <v>5.8</v>
      </c>
      <c r="F34">
        <v>1193</v>
      </c>
      <c r="G34" s="1">
        <v>27650.86</v>
      </c>
      <c r="H34" t="str">
        <f t="shared" si="0"/>
        <v xml:space="preserve"> </v>
      </c>
      <c r="I34">
        <v>701</v>
      </c>
      <c r="J34">
        <v>1.4</v>
      </c>
      <c r="K34">
        <v>31</v>
      </c>
      <c r="L34">
        <v>4.4000000000000004</v>
      </c>
      <c r="M34">
        <v>695</v>
      </c>
      <c r="N34" s="1">
        <v>15689.13</v>
      </c>
      <c r="O34" s="1"/>
      <c r="P34">
        <v>541</v>
      </c>
      <c r="Q34">
        <v>1.3</v>
      </c>
      <c r="R34">
        <v>41</v>
      </c>
      <c r="S34">
        <v>7.6</v>
      </c>
      <c r="T34">
        <v>537</v>
      </c>
      <c r="U34" s="1">
        <v>11961.73</v>
      </c>
      <c r="W34">
        <v>0.9</v>
      </c>
    </row>
    <row r="35" spans="1:23" x14ac:dyDescent="0.2">
      <c r="A35" t="str">
        <f>"27 - J 700 - J 799"</f>
        <v>27 - J 700 - J 799</v>
      </c>
      <c r="B35">
        <v>1352</v>
      </c>
      <c r="C35">
        <v>1.5</v>
      </c>
      <c r="D35">
        <v>172</v>
      </c>
      <c r="E35">
        <v>12.7</v>
      </c>
      <c r="F35">
        <v>1249</v>
      </c>
      <c r="G35" s="1">
        <v>28096.82</v>
      </c>
      <c r="H35" t="str">
        <f t="shared" si="0"/>
        <v xml:space="preserve"> </v>
      </c>
      <c r="I35">
        <v>794</v>
      </c>
      <c r="J35">
        <v>1.6</v>
      </c>
      <c r="K35">
        <v>124</v>
      </c>
      <c r="L35">
        <v>15.6</v>
      </c>
      <c r="M35">
        <v>776</v>
      </c>
      <c r="N35" s="1">
        <v>16433.48</v>
      </c>
      <c r="O35" s="1"/>
      <c r="P35">
        <v>558</v>
      </c>
      <c r="Q35">
        <v>1.4</v>
      </c>
      <c r="R35">
        <v>48</v>
      </c>
      <c r="S35">
        <v>8.6</v>
      </c>
      <c r="T35">
        <v>547</v>
      </c>
      <c r="U35" s="1">
        <v>11663.34</v>
      </c>
      <c r="W35">
        <v>2</v>
      </c>
    </row>
    <row r="36" spans="1:23" x14ac:dyDescent="0.2">
      <c r="A36" t="str">
        <f>"28 - J 800 - J 899"</f>
        <v>28 - J 800 - J 899</v>
      </c>
      <c r="B36">
        <v>312</v>
      </c>
      <c r="C36">
        <v>0.3</v>
      </c>
      <c r="D36">
        <v>18</v>
      </c>
      <c r="E36">
        <v>5.8</v>
      </c>
      <c r="F36">
        <v>300</v>
      </c>
      <c r="G36" s="1">
        <v>6788.91</v>
      </c>
      <c r="H36" t="str">
        <f t="shared" si="0"/>
        <v xml:space="preserve"> </v>
      </c>
      <c r="I36">
        <v>192</v>
      </c>
      <c r="J36">
        <v>0.4</v>
      </c>
      <c r="K36">
        <v>9</v>
      </c>
      <c r="L36">
        <v>4.7</v>
      </c>
      <c r="M36">
        <v>192</v>
      </c>
      <c r="N36" s="1">
        <v>4295.53</v>
      </c>
      <c r="O36" s="1"/>
      <c r="P36">
        <v>120</v>
      </c>
      <c r="Q36">
        <v>0.3</v>
      </c>
      <c r="R36">
        <v>9</v>
      </c>
      <c r="S36">
        <v>7.5</v>
      </c>
      <c r="T36">
        <v>118</v>
      </c>
      <c r="U36" s="1">
        <v>2493.38</v>
      </c>
      <c r="W36">
        <v>0.2</v>
      </c>
    </row>
    <row r="37" spans="1:23" x14ac:dyDescent="0.2">
      <c r="A37" t="str">
        <f>"29 - J 900 - J 919"</f>
        <v>29 - J 900 - J 919</v>
      </c>
      <c r="B37">
        <v>222</v>
      </c>
      <c r="C37">
        <v>0.2</v>
      </c>
      <c r="D37">
        <v>15</v>
      </c>
      <c r="E37">
        <v>6.8</v>
      </c>
      <c r="F37">
        <v>217</v>
      </c>
      <c r="G37" s="1">
        <v>6152</v>
      </c>
      <c r="H37" t="str">
        <f t="shared" si="0"/>
        <v xml:space="preserve"> </v>
      </c>
      <c r="I37">
        <v>134</v>
      </c>
      <c r="J37">
        <v>0.3</v>
      </c>
      <c r="K37">
        <v>11</v>
      </c>
      <c r="L37">
        <v>8.1999999999999993</v>
      </c>
      <c r="M37">
        <v>134</v>
      </c>
      <c r="N37" s="1">
        <v>3545</v>
      </c>
      <c r="O37" s="1"/>
      <c r="P37">
        <v>88</v>
      </c>
      <c r="Q37">
        <v>0.2</v>
      </c>
      <c r="R37">
        <v>4</v>
      </c>
      <c r="S37">
        <v>4.5</v>
      </c>
      <c r="T37">
        <v>88</v>
      </c>
      <c r="U37" s="1">
        <v>2607</v>
      </c>
      <c r="W37">
        <v>0.2</v>
      </c>
    </row>
    <row r="38" spans="1:23" x14ac:dyDescent="0.2">
      <c r="A38" t="str">
        <f>"30 - J 920 - J 929"</f>
        <v>30 - J 920 - J 929</v>
      </c>
      <c r="B38">
        <v>1358</v>
      </c>
      <c r="C38">
        <v>1.5</v>
      </c>
      <c r="D38">
        <v>70</v>
      </c>
      <c r="E38">
        <v>5.2</v>
      </c>
      <c r="F38">
        <v>1290</v>
      </c>
      <c r="G38" s="1">
        <v>28714.42</v>
      </c>
      <c r="H38" t="str">
        <f t="shared" si="0"/>
        <v xml:space="preserve"> </v>
      </c>
      <c r="I38">
        <v>843</v>
      </c>
      <c r="J38">
        <v>1.7</v>
      </c>
      <c r="K38">
        <v>51</v>
      </c>
      <c r="L38">
        <v>6</v>
      </c>
      <c r="M38">
        <v>835</v>
      </c>
      <c r="N38" s="1">
        <v>17904.490000000002</v>
      </c>
      <c r="O38" s="1"/>
      <c r="P38">
        <v>515</v>
      </c>
      <c r="Q38">
        <v>1.3</v>
      </c>
      <c r="R38">
        <v>19</v>
      </c>
      <c r="S38">
        <v>3.7</v>
      </c>
      <c r="T38">
        <v>508</v>
      </c>
      <c r="U38" s="1">
        <v>10809.93</v>
      </c>
      <c r="W38">
        <v>0.8</v>
      </c>
    </row>
    <row r="39" spans="1:23" x14ac:dyDescent="0.2">
      <c r="A39" t="str">
        <f>"31 - J 930 - J 999"</f>
        <v>31 - J 930 - J 999</v>
      </c>
      <c r="B39">
        <v>1256</v>
      </c>
      <c r="C39">
        <v>1.4</v>
      </c>
      <c r="D39">
        <v>51</v>
      </c>
      <c r="E39">
        <v>4.0999999999999996</v>
      </c>
      <c r="F39">
        <v>1226</v>
      </c>
      <c r="G39" s="1">
        <v>30570.77</v>
      </c>
      <c r="H39" t="str">
        <f t="shared" si="0"/>
        <v xml:space="preserve"> </v>
      </c>
      <c r="I39">
        <v>730</v>
      </c>
      <c r="J39">
        <v>1.5</v>
      </c>
      <c r="K39">
        <v>41</v>
      </c>
      <c r="L39">
        <v>5.6</v>
      </c>
      <c r="M39">
        <v>727</v>
      </c>
      <c r="N39" s="1">
        <v>17657.68</v>
      </c>
      <c r="O39" s="1"/>
      <c r="P39">
        <v>526</v>
      </c>
      <c r="Q39">
        <v>1.3</v>
      </c>
      <c r="R39">
        <v>10</v>
      </c>
      <c r="S39">
        <v>1.9</v>
      </c>
      <c r="T39">
        <v>525</v>
      </c>
      <c r="U39" s="1">
        <v>12913.09</v>
      </c>
      <c r="W39">
        <v>0.6</v>
      </c>
    </row>
    <row r="40" spans="1:23" x14ac:dyDescent="0.2">
      <c r="A40" t="str">
        <f>"32 - Young Adult"</f>
        <v>32 - Young Adult</v>
      </c>
      <c r="B40">
        <v>3194</v>
      </c>
      <c r="C40">
        <v>3.6</v>
      </c>
      <c r="D40">
        <v>263</v>
      </c>
      <c r="E40">
        <v>8.1999999999999993</v>
      </c>
      <c r="F40">
        <v>2987</v>
      </c>
      <c r="G40" s="1">
        <v>66378.2</v>
      </c>
      <c r="H40" t="str">
        <f t="shared" si="0"/>
        <v xml:space="preserve"> </v>
      </c>
      <c r="I40">
        <v>1979</v>
      </c>
      <c r="J40">
        <v>4</v>
      </c>
      <c r="K40">
        <v>195</v>
      </c>
      <c r="L40">
        <v>9.9</v>
      </c>
      <c r="M40">
        <v>1940</v>
      </c>
      <c r="N40" s="1">
        <v>41135.71</v>
      </c>
      <c r="O40" s="1"/>
      <c r="P40">
        <v>1215</v>
      </c>
      <c r="Q40">
        <v>3</v>
      </c>
      <c r="R40">
        <v>68</v>
      </c>
      <c r="S40">
        <v>5.6</v>
      </c>
      <c r="T40">
        <v>1195</v>
      </c>
      <c r="U40" s="1">
        <v>25242.49</v>
      </c>
      <c r="W40">
        <v>3.1</v>
      </c>
    </row>
    <row r="41" spans="1:23" x14ac:dyDescent="0.2">
      <c r="A41" t="str">
        <f>"33 - Large Print"</f>
        <v>33 - Large Print</v>
      </c>
      <c r="B41">
        <v>767</v>
      </c>
      <c r="C41">
        <v>0.9</v>
      </c>
      <c r="D41">
        <v>66</v>
      </c>
      <c r="E41">
        <v>8.6</v>
      </c>
      <c r="F41">
        <v>751</v>
      </c>
      <c r="G41" s="1">
        <v>28554</v>
      </c>
      <c r="H41" t="str">
        <f t="shared" si="0"/>
        <v xml:space="preserve"> </v>
      </c>
      <c r="I41">
        <v>457</v>
      </c>
      <c r="J41">
        <v>0.9</v>
      </c>
      <c r="K41">
        <v>43</v>
      </c>
      <c r="L41">
        <v>9.4</v>
      </c>
      <c r="M41">
        <v>453</v>
      </c>
      <c r="N41" s="1">
        <v>16940</v>
      </c>
      <c r="O41" s="1"/>
      <c r="P41">
        <v>310</v>
      </c>
      <c r="Q41">
        <v>0.8</v>
      </c>
      <c r="R41">
        <v>23</v>
      </c>
      <c r="S41">
        <v>7.4</v>
      </c>
      <c r="T41">
        <v>310</v>
      </c>
      <c r="U41" s="1">
        <v>11614</v>
      </c>
      <c r="W41">
        <v>0.8</v>
      </c>
    </row>
    <row r="42" spans="1:23" x14ac:dyDescent="0.2">
      <c r="A42" t="str">
        <f>"37 - Lone Star"</f>
        <v>37 - Lone Star</v>
      </c>
      <c r="B42">
        <v>86</v>
      </c>
      <c r="C42">
        <v>0.1</v>
      </c>
      <c r="D42">
        <v>37</v>
      </c>
      <c r="E42">
        <v>43</v>
      </c>
      <c r="F42">
        <v>23</v>
      </c>
      <c r="G42" s="1">
        <v>1922.99</v>
      </c>
      <c r="H42" t="str">
        <f t="shared" si="0"/>
        <v xml:space="preserve"> </v>
      </c>
      <c r="I42">
        <v>44</v>
      </c>
      <c r="J42">
        <v>0.1</v>
      </c>
      <c r="K42">
        <v>19</v>
      </c>
      <c r="L42">
        <v>43.2</v>
      </c>
      <c r="M42">
        <v>22</v>
      </c>
      <c r="N42" s="1">
        <v>978</v>
      </c>
      <c r="O42" s="1"/>
      <c r="P42">
        <v>42</v>
      </c>
      <c r="Q42">
        <v>0.1</v>
      </c>
      <c r="R42">
        <v>18</v>
      </c>
      <c r="S42">
        <v>42.9</v>
      </c>
      <c r="T42">
        <v>21</v>
      </c>
      <c r="U42" s="1">
        <v>944.99</v>
      </c>
      <c r="W42">
        <v>0.4</v>
      </c>
    </row>
    <row r="43" spans="1:23" x14ac:dyDescent="0.2">
      <c r="A43" t="str">
        <f>"38 - Bluebonnet"</f>
        <v>38 - Bluebonnet</v>
      </c>
      <c r="B43">
        <v>72</v>
      </c>
      <c r="C43">
        <v>0.1</v>
      </c>
      <c r="D43">
        <v>33</v>
      </c>
      <c r="E43">
        <v>45.8</v>
      </c>
      <c r="F43">
        <v>20</v>
      </c>
      <c r="G43" s="1">
        <v>1571</v>
      </c>
      <c r="H43" t="str">
        <f t="shared" si="0"/>
        <v xml:space="preserve"> </v>
      </c>
      <c r="I43">
        <v>49</v>
      </c>
      <c r="J43">
        <v>0.1</v>
      </c>
      <c r="K43">
        <v>25</v>
      </c>
      <c r="L43">
        <v>51</v>
      </c>
      <c r="M43">
        <v>20</v>
      </c>
      <c r="N43" s="1">
        <v>1065</v>
      </c>
      <c r="O43" s="1"/>
      <c r="P43">
        <v>23</v>
      </c>
      <c r="Q43">
        <v>0.1</v>
      </c>
      <c r="R43">
        <v>8</v>
      </c>
      <c r="S43">
        <v>34.799999999999997</v>
      </c>
      <c r="T43">
        <v>15</v>
      </c>
      <c r="U43" s="1">
        <v>506</v>
      </c>
      <c r="W43">
        <v>0.4</v>
      </c>
    </row>
    <row r="44" spans="1:23" x14ac:dyDescent="0.2">
      <c r="A44" t="str">
        <f>"39 - Flashdrive"</f>
        <v>39 - Flashdrive</v>
      </c>
      <c r="B44">
        <v>5</v>
      </c>
      <c r="C44">
        <v>0</v>
      </c>
      <c r="D44">
        <v>0</v>
      </c>
      <c r="E44">
        <v>0</v>
      </c>
      <c r="F44">
        <v>2</v>
      </c>
      <c r="G44" s="1">
        <v>105</v>
      </c>
      <c r="H44" t="str">
        <f t="shared" si="0"/>
        <v xml:space="preserve"> </v>
      </c>
      <c r="I44">
        <v>2</v>
      </c>
      <c r="J44">
        <v>0</v>
      </c>
      <c r="K44">
        <v>0</v>
      </c>
      <c r="L44">
        <v>0</v>
      </c>
      <c r="M44">
        <v>1</v>
      </c>
      <c r="N44" s="1">
        <v>40</v>
      </c>
      <c r="O44" s="1"/>
      <c r="P44">
        <v>3</v>
      </c>
      <c r="Q44">
        <v>0</v>
      </c>
      <c r="R44">
        <v>0</v>
      </c>
      <c r="S44">
        <v>0</v>
      </c>
      <c r="T44">
        <v>2</v>
      </c>
      <c r="U44" s="1">
        <v>65</v>
      </c>
      <c r="W44">
        <v>0</v>
      </c>
    </row>
    <row r="45" spans="1:23" x14ac:dyDescent="0.2">
      <c r="A45" t="str">
        <f>"40 - Oversize Nonfiction"</f>
        <v>40 - Oversize Nonfiction</v>
      </c>
      <c r="B45">
        <v>96</v>
      </c>
      <c r="C45">
        <v>0.1</v>
      </c>
      <c r="D45">
        <v>2</v>
      </c>
      <c r="E45">
        <v>2.1</v>
      </c>
      <c r="F45">
        <v>95</v>
      </c>
      <c r="G45" s="1">
        <v>5784.88</v>
      </c>
      <c r="H45" t="str">
        <f t="shared" si="0"/>
        <v xml:space="preserve"> </v>
      </c>
      <c r="I45">
        <v>96</v>
      </c>
      <c r="J45">
        <v>0.2</v>
      </c>
      <c r="K45">
        <v>2</v>
      </c>
      <c r="L45">
        <v>2.1</v>
      </c>
      <c r="M45">
        <v>95</v>
      </c>
      <c r="N45" s="1">
        <v>5784.88</v>
      </c>
      <c r="O45" s="1"/>
      <c r="P45">
        <v>0</v>
      </c>
      <c r="Q45">
        <v>0</v>
      </c>
      <c r="R45">
        <v>0</v>
      </c>
      <c r="S45">
        <v>0</v>
      </c>
      <c r="T45">
        <v>0</v>
      </c>
      <c r="U45" s="1">
        <v>0</v>
      </c>
      <c r="W45">
        <v>0</v>
      </c>
    </row>
    <row r="46" spans="1:23" x14ac:dyDescent="0.2">
      <c r="A46" t="str">
        <f>"41 - Beginning Reader"</f>
        <v>41 - Beginning Reader</v>
      </c>
      <c r="B46">
        <v>2336</v>
      </c>
      <c r="C46">
        <v>2.6</v>
      </c>
      <c r="D46">
        <v>374</v>
      </c>
      <c r="E46">
        <v>16</v>
      </c>
      <c r="F46">
        <v>1846</v>
      </c>
      <c r="G46" s="1">
        <v>27029.45</v>
      </c>
      <c r="H46" t="str">
        <f t="shared" si="0"/>
        <v xml:space="preserve"> </v>
      </c>
      <c r="I46">
        <v>1514</v>
      </c>
      <c r="J46">
        <v>3.1</v>
      </c>
      <c r="K46">
        <v>231</v>
      </c>
      <c r="L46">
        <v>15.3</v>
      </c>
      <c r="M46">
        <v>1301</v>
      </c>
      <c r="N46" s="1">
        <v>17436.2</v>
      </c>
      <c r="O46" s="1"/>
      <c r="P46">
        <v>822</v>
      </c>
      <c r="Q46">
        <v>2</v>
      </c>
      <c r="R46">
        <v>143</v>
      </c>
      <c r="S46">
        <v>17.399999999999999</v>
      </c>
      <c r="T46">
        <v>749</v>
      </c>
      <c r="U46" s="1">
        <v>9593.25</v>
      </c>
      <c r="W46">
        <v>4.4000000000000004</v>
      </c>
    </row>
    <row r="47" spans="1:23" x14ac:dyDescent="0.2">
      <c r="A47" t="str">
        <f>"42 - Laptop Computer"</f>
        <v>42 - Laptop Computer</v>
      </c>
      <c r="B47">
        <v>0</v>
      </c>
      <c r="C47">
        <v>0</v>
      </c>
      <c r="D47">
        <v>0</v>
      </c>
      <c r="E47">
        <v>0</v>
      </c>
      <c r="F47">
        <v>0</v>
      </c>
      <c r="G47" s="1">
        <v>0</v>
      </c>
      <c r="H47" t="str">
        <f t="shared" si="0"/>
        <v xml:space="preserve"> </v>
      </c>
      <c r="I47">
        <v>0</v>
      </c>
      <c r="J47">
        <v>0</v>
      </c>
      <c r="K47">
        <v>0</v>
      </c>
      <c r="L47">
        <v>0</v>
      </c>
      <c r="M47">
        <v>0</v>
      </c>
      <c r="N47" s="1">
        <v>0</v>
      </c>
      <c r="O47" s="1"/>
      <c r="P47">
        <v>0</v>
      </c>
      <c r="Q47">
        <v>0</v>
      </c>
      <c r="R47">
        <v>0</v>
      </c>
      <c r="S47">
        <v>0</v>
      </c>
      <c r="T47">
        <v>0</v>
      </c>
      <c r="U47" s="1">
        <v>0</v>
      </c>
      <c r="W47">
        <v>0</v>
      </c>
    </row>
    <row r="48" spans="1:23" x14ac:dyDescent="0.2">
      <c r="A48" t="str">
        <f>"43 - Board Books"</f>
        <v>43 - Board Books</v>
      </c>
      <c r="B48">
        <v>925</v>
      </c>
      <c r="C48">
        <v>1</v>
      </c>
      <c r="D48">
        <v>100</v>
      </c>
      <c r="E48">
        <v>10.8</v>
      </c>
      <c r="F48">
        <v>806</v>
      </c>
      <c r="G48" s="1">
        <v>11739.94</v>
      </c>
      <c r="H48" t="str">
        <f t="shared" si="0"/>
        <v xml:space="preserve"> </v>
      </c>
      <c r="I48">
        <v>493</v>
      </c>
      <c r="J48">
        <v>1</v>
      </c>
      <c r="K48">
        <v>60</v>
      </c>
      <c r="L48">
        <v>12.2</v>
      </c>
      <c r="M48">
        <v>479</v>
      </c>
      <c r="N48" s="1">
        <v>6242</v>
      </c>
      <c r="O48" s="1"/>
      <c r="P48">
        <v>432</v>
      </c>
      <c r="Q48">
        <v>1.1000000000000001</v>
      </c>
      <c r="R48">
        <v>40</v>
      </c>
      <c r="S48">
        <v>9.3000000000000007</v>
      </c>
      <c r="T48">
        <v>408</v>
      </c>
      <c r="U48" s="1">
        <v>5497.94</v>
      </c>
      <c r="W48">
        <v>1.2</v>
      </c>
    </row>
    <row r="49" spans="1:23" x14ac:dyDescent="0.2">
      <c r="A49" t="str">
        <f>"44 - Audio Books"</f>
        <v>44 - Audio Books</v>
      </c>
      <c r="B49">
        <v>2431</v>
      </c>
      <c r="C49">
        <v>2.7</v>
      </c>
      <c r="D49">
        <v>167</v>
      </c>
      <c r="E49">
        <v>6.9</v>
      </c>
      <c r="F49">
        <v>2277</v>
      </c>
      <c r="G49" s="1">
        <v>104745.94</v>
      </c>
      <c r="H49" t="str">
        <f t="shared" si="0"/>
        <v xml:space="preserve"> </v>
      </c>
      <c r="I49">
        <v>1112</v>
      </c>
      <c r="J49">
        <v>2.2000000000000002</v>
      </c>
      <c r="K49">
        <v>108</v>
      </c>
      <c r="L49">
        <v>9.6999999999999993</v>
      </c>
      <c r="M49">
        <v>1097</v>
      </c>
      <c r="N49" s="1">
        <v>47390.98</v>
      </c>
      <c r="O49" s="1"/>
      <c r="P49">
        <v>1319</v>
      </c>
      <c r="Q49">
        <v>3.3</v>
      </c>
      <c r="R49">
        <v>59</v>
      </c>
      <c r="S49">
        <v>4.5</v>
      </c>
      <c r="T49">
        <v>1296</v>
      </c>
      <c r="U49" s="1">
        <v>57354.96</v>
      </c>
      <c r="W49">
        <v>2</v>
      </c>
    </row>
    <row r="50" spans="1:23" x14ac:dyDescent="0.2">
      <c r="A50" t="str">
        <f>"45 - Audio Nonfiction"</f>
        <v>45 - Audio Nonfiction</v>
      </c>
      <c r="B50">
        <v>1811</v>
      </c>
      <c r="C50">
        <v>2</v>
      </c>
      <c r="D50">
        <v>109</v>
      </c>
      <c r="E50">
        <v>6</v>
      </c>
      <c r="F50">
        <v>1676</v>
      </c>
      <c r="G50" s="1">
        <v>67151.929999999993</v>
      </c>
      <c r="H50" t="str">
        <f t="shared" si="0"/>
        <v xml:space="preserve"> </v>
      </c>
      <c r="I50">
        <v>779</v>
      </c>
      <c r="J50">
        <v>1.6</v>
      </c>
      <c r="K50">
        <v>67</v>
      </c>
      <c r="L50">
        <v>8.6</v>
      </c>
      <c r="M50">
        <v>771</v>
      </c>
      <c r="N50" s="1">
        <v>29191.95</v>
      </c>
      <c r="O50" s="1"/>
      <c r="P50">
        <v>1032</v>
      </c>
      <c r="Q50">
        <v>2.6</v>
      </c>
      <c r="R50">
        <v>42</v>
      </c>
      <c r="S50">
        <v>4.0999999999999996</v>
      </c>
      <c r="T50">
        <v>1004</v>
      </c>
      <c r="U50" s="1">
        <v>37959.980000000003</v>
      </c>
      <c r="W50">
        <v>1.3</v>
      </c>
    </row>
    <row r="51" spans="1:23" x14ac:dyDescent="0.2">
      <c r="A51" t="str">
        <f>"46 - Movies"</f>
        <v>46 - Movies</v>
      </c>
      <c r="B51">
        <v>9936</v>
      </c>
      <c r="C51">
        <v>11.1</v>
      </c>
      <c r="D51">
        <v>951</v>
      </c>
      <c r="E51">
        <v>9.6</v>
      </c>
      <c r="F51">
        <v>7958</v>
      </c>
      <c r="G51" s="1">
        <v>226789.2</v>
      </c>
      <c r="H51" t="str">
        <f t="shared" si="0"/>
        <v xml:space="preserve"> </v>
      </c>
      <c r="I51">
        <v>4709</v>
      </c>
      <c r="J51">
        <v>9.5</v>
      </c>
      <c r="K51">
        <v>581</v>
      </c>
      <c r="L51">
        <v>12.3</v>
      </c>
      <c r="M51">
        <v>4538</v>
      </c>
      <c r="N51" s="1">
        <v>106697.73</v>
      </c>
      <c r="O51" s="1"/>
      <c r="P51">
        <v>5227</v>
      </c>
      <c r="Q51">
        <v>13</v>
      </c>
      <c r="R51">
        <v>370</v>
      </c>
      <c r="S51">
        <v>7.1</v>
      </c>
      <c r="T51">
        <v>4659</v>
      </c>
      <c r="U51" s="1">
        <v>120091.47</v>
      </c>
      <c r="W51">
        <v>11.2</v>
      </c>
    </row>
    <row r="52" spans="1:23" x14ac:dyDescent="0.2">
      <c r="A52" t="str">
        <f>"47 - Video Nonfiction"</f>
        <v>47 - Video Nonfiction</v>
      </c>
      <c r="B52">
        <v>722</v>
      </c>
      <c r="C52">
        <v>0.8</v>
      </c>
      <c r="D52">
        <v>24</v>
      </c>
      <c r="E52">
        <v>3.3</v>
      </c>
      <c r="F52">
        <v>696</v>
      </c>
      <c r="G52" s="1">
        <v>21059</v>
      </c>
      <c r="H52" t="str">
        <f t="shared" si="0"/>
        <v xml:space="preserve"> </v>
      </c>
      <c r="I52">
        <v>365</v>
      </c>
      <c r="J52">
        <v>0.7</v>
      </c>
      <c r="K52">
        <v>11</v>
      </c>
      <c r="L52">
        <v>3</v>
      </c>
      <c r="M52">
        <v>360</v>
      </c>
      <c r="N52" s="1">
        <v>10394</v>
      </c>
      <c r="O52" s="1"/>
      <c r="P52">
        <v>357</v>
      </c>
      <c r="Q52">
        <v>0.9</v>
      </c>
      <c r="R52">
        <v>13</v>
      </c>
      <c r="S52">
        <v>3.6</v>
      </c>
      <c r="T52">
        <v>355</v>
      </c>
      <c r="U52" s="1">
        <v>10665</v>
      </c>
      <c r="W52">
        <v>0.3</v>
      </c>
    </row>
    <row r="53" spans="1:23" x14ac:dyDescent="0.2">
      <c r="A53" t="str">
        <f>"48 - Audio J Book &amp; Audio"</f>
        <v>48 - Audio J Book &amp; Audio</v>
      </c>
      <c r="B53">
        <v>278</v>
      </c>
      <c r="C53">
        <v>0.3</v>
      </c>
      <c r="D53">
        <v>16</v>
      </c>
      <c r="E53">
        <v>5.8</v>
      </c>
      <c r="F53">
        <v>263</v>
      </c>
      <c r="G53" s="1">
        <v>8000</v>
      </c>
      <c r="H53" t="str">
        <f t="shared" si="0"/>
        <v xml:space="preserve"> </v>
      </c>
      <c r="I53">
        <v>111</v>
      </c>
      <c r="J53">
        <v>0.2</v>
      </c>
      <c r="K53">
        <v>4</v>
      </c>
      <c r="L53">
        <v>3.6</v>
      </c>
      <c r="M53">
        <v>107</v>
      </c>
      <c r="N53" s="1">
        <v>3046</v>
      </c>
      <c r="O53" s="1"/>
      <c r="P53">
        <v>167</v>
      </c>
      <c r="Q53">
        <v>0.4</v>
      </c>
      <c r="R53">
        <v>12</v>
      </c>
      <c r="S53">
        <v>7.2</v>
      </c>
      <c r="T53">
        <v>162</v>
      </c>
      <c r="U53" s="1">
        <v>4954</v>
      </c>
      <c r="W53">
        <v>0.2</v>
      </c>
    </row>
    <row r="54" spans="1:23" x14ac:dyDescent="0.2">
      <c r="A54" t="str">
        <f>"49 - Audio J Books"</f>
        <v>49 - Audio J Books</v>
      </c>
      <c r="B54">
        <v>832</v>
      </c>
      <c r="C54">
        <v>0.9</v>
      </c>
      <c r="D54">
        <v>37</v>
      </c>
      <c r="E54">
        <v>4.4000000000000004</v>
      </c>
      <c r="F54">
        <v>776</v>
      </c>
      <c r="G54" s="1">
        <v>28231</v>
      </c>
      <c r="H54" t="str">
        <f t="shared" si="0"/>
        <v xml:space="preserve"> </v>
      </c>
      <c r="I54">
        <v>474</v>
      </c>
      <c r="J54">
        <v>1</v>
      </c>
      <c r="K54">
        <v>24</v>
      </c>
      <c r="L54">
        <v>5.0999999999999996</v>
      </c>
      <c r="M54">
        <v>466</v>
      </c>
      <c r="N54" s="1">
        <v>16180</v>
      </c>
      <c r="O54" s="1"/>
      <c r="P54">
        <v>358</v>
      </c>
      <c r="Q54">
        <v>0.9</v>
      </c>
      <c r="R54">
        <v>13</v>
      </c>
      <c r="S54">
        <v>3.6</v>
      </c>
      <c r="T54">
        <v>349</v>
      </c>
      <c r="U54" s="1">
        <v>12051</v>
      </c>
      <c r="W54">
        <v>0.4</v>
      </c>
    </row>
    <row r="55" spans="1:23" x14ac:dyDescent="0.2">
      <c r="A55" t="str">
        <f>"50 - Audio J Nonfiction"</f>
        <v>50 - Audio J Nonfiction</v>
      </c>
      <c r="B55">
        <v>19</v>
      </c>
      <c r="C55">
        <v>0</v>
      </c>
      <c r="D55">
        <v>3</v>
      </c>
      <c r="E55">
        <v>15.8</v>
      </c>
      <c r="F55">
        <v>19</v>
      </c>
      <c r="G55" s="1">
        <v>588</v>
      </c>
      <c r="H55" t="str">
        <f t="shared" si="0"/>
        <v xml:space="preserve"> </v>
      </c>
      <c r="I55">
        <v>10</v>
      </c>
      <c r="J55">
        <v>0</v>
      </c>
      <c r="K55">
        <v>2</v>
      </c>
      <c r="L55">
        <v>20</v>
      </c>
      <c r="M55">
        <v>10</v>
      </c>
      <c r="N55" s="1">
        <v>306</v>
      </c>
      <c r="O55" s="1"/>
      <c r="P55">
        <v>9</v>
      </c>
      <c r="Q55">
        <v>0</v>
      </c>
      <c r="R55">
        <v>1</v>
      </c>
      <c r="S55">
        <v>11.1</v>
      </c>
      <c r="T55">
        <v>9</v>
      </c>
      <c r="U55" s="1">
        <v>282</v>
      </c>
      <c r="W55">
        <v>0</v>
      </c>
    </row>
    <row r="56" spans="1:23" x14ac:dyDescent="0.2">
      <c r="A56" t="str">
        <f>"51 - Video J Nonfiction"</f>
        <v>51 - Video J Nonfiction</v>
      </c>
      <c r="B56">
        <v>69</v>
      </c>
      <c r="C56">
        <v>0.1</v>
      </c>
      <c r="D56">
        <v>2</v>
      </c>
      <c r="E56">
        <v>2.9</v>
      </c>
      <c r="F56">
        <v>60</v>
      </c>
      <c r="G56" s="1">
        <v>1586</v>
      </c>
      <c r="H56" t="str">
        <f t="shared" si="0"/>
        <v xml:space="preserve"> </v>
      </c>
      <c r="I56">
        <v>42</v>
      </c>
      <c r="J56">
        <v>0.1</v>
      </c>
      <c r="K56">
        <v>1</v>
      </c>
      <c r="L56">
        <v>2.4</v>
      </c>
      <c r="M56">
        <v>40</v>
      </c>
      <c r="N56" s="1">
        <v>946</v>
      </c>
      <c r="O56" s="1"/>
      <c r="P56">
        <v>27</v>
      </c>
      <c r="Q56">
        <v>0.1</v>
      </c>
      <c r="R56">
        <v>1</v>
      </c>
      <c r="S56">
        <v>3.7</v>
      </c>
      <c r="T56">
        <v>27</v>
      </c>
      <c r="U56" s="1">
        <v>640</v>
      </c>
      <c r="W56">
        <v>0</v>
      </c>
    </row>
    <row r="57" spans="1:23" x14ac:dyDescent="0.2">
      <c r="A57" t="str">
        <f>"52 - Audio YA Books"</f>
        <v>52 - Audio YA Books</v>
      </c>
      <c r="B57">
        <v>371</v>
      </c>
      <c r="C57">
        <v>0.4</v>
      </c>
      <c r="D57">
        <v>11</v>
      </c>
      <c r="E57">
        <v>3</v>
      </c>
      <c r="F57">
        <v>360</v>
      </c>
      <c r="G57" s="1">
        <v>15467.45</v>
      </c>
      <c r="H57" t="str">
        <f t="shared" si="0"/>
        <v xml:space="preserve"> </v>
      </c>
      <c r="I57">
        <v>259</v>
      </c>
      <c r="J57">
        <v>0.5</v>
      </c>
      <c r="K57">
        <v>10</v>
      </c>
      <c r="L57">
        <v>3.9</v>
      </c>
      <c r="M57">
        <v>259</v>
      </c>
      <c r="N57" s="1">
        <v>10477</v>
      </c>
      <c r="O57" s="1"/>
      <c r="P57">
        <v>112</v>
      </c>
      <c r="Q57">
        <v>0.3</v>
      </c>
      <c r="R57">
        <v>1</v>
      </c>
      <c r="S57">
        <v>0.9</v>
      </c>
      <c r="T57">
        <v>111</v>
      </c>
      <c r="U57" s="1">
        <v>4990.45</v>
      </c>
      <c r="W57">
        <v>0.1</v>
      </c>
    </row>
    <row r="58" spans="1:23" x14ac:dyDescent="0.2">
      <c r="A58" t="str">
        <f>"53 - _Staff Use Only"</f>
        <v>53 - _Staff Use Only</v>
      </c>
      <c r="B58">
        <v>125</v>
      </c>
      <c r="C58">
        <v>0.1</v>
      </c>
      <c r="D58">
        <v>11</v>
      </c>
      <c r="E58">
        <v>8.8000000000000007</v>
      </c>
      <c r="F58">
        <v>121</v>
      </c>
      <c r="G58" s="1">
        <v>4336</v>
      </c>
      <c r="H58" t="str">
        <f t="shared" si="0"/>
        <v xml:space="preserve"> </v>
      </c>
      <c r="I58">
        <v>123</v>
      </c>
      <c r="J58">
        <v>0.2</v>
      </c>
      <c r="K58">
        <v>9</v>
      </c>
      <c r="L58">
        <v>7.3</v>
      </c>
      <c r="M58">
        <v>119</v>
      </c>
      <c r="N58" s="1">
        <v>4268</v>
      </c>
      <c r="O58" s="1"/>
      <c r="P58">
        <v>2</v>
      </c>
      <c r="Q58">
        <v>0</v>
      </c>
      <c r="R58">
        <v>2</v>
      </c>
      <c r="S58">
        <v>100</v>
      </c>
      <c r="T58">
        <v>2</v>
      </c>
      <c r="U58" s="1">
        <v>68</v>
      </c>
      <c r="W58">
        <v>0.1</v>
      </c>
    </row>
    <row r="59" spans="1:23" x14ac:dyDescent="0.2">
      <c r="A59" t="str">
        <f>"54 - YA Graphic Novel"</f>
        <v>54 - YA Graphic Novel</v>
      </c>
      <c r="B59">
        <v>694</v>
      </c>
      <c r="C59">
        <v>0.8</v>
      </c>
      <c r="D59">
        <v>31</v>
      </c>
      <c r="E59">
        <v>4.5</v>
      </c>
      <c r="F59">
        <v>670</v>
      </c>
      <c r="G59" s="1">
        <v>12505.99</v>
      </c>
      <c r="H59" t="str">
        <f t="shared" si="0"/>
        <v xml:space="preserve"> </v>
      </c>
      <c r="I59">
        <v>429</v>
      </c>
      <c r="J59">
        <v>0.9</v>
      </c>
      <c r="K59">
        <v>12</v>
      </c>
      <c r="L59">
        <v>2.8</v>
      </c>
      <c r="M59">
        <v>426</v>
      </c>
      <c r="N59" s="1">
        <v>7900.99</v>
      </c>
      <c r="O59" s="1"/>
      <c r="P59">
        <v>265</v>
      </c>
      <c r="Q59">
        <v>0.7</v>
      </c>
      <c r="R59">
        <v>19</v>
      </c>
      <c r="S59">
        <v>7.2</v>
      </c>
      <c r="T59">
        <v>258</v>
      </c>
      <c r="U59" s="1">
        <v>4605</v>
      </c>
      <c r="W59">
        <v>0.4</v>
      </c>
    </row>
    <row r="60" spans="1:23" x14ac:dyDescent="0.2">
      <c r="A60" t="str">
        <f>"55 - CTLS Circulating Collection"</f>
        <v>55 - CTLS Circulating Collection</v>
      </c>
      <c r="B60">
        <v>0</v>
      </c>
      <c r="C60">
        <v>0</v>
      </c>
      <c r="D60">
        <v>0</v>
      </c>
      <c r="E60">
        <v>0</v>
      </c>
      <c r="F60">
        <v>0</v>
      </c>
      <c r="G60" s="1">
        <v>0</v>
      </c>
      <c r="H60" t="str">
        <f t="shared" si="0"/>
        <v xml:space="preserve"> </v>
      </c>
      <c r="I60">
        <v>0</v>
      </c>
      <c r="J60">
        <v>0</v>
      </c>
      <c r="K60">
        <v>0</v>
      </c>
      <c r="L60">
        <v>0</v>
      </c>
      <c r="M60">
        <v>0</v>
      </c>
      <c r="N60" s="1">
        <v>0</v>
      </c>
      <c r="O60" s="1"/>
      <c r="P60">
        <v>0</v>
      </c>
      <c r="Q60">
        <v>0</v>
      </c>
      <c r="R60">
        <v>0</v>
      </c>
      <c r="S60">
        <v>0</v>
      </c>
      <c r="T60">
        <v>0</v>
      </c>
      <c r="U60" s="1">
        <v>0</v>
      </c>
      <c r="W60">
        <v>0</v>
      </c>
    </row>
    <row r="61" spans="1:23" x14ac:dyDescent="0.2">
      <c r="A61" t="str">
        <f>"56 - YA 000-199"</f>
        <v>56 - YA 000-199</v>
      </c>
      <c r="B61">
        <v>21</v>
      </c>
      <c r="C61">
        <v>0</v>
      </c>
      <c r="D61">
        <v>1</v>
      </c>
      <c r="E61">
        <v>4.8</v>
      </c>
      <c r="F61">
        <v>20</v>
      </c>
      <c r="G61" s="1">
        <v>450</v>
      </c>
      <c r="H61" t="str">
        <f t="shared" si="0"/>
        <v xml:space="preserve"> </v>
      </c>
      <c r="I61">
        <v>14</v>
      </c>
      <c r="J61">
        <v>0</v>
      </c>
      <c r="K61">
        <v>0</v>
      </c>
      <c r="L61">
        <v>0</v>
      </c>
      <c r="M61">
        <v>14</v>
      </c>
      <c r="N61" s="1">
        <v>306</v>
      </c>
      <c r="O61" s="1"/>
      <c r="P61">
        <v>7</v>
      </c>
      <c r="Q61">
        <v>0</v>
      </c>
      <c r="R61">
        <v>1</v>
      </c>
      <c r="S61">
        <v>14.3</v>
      </c>
      <c r="T61">
        <v>7</v>
      </c>
      <c r="U61" s="1">
        <v>144</v>
      </c>
      <c r="W61">
        <v>0</v>
      </c>
    </row>
    <row r="62" spans="1:23" x14ac:dyDescent="0.2">
      <c r="A62" t="str">
        <f>"57 - YA 200-299"</f>
        <v>57 - YA 200-299</v>
      </c>
      <c r="B62">
        <v>6</v>
      </c>
      <c r="C62">
        <v>0</v>
      </c>
      <c r="D62">
        <v>1</v>
      </c>
      <c r="E62">
        <v>16.7</v>
      </c>
      <c r="F62">
        <v>6</v>
      </c>
      <c r="G62" s="1">
        <v>120</v>
      </c>
      <c r="H62" t="str">
        <f t="shared" si="0"/>
        <v xml:space="preserve"> </v>
      </c>
      <c r="I62">
        <v>3</v>
      </c>
      <c r="J62">
        <v>0</v>
      </c>
      <c r="K62">
        <v>0</v>
      </c>
      <c r="L62">
        <v>0</v>
      </c>
      <c r="M62">
        <v>3</v>
      </c>
      <c r="N62" s="1">
        <v>59</v>
      </c>
      <c r="O62" s="1"/>
      <c r="P62">
        <v>3</v>
      </c>
      <c r="Q62">
        <v>0</v>
      </c>
      <c r="R62">
        <v>1</v>
      </c>
      <c r="S62">
        <v>33.299999999999997</v>
      </c>
      <c r="T62">
        <v>3</v>
      </c>
      <c r="U62" s="1">
        <v>61</v>
      </c>
      <c r="W62">
        <v>0</v>
      </c>
    </row>
    <row r="63" spans="1:23" x14ac:dyDescent="0.2">
      <c r="A63" t="str">
        <f>"58 - YA 300-399"</f>
        <v>58 - YA 300-399</v>
      </c>
      <c r="B63">
        <v>70</v>
      </c>
      <c r="C63">
        <v>0.1</v>
      </c>
      <c r="D63">
        <v>1</v>
      </c>
      <c r="E63">
        <v>1.4</v>
      </c>
      <c r="F63">
        <v>69</v>
      </c>
      <c r="G63" s="1">
        <v>1667</v>
      </c>
      <c r="H63" t="str">
        <f t="shared" si="0"/>
        <v xml:space="preserve"> </v>
      </c>
      <c r="I63">
        <v>48</v>
      </c>
      <c r="J63">
        <v>0.1</v>
      </c>
      <c r="K63">
        <v>0</v>
      </c>
      <c r="L63">
        <v>0</v>
      </c>
      <c r="M63">
        <v>48</v>
      </c>
      <c r="N63" s="1">
        <v>1165</v>
      </c>
      <c r="O63" s="1"/>
      <c r="P63">
        <v>22</v>
      </c>
      <c r="Q63">
        <v>0.1</v>
      </c>
      <c r="R63">
        <v>1</v>
      </c>
      <c r="S63">
        <v>4.5</v>
      </c>
      <c r="T63">
        <v>22</v>
      </c>
      <c r="U63" s="1">
        <v>502</v>
      </c>
      <c r="W63">
        <v>0</v>
      </c>
    </row>
    <row r="64" spans="1:23" x14ac:dyDescent="0.2">
      <c r="A64" t="str">
        <f>"59 - YA 400-499"</f>
        <v>59 - YA 400-499</v>
      </c>
      <c r="B64">
        <v>1</v>
      </c>
      <c r="C64">
        <v>0</v>
      </c>
      <c r="D64">
        <v>0</v>
      </c>
      <c r="E64">
        <v>0</v>
      </c>
      <c r="F64">
        <v>1</v>
      </c>
      <c r="G64" s="1">
        <v>25</v>
      </c>
      <c r="H64" t="str">
        <f t="shared" si="0"/>
        <v xml:space="preserve"> </v>
      </c>
      <c r="I64">
        <v>1</v>
      </c>
      <c r="J64">
        <v>0</v>
      </c>
      <c r="K64">
        <v>0</v>
      </c>
      <c r="L64">
        <v>0</v>
      </c>
      <c r="M64">
        <v>1</v>
      </c>
      <c r="N64" s="1">
        <v>25</v>
      </c>
      <c r="O64" s="1"/>
      <c r="P64">
        <v>0</v>
      </c>
      <c r="Q64">
        <v>0</v>
      </c>
      <c r="R64">
        <v>0</v>
      </c>
      <c r="S64">
        <v>0</v>
      </c>
      <c r="T64">
        <v>0</v>
      </c>
      <c r="U64" s="1">
        <v>0</v>
      </c>
      <c r="W64">
        <v>0</v>
      </c>
    </row>
    <row r="65" spans="1:23" x14ac:dyDescent="0.2">
      <c r="A65" t="str">
        <f>"60 - YA 500-599"</f>
        <v>60 - YA 500-599</v>
      </c>
      <c r="B65">
        <v>4</v>
      </c>
      <c r="C65">
        <v>0</v>
      </c>
      <c r="D65">
        <v>0</v>
      </c>
      <c r="E65">
        <v>0</v>
      </c>
      <c r="F65">
        <v>4</v>
      </c>
      <c r="G65" s="1">
        <v>116</v>
      </c>
      <c r="H65" t="str">
        <f t="shared" si="0"/>
        <v xml:space="preserve"> </v>
      </c>
      <c r="I65">
        <v>4</v>
      </c>
      <c r="J65">
        <v>0</v>
      </c>
      <c r="K65">
        <v>0</v>
      </c>
      <c r="L65">
        <v>0</v>
      </c>
      <c r="M65">
        <v>4</v>
      </c>
      <c r="N65" s="1">
        <v>116</v>
      </c>
      <c r="O65" s="1"/>
      <c r="P65">
        <v>0</v>
      </c>
      <c r="Q65">
        <v>0</v>
      </c>
      <c r="R65">
        <v>0</v>
      </c>
      <c r="S65">
        <v>0</v>
      </c>
      <c r="T65">
        <v>0</v>
      </c>
      <c r="U65" s="1">
        <v>0</v>
      </c>
      <c r="W65">
        <v>0</v>
      </c>
    </row>
    <row r="66" spans="1:23" x14ac:dyDescent="0.2">
      <c r="A66" t="str">
        <f>"61 - YA 600-699"</f>
        <v>61 - YA 600-699</v>
      </c>
      <c r="B66">
        <v>26</v>
      </c>
      <c r="C66">
        <v>0</v>
      </c>
      <c r="D66">
        <v>3</v>
      </c>
      <c r="E66">
        <v>11.5</v>
      </c>
      <c r="F66">
        <v>26</v>
      </c>
      <c r="G66" s="1">
        <v>603</v>
      </c>
      <c r="H66" t="str">
        <f t="shared" si="0"/>
        <v xml:space="preserve"> </v>
      </c>
      <c r="I66">
        <v>18</v>
      </c>
      <c r="J66">
        <v>0</v>
      </c>
      <c r="K66">
        <v>2</v>
      </c>
      <c r="L66">
        <v>11.1</v>
      </c>
      <c r="M66">
        <v>18</v>
      </c>
      <c r="N66" s="1">
        <v>422</v>
      </c>
      <c r="O66" s="1"/>
      <c r="P66">
        <v>8</v>
      </c>
      <c r="Q66">
        <v>0</v>
      </c>
      <c r="R66">
        <v>1</v>
      </c>
      <c r="S66">
        <v>12.5</v>
      </c>
      <c r="T66">
        <v>8</v>
      </c>
      <c r="U66" s="1">
        <v>181</v>
      </c>
      <c r="W66">
        <v>0</v>
      </c>
    </row>
    <row r="67" spans="1:23" x14ac:dyDescent="0.2">
      <c r="A67" t="str">
        <f>"62 - YA 700-799"</f>
        <v>62 - YA 700-799</v>
      </c>
      <c r="B67">
        <v>28</v>
      </c>
      <c r="C67">
        <v>0</v>
      </c>
      <c r="D67">
        <v>0</v>
      </c>
      <c r="E67">
        <v>0</v>
      </c>
      <c r="F67">
        <v>26</v>
      </c>
      <c r="G67" s="1">
        <v>874</v>
      </c>
      <c r="H67" t="str">
        <f t="shared" si="0"/>
        <v xml:space="preserve"> </v>
      </c>
      <c r="I67">
        <v>25</v>
      </c>
      <c r="J67">
        <v>0.1</v>
      </c>
      <c r="K67">
        <v>0</v>
      </c>
      <c r="L67">
        <v>0</v>
      </c>
      <c r="M67">
        <v>23</v>
      </c>
      <c r="N67" s="1">
        <v>770</v>
      </c>
      <c r="O67" s="1"/>
      <c r="P67">
        <v>3</v>
      </c>
      <c r="Q67">
        <v>0</v>
      </c>
      <c r="R67">
        <v>0</v>
      </c>
      <c r="S67">
        <v>0</v>
      </c>
      <c r="T67">
        <v>3</v>
      </c>
      <c r="U67" s="1">
        <v>104</v>
      </c>
      <c r="W67">
        <v>0</v>
      </c>
    </row>
    <row r="68" spans="1:23" x14ac:dyDescent="0.2">
      <c r="A68" t="str">
        <f>"63 - YA 800-899"</f>
        <v>63 - YA 800-899</v>
      </c>
      <c r="B68">
        <v>16</v>
      </c>
      <c r="C68">
        <v>0</v>
      </c>
      <c r="D68">
        <v>0</v>
      </c>
      <c r="E68">
        <v>0</v>
      </c>
      <c r="F68">
        <v>13</v>
      </c>
      <c r="G68" s="1">
        <v>256.99</v>
      </c>
      <c r="H68" t="str">
        <f t="shared" si="0"/>
        <v xml:space="preserve"> </v>
      </c>
      <c r="I68">
        <v>9</v>
      </c>
      <c r="J68">
        <v>0</v>
      </c>
      <c r="K68">
        <v>0</v>
      </c>
      <c r="L68">
        <v>0</v>
      </c>
      <c r="M68">
        <v>9</v>
      </c>
      <c r="N68" s="1">
        <v>137.99</v>
      </c>
      <c r="O68" s="1"/>
      <c r="P68">
        <v>7</v>
      </c>
      <c r="Q68">
        <v>0</v>
      </c>
      <c r="R68">
        <v>0</v>
      </c>
      <c r="S68">
        <v>0</v>
      </c>
      <c r="T68">
        <v>7</v>
      </c>
      <c r="U68" s="1">
        <v>119</v>
      </c>
      <c r="W68">
        <v>0</v>
      </c>
    </row>
    <row r="69" spans="1:23" x14ac:dyDescent="0.2">
      <c r="A69" t="str">
        <f>"64 - YA 900-919"</f>
        <v>64 - YA 900-919</v>
      </c>
      <c r="B69">
        <v>1</v>
      </c>
      <c r="C69">
        <v>0</v>
      </c>
      <c r="D69">
        <v>0</v>
      </c>
      <c r="E69">
        <v>0</v>
      </c>
      <c r="F69">
        <v>1</v>
      </c>
      <c r="G69" s="1">
        <v>18</v>
      </c>
      <c r="H69" t="str">
        <f t="shared" si="0"/>
        <v xml:space="preserve"> </v>
      </c>
      <c r="I69">
        <v>1</v>
      </c>
      <c r="J69">
        <v>0</v>
      </c>
      <c r="K69">
        <v>0</v>
      </c>
      <c r="L69">
        <v>0</v>
      </c>
      <c r="M69">
        <v>1</v>
      </c>
      <c r="N69" s="1">
        <v>18</v>
      </c>
      <c r="O69" s="1"/>
      <c r="P69">
        <v>0</v>
      </c>
      <c r="Q69">
        <v>0</v>
      </c>
      <c r="R69">
        <v>0</v>
      </c>
      <c r="S69">
        <v>0</v>
      </c>
      <c r="T69">
        <v>0</v>
      </c>
      <c r="U69" s="1">
        <v>0</v>
      </c>
      <c r="W69">
        <v>0</v>
      </c>
    </row>
    <row r="70" spans="1:23" x14ac:dyDescent="0.2">
      <c r="A70" t="str">
        <f>"65 - YA 920-929"</f>
        <v>65 - YA 920-929</v>
      </c>
      <c r="B70">
        <v>69</v>
      </c>
      <c r="C70">
        <v>0.1</v>
      </c>
      <c r="D70">
        <v>2</v>
      </c>
      <c r="E70">
        <v>2.9</v>
      </c>
      <c r="F70">
        <v>67</v>
      </c>
      <c r="G70" s="1">
        <v>1578</v>
      </c>
      <c r="H70" t="str">
        <f t="shared" si="0"/>
        <v xml:space="preserve"> </v>
      </c>
      <c r="I70">
        <v>51</v>
      </c>
      <c r="J70">
        <v>0.1</v>
      </c>
      <c r="K70">
        <v>2</v>
      </c>
      <c r="L70">
        <v>3.9</v>
      </c>
      <c r="M70">
        <v>50</v>
      </c>
      <c r="N70" s="1">
        <v>1158</v>
      </c>
      <c r="O70" s="1"/>
      <c r="P70">
        <v>18</v>
      </c>
      <c r="Q70">
        <v>0</v>
      </c>
      <c r="R70">
        <v>0</v>
      </c>
      <c r="S70">
        <v>0</v>
      </c>
      <c r="T70">
        <v>18</v>
      </c>
      <c r="U70" s="1">
        <v>420</v>
      </c>
      <c r="W70">
        <v>0</v>
      </c>
    </row>
    <row r="71" spans="1:23" x14ac:dyDescent="0.2">
      <c r="A71" t="str">
        <f>"66 - YA 930-999"</f>
        <v>66 - YA 930-999</v>
      </c>
      <c r="B71">
        <v>11</v>
      </c>
      <c r="C71">
        <v>0</v>
      </c>
      <c r="D71">
        <v>1</v>
      </c>
      <c r="E71">
        <v>9.1</v>
      </c>
      <c r="F71">
        <v>11</v>
      </c>
      <c r="G71" s="1">
        <v>277</v>
      </c>
      <c r="H71" t="str">
        <f t="shared" si="0"/>
        <v xml:space="preserve"> </v>
      </c>
      <c r="I71">
        <v>8</v>
      </c>
      <c r="J71">
        <v>0</v>
      </c>
      <c r="K71">
        <v>1</v>
      </c>
      <c r="L71">
        <v>12.5</v>
      </c>
      <c r="M71">
        <v>8</v>
      </c>
      <c r="N71" s="1">
        <v>205</v>
      </c>
      <c r="O71" s="1"/>
      <c r="P71">
        <v>3</v>
      </c>
      <c r="Q71">
        <v>0</v>
      </c>
      <c r="R71">
        <v>0</v>
      </c>
      <c r="S71">
        <v>0</v>
      </c>
      <c r="T71">
        <v>3</v>
      </c>
      <c r="U71" s="1">
        <v>72</v>
      </c>
      <c r="W71">
        <v>0</v>
      </c>
    </row>
    <row r="72" spans="1:23" x14ac:dyDescent="0.2">
      <c r="A72" t="str">
        <f>"67 - Adult Graphic Novels"</f>
        <v>67 - Adult Graphic Novels</v>
      </c>
      <c r="B72">
        <v>280</v>
      </c>
      <c r="C72">
        <v>0.3</v>
      </c>
      <c r="D72">
        <v>25</v>
      </c>
      <c r="E72">
        <v>8.9</v>
      </c>
      <c r="F72">
        <v>271</v>
      </c>
      <c r="G72" s="1">
        <v>8105</v>
      </c>
      <c r="H72" t="str">
        <f t="shared" si="0"/>
        <v xml:space="preserve"> </v>
      </c>
      <c r="I72">
        <v>147</v>
      </c>
      <c r="J72">
        <v>0.3</v>
      </c>
      <c r="K72">
        <v>14</v>
      </c>
      <c r="L72">
        <v>9.5</v>
      </c>
      <c r="M72">
        <v>147</v>
      </c>
      <c r="N72" s="1">
        <v>4127</v>
      </c>
      <c r="O72" s="1"/>
      <c r="P72">
        <v>133</v>
      </c>
      <c r="Q72">
        <v>0.3</v>
      </c>
      <c r="R72">
        <v>11</v>
      </c>
      <c r="S72">
        <v>8.3000000000000007</v>
      </c>
      <c r="T72">
        <v>132</v>
      </c>
      <c r="U72" s="1">
        <v>3978</v>
      </c>
      <c r="W72">
        <v>0.3</v>
      </c>
    </row>
    <row r="73" spans="1:23" x14ac:dyDescent="0.2">
      <c r="A73" t="s">
        <v>3661</v>
      </c>
      <c r="B73">
        <v>89832</v>
      </c>
      <c r="D73">
        <v>8457</v>
      </c>
      <c r="E73">
        <v>9.4</v>
      </c>
      <c r="F73">
        <v>77318</v>
      </c>
      <c r="G73" s="1">
        <v>2148033.65</v>
      </c>
      <c r="I73">
        <v>49579</v>
      </c>
      <c r="K73">
        <v>5197</v>
      </c>
      <c r="L73">
        <v>10.5</v>
      </c>
      <c r="M73">
        <v>47094</v>
      </c>
      <c r="N73" s="1">
        <v>1188460.83</v>
      </c>
      <c r="O73" s="1"/>
      <c r="P73">
        <v>40253</v>
      </c>
      <c r="R73">
        <v>3260</v>
      </c>
      <c r="S73">
        <v>8.1</v>
      </c>
      <c r="T73">
        <v>37716</v>
      </c>
      <c r="U73" s="1">
        <v>959572.82</v>
      </c>
      <c r="V73"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12F9C-131C-4D61-BED0-DC4BBDF7BC6F}">
  <sheetPr>
    <tabColor theme="4" tint="0.39997558519241921"/>
  </sheetPr>
  <dimension ref="A1"/>
  <sheetViews>
    <sheetView workbookViewId="0">
      <selection activeCell="J1" sqref="J1"/>
    </sheetView>
  </sheetViews>
  <sheetFormatPr baseColWidth="10" defaultColWidth="8.83203125" defaultRowHeight="1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E66B8-484E-4862-BAB8-BE27DED1FE52}">
  <sheetPr>
    <tabColor theme="4" tint="0.39997558519241921"/>
  </sheetPr>
  <dimension ref="A1:V2573"/>
  <sheetViews>
    <sheetView zoomScale="80" zoomScaleNormal="80" workbookViewId="0"/>
  </sheetViews>
  <sheetFormatPr baseColWidth="10" defaultColWidth="8.83203125" defaultRowHeight="15" x14ac:dyDescent="0.2"/>
  <cols>
    <col min="1" max="1" width="14.83203125" customWidth="1"/>
    <col min="2" max="2" width="35.5" customWidth="1"/>
    <col min="3" max="3" width="9.6640625" customWidth="1"/>
    <col min="4" max="4" width="31.5" customWidth="1"/>
    <col min="5" max="5" width="35.5" customWidth="1"/>
    <col min="6" max="6" width="50.1640625" customWidth="1"/>
    <col min="7" max="7" width="7.1640625" customWidth="1"/>
    <col min="8" max="8" width="5.5" customWidth="1"/>
    <col min="9" max="9" width="11.33203125" customWidth="1"/>
    <col min="10" max="10" width="6.33203125" customWidth="1"/>
    <col min="11" max="11" width="15.5" customWidth="1"/>
    <col min="12" max="12" width="8.6640625" customWidth="1"/>
    <col min="13" max="13" width="16.6640625" customWidth="1"/>
    <col min="14" max="14" width="7.1640625" customWidth="1"/>
    <col min="15" max="15" width="7" customWidth="1"/>
    <col min="16" max="16" width="5.83203125" customWidth="1"/>
    <col min="17" max="17" width="6" customWidth="1"/>
    <col min="18" max="18" width="12.83203125" customWidth="1"/>
    <col min="19" max="21" width="11.33203125" customWidth="1"/>
    <col min="22" max="22" width="10" customWidth="1"/>
  </cols>
  <sheetData>
    <row r="1" spans="1:22" x14ac:dyDescent="0.2">
      <c r="A1" t="s">
        <v>0</v>
      </c>
    </row>
    <row r="2" spans="1:22" x14ac:dyDescent="0.2">
      <c r="A2" t="s">
        <v>1</v>
      </c>
    </row>
    <row r="3" spans="1:22" x14ac:dyDescent="0.2">
      <c r="A3" t="s">
        <v>2</v>
      </c>
    </row>
    <row r="4" spans="1:22" x14ac:dyDescent="0.2">
      <c r="A4" t="s">
        <v>3</v>
      </c>
    </row>
    <row r="5" spans="1:22" x14ac:dyDescent="0.2">
      <c r="A5" t="s">
        <v>4</v>
      </c>
    </row>
    <row r="7" spans="1:22" x14ac:dyDescent="0.2">
      <c r="A7" t="s">
        <v>5</v>
      </c>
      <c r="B7" t="s">
        <v>6</v>
      </c>
      <c r="C7" t="s">
        <v>7</v>
      </c>
      <c r="D7" t="s">
        <v>8</v>
      </c>
      <c r="E7" t="s">
        <v>9</v>
      </c>
      <c r="F7" t="s">
        <v>10</v>
      </c>
      <c r="G7" t="s">
        <v>11</v>
      </c>
      <c r="H7" t="s">
        <v>2385</v>
      </c>
      <c r="I7" t="s">
        <v>12</v>
      </c>
      <c r="J7" t="s">
        <v>13</v>
      </c>
      <c r="K7" t="s">
        <v>14</v>
      </c>
      <c r="L7" t="s">
        <v>15</v>
      </c>
      <c r="M7" t="s">
        <v>16</v>
      </c>
      <c r="N7" t="s">
        <v>17</v>
      </c>
      <c r="O7" t="s">
        <v>18</v>
      </c>
      <c r="P7" t="s">
        <v>20</v>
      </c>
      <c r="Q7" t="s">
        <v>21</v>
      </c>
      <c r="R7" t="s">
        <v>22</v>
      </c>
      <c r="S7" t="s">
        <v>23</v>
      </c>
      <c r="T7" t="s">
        <v>24</v>
      </c>
      <c r="U7" t="s">
        <v>25</v>
      </c>
      <c r="V7" t="s">
        <v>26</v>
      </c>
    </row>
    <row r="8" spans="1:22" x14ac:dyDescent="0.2">
      <c r="A8" t="str">
        <f>"301 ARE"</f>
        <v>301 ARE</v>
      </c>
      <c r="B8" t="str">
        <f>"human condition"</f>
        <v>human condition</v>
      </c>
      <c r="C8">
        <v>348630</v>
      </c>
      <c r="D8" t="str">
        <f>"Arendt, Hannah,"</f>
        <v>Arendt, Hannah,</v>
      </c>
      <c r="F8" t="str">
        <f>"xx, 349 p., 24 cm"</f>
        <v>xx, 349 p., 24 cm</v>
      </c>
      <c r="G8" s="1">
        <v>18</v>
      </c>
      <c r="H8">
        <v>1998</v>
      </c>
      <c r="I8" t="str">
        <f t="shared" ref="I8:I71" si="0">"9: 300 - 399"</f>
        <v>9: 300 - 399</v>
      </c>
      <c r="K8" t="str">
        <f>"LL - In"</f>
        <v>LL - In</v>
      </c>
      <c r="L8" s="1">
        <v>24</v>
      </c>
      <c r="M8" t="s">
        <v>27</v>
      </c>
      <c r="O8" t="s">
        <v>28</v>
      </c>
      <c r="P8">
        <v>3</v>
      </c>
      <c r="Q8">
        <v>1</v>
      </c>
      <c r="R8">
        <v>4</v>
      </c>
      <c r="S8" s="2">
        <v>43292</v>
      </c>
      <c r="T8" s="2">
        <v>43301</v>
      </c>
      <c r="U8" s="2">
        <v>43808</v>
      </c>
      <c r="V8" s="2">
        <v>43308</v>
      </c>
    </row>
    <row r="9" spans="1:22" x14ac:dyDescent="0.2">
      <c r="A9" t="str">
        <f>"301 MOF"</f>
        <v>301 MOF</v>
      </c>
      <c r="B9" t="str">
        <f>"human swarm: how our societies arise, th"</f>
        <v>human swarm: how our societies arise, th</v>
      </c>
      <c r="C9">
        <v>354152</v>
      </c>
      <c r="D9" t="str">
        <f>"Moffett, Mark W."</f>
        <v>Moffett, Mark W.</v>
      </c>
      <c r="F9" t="str">
        <f>"viii, 468 pages, 25 cm"</f>
        <v>viii, 468 pages, 25 cm</v>
      </c>
      <c r="G9" s="1">
        <v>19</v>
      </c>
      <c r="H9">
        <v>2019</v>
      </c>
      <c r="I9" t="str">
        <f t="shared" si="0"/>
        <v>9: 300 - 399</v>
      </c>
      <c r="K9" t="str">
        <f>"LL - In"</f>
        <v>LL - In</v>
      </c>
      <c r="L9" s="1">
        <v>37</v>
      </c>
      <c r="M9" t="s">
        <v>29</v>
      </c>
      <c r="O9" t="s">
        <v>28</v>
      </c>
      <c r="P9">
        <v>8</v>
      </c>
      <c r="Q9">
        <v>1</v>
      </c>
      <c r="R9">
        <v>9</v>
      </c>
      <c r="S9" s="2">
        <v>43570</v>
      </c>
      <c r="T9" s="2">
        <v>43788</v>
      </c>
      <c r="U9" s="2">
        <v>43743</v>
      </c>
      <c r="V9" s="2">
        <v>43788</v>
      </c>
    </row>
    <row r="10" spans="1:22" x14ac:dyDescent="0.2">
      <c r="A10" t="str">
        <f>"301 POO"</f>
        <v>301 POO</v>
      </c>
      <c r="B10" t="str">
        <f>"Dreamers: how young Indians are changing"</f>
        <v>Dreamers: how young Indians are changing</v>
      </c>
      <c r="C10">
        <v>349555</v>
      </c>
      <c r="D10" t="str">
        <f>"Poonam, Snigdha."</f>
        <v>Poonam, Snigdha.</v>
      </c>
      <c r="F10" t="str">
        <f>"254 p."</f>
        <v>254 p.</v>
      </c>
      <c r="G10" s="1">
        <v>18</v>
      </c>
      <c r="H10">
        <v>2018</v>
      </c>
      <c r="I10" t="str">
        <f t="shared" si="0"/>
        <v>9: 300 - 399</v>
      </c>
      <c r="K10" t="str">
        <f>"WB - In"</f>
        <v>WB - In</v>
      </c>
      <c r="L10" s="1">
        <v>23</v>
      </c>
      <c r="M10" t="s">
        <v>30</v>
      </c>
      <c r="O10" t="s">
        <v>28</v>
      </c>
      <c r="P10">
        <v>3</v>
      </c>
      <c r="Q10">
        <v>1</v>
      </c>
      <c r="R10">
        <v>4</v>
      </c>
      <c r="S10" s="2">
        <v>43340</v>
      </c>
      <c r="T10" s="2">
        <v>43495</v>
      </c>
      <c r="U10" s="2">
        <v>43423</v>
      </c>
      <c r="V10" s="2">
        <v>43435</v>
      </c>
    </row>
    <row r="11" spans="1:22" x14ac:dyDescent="0.2">
      <c r="A11" t="str">
        <f>"302 AGR"</f>
        <v>302 AGR</v>
      </c>
      <c r="B11" t="str">
        <f>"Belong: find your people, create your co"</f>
        <v>Belong: find your people, create your co</v>
      </c>
      <c r="C11">
        <v>351754</v>
      </c>
      <c r="D11" t="str">
        <f>"Agrawal, Radha"</f>
        <v>Agrawal, Radha</v>
      </c>
      <c r="F11" t="str">
        <f>"219 pages, 21 cm, color illustrations"</f>
        <v>219 pages, 21 cm, color illustrations</v>
      </c>
      <c r="G11" s="1">
        <v>18</v>
      </c>
      <c r="H11">
        <v>2018</v>
      </c>
      <c r="I11" t="str">
        <f t="shared" si="0"/>
        <v>9: 300 - 399</v>
      </c>
      <c r="K11" t="str">
        <f>"WB - In"</f>
        <v>WB - In</v>
      </c>
      <c r="L11" s="1">
        <v>24</v>
      </c>
      <c r="M11" t="s">
        <v>31</v>
      </c>
      <c r="O11" t="s">
        <v>28</v>
      </c>
      <c r="P11">
        <v>11</v>
      </c>
      <c r="Q11">
        <v>2</v>
      </c>
      <c r="R11">
        <v>13</v>
      </c>
      <c r="S11" s="2">
        <v>43444</v>
      </c>
      <c r="T11" s="2">
        <v>43642</v>
      </c>
      <c r="U11" s="2">
        <v>43827</v>
      </c>
      <c r="V11" s="2">
        <v>43644</v>
      </c>
    </row>
    <row r="12" spans="1:22" x14ac:dyDescent="0.2">
      <c r="A12" t="str">
        <f>"302 BAN"</f>
        <v>302 BAN</v>
      </c>
      <c r="B12" t="str">
        <f>"Wired to connect: the surprising link be"</f>
        <v>Wired to connect: the surprising link be</v>
      </c>
      <c r="C12">
        <v>335156</v>
      </c>
      <c r="D12" t="str">
        <f>"Banks, Amy Elizabeth"</f>
        <v>Banks, Amy Elizabeth</v>
      </c>
      <c r="F12" t="str">
        <f>"x, 308 pages, 21 cm"</f>
        <v>x, 308 pages, 21 cm</v>
      </c>
      <c r="G12" s="1">
        <v>16</v>
      </c>
      <c r="H12">
        <v>2016</v>
      </c>
      <c r="I12" t="str">
        <f t="shared" si="0"/>
        <v>9: 300 - 399</v>
      </c>
      <c r="K12" t="str">
        <f>"WB - In"</f>
        <v>WB - In</v>
      </c>
      <c r="L12" s="1">
        <v>21</v>
      </c>
      <c r="M12" t="s">
        <v>32</v>
      </c>
      <c r="O12" t="s">
        <v>28</v>
      </c>
      <c r="P12">
        <v>0</v>
      </c>
      <c r="Q12">
        <v>1</v>
      </c>
      <c r="R12">
        <v>3</v>
      </c>
      <c r="S12" s="2">
        <v>42506</v>
      </c>
      <c r="T12" s="2">
        <v>42661</v>
      </c>
      <c r="U12" s="2">
        <v>42556</v>
      </c>
      <c r="V12" s="2">
        <v>42780</v>
      </c>
    </row>
    <row r="13" spans="1:22" x14ac:dyDescent="0.2">
      <c r="A13" t="str">
        <f>"302 BRO"</f>
        <v>302 BRO</v>
      </c>
      <c r="B13" t="str">
        <f>"second mountain: the quest for a moral l"</f>
        <v>second mountain: the quest for a moral l</v>
      </c>
      <c r="C13">
        <v>354476</v>
      </c>
      <c r="D13" t="str">
        <f>"Brooks, David"</f>
        <v>Brooks, David</v>
      </c>
      <c r="F13" t="str">
        <f>"xxxiii, 346 pages, 25 cm"</f>
        <v>xxxiii, 346 pages, 25 cm</v>
      </c>
      <c r="G13" s="1">
        <v>19</v>
      </c>
      <c r="H13">
        <v>2019</v>
      </c>
      <c r="I13" t="str">
        <f t="shared" si="0"/>
        <v>9: 300 - 399</v>
      </c>
      <c r="K13" t="str">
        <f>"LL - In"</f>
        <v>LL - In</v>
      </c>
      <c r="L13" s="1">
        <v>33</v>
      </c>
      <c r="M13" t="s">
        <v>33</v>
      </c>
      <c r="O13" t="s">
        <v>28</v>
      </c>
      <c r="P13">
        <v>11</v>
      </c>
      <c r="Q13">
        <v>1</v>
      </c>
      <c r="R13">
        <v>12</v>
      </c>
      <c r="S13" s="2">
        <v>43583</v>
      </c>
      <c r="T13" s="2">
        <v>43761</v>
      </c>
      <c r="U13" s="2">
        <v>43818</v>
      </c>
      <c r="V13" s="2">
        <v>43836</v>
      </c>
    </row>
    <row r="14" spans="1:22" x14ac:dyDescent="0.2">
      <c r="A14" t="str">
        <f>"302 BRO"</f>
        <v>302 BRO</v>
      </c>
      <c r="B14" t="str">
        <f>"second mountain: the quest for a moral l"</f>
        <v>second mountain: the quest for a moral l</v>
      </c>
      <c r="C14">
        <v>354769</v>
      </c>
      <c r="D14" t="str">
        <f>"Brooks, David"</f>
        <v>Brooks, David</v>
      </c>
      <c r="F14" t="str">
        <f>"xxxiii, 346 pages, 25 cm"</f>
        <v>xxxiii, 346 pages, 25 cm</v>
      </c>
      <c r="G14" s="1">
        <v>19</v>
      </c>
      <c r="H14">
        <v>2019</v>
      </c>
      <c r="I14" t="str">
        <f t="shared" si="0"/>
        <v>9: 300 - 399</v>
      </c>
      <c r="K14" t="str">
        <f>"WB - Out"</f>
        <v>WB - Out</v>
      </c>
      <c r="L14" s="1">
        <v>33</v>
      </c>
      <c r="M14" t="s">
        <v>33</v>
      </c>
      <c r="O14" t="s">
        <v>28</v>
      </c>
      <c r="P14">
        <v>10</v>
      </c>
      <c r="Q14">
        <v>2</v>
      </c>
      <c r="R14">
        <v>12</v>
      </c>
      <c r="S14" s="2">
        <v>43602</v>
      </c>
      <c r="T14" s="2">
        <v>43768</v>
      </c>
      <c r="U14" s="2">
        <v>43844</v>
      </c>
      <c r="V14" s="2">
        <v>43733</v>
      </c>
    </row>
    <row r="15" spans="1:22" x14ac:dyDescent="0.2">
      <c r="A15" t="str">
        <f>"302 BRO"</f>
        <v>302 BRO</v>
      </c>
      <c r="B15" t="str">
        <f>"Silence: a social history of one of the "</f>
        <v xml:space="preserve">Silence: a social history of one of the </v>
      </c>
      <c r="C15">
        <v>353603</v>
      </c>
      <c r="D15" t="str">
        <f>"Brox, Jane,"</f>
        <v>Brox, Jane,</v>
      </c>
      <c r="F15" t="str">
        <f>"310 pages, 22 cm"</f>
        <v>310 pages, 22 cm</v>
      </c>
      <c r="G15" s="1">
        <v>19</v>
      </c>
      <c r="H15">
        <v>2019</v>
      </c>
      <c r="I15" t="str">
        <f t="shared" si="0"/>
        <v>9: 300 - 399</v>
      </c>
      <c r="K15" t="str">
        <f>"WB - In"</f>
        <v>WB - In</v>
      </c>
      <c r="L15" s="1">
        <v>32</v>
      </c>
      <c r="M15" t="s">
        <v>34</v>
      </c>
      <c r="O15" t="s">
        <v>28</v>
      </c>
      <c r="P15">
        <v>0</v>
      </c>
      <c r="Q15">
        <v>0</v>
      </c>
      <c r="R15">
        <v>0</v>
      </c>
      <c r="S15" s="2">
        <v>43542</v>
      </c>
      <c r="T15" s="2">
        <v>43704</v>
      </c>
    </row>
    <row r="16" spans="1:22" x14ac:dyDescent="0.2">
      <c r="A16" t="str">
        <f>"302 EDW"</f>
        <v>302 EDW</v>
      </c>
      <c r="B16" t="str">
        <f>"Captivate: the science of succeeding wit"</f>
        <v>Captivate: the science of succeeding wit</v>
      </c>
      <c r="C16">
        <v>353856</v>
      </c>
      <c r="D16" t="str">
        <f>"Edwards, Vanessa van"</f>
        <v>Edwards, Vanessa van</v>
      </c>
      <c r="F16" t="str">
        <f>"viii, 342 pages, 22 cm, illustrations"</f>
        <v>viii, 342 pages, 22 cm, illustrations</v>
      </c>
      <c r="G16" s="1">
        <v>19</v>
      </c>
      <c r="H16">
        <v>2018</v>
      </c>
      <c r="I16" t="str">
        <f t="shared" si="0"/>
        <v>9: 300 - 399</v>
      </c>
      <c r="K16" t="str">
        <f>"WB - In"</f>
        <v>WB - In</v>
      </c>
      <c r="L16" s="1">
        <v>22</v>
      </c>
      <c r="M16" t="s">
        <v>35</v>
      </c>
      <c r="O16" t="s">
        <v>28</v>
      </c>
      <c r="P16">
        <v>0</v>
      </c>
      <c r="Q16">
        <v>0</v>
      </c>
      <c r="R16">
        <v>0</v>
      </c>
      <c r="S16" s="2">
        <v>43556</v>
      </c>
      <c r="T16" s="2">
        <v>43591</v>
      </c>
    </row>
    <row r="17" spans="1:22" x14ac:dyDescent="0.2">
      <c r="A17" t="str">
        <f>"302 FOX"</f>
        <v>302 FOX</v>
      </c>
      <c r="B17" t="str">
        <f>"People tools: 54 strategies for building"</f>
        <v>People tools: 54 strategies for building</v>
      </c>
      <c r="C17">
        <v>319478</v>
      </c>
      <c r="D17" t="str">
        <f>"Fox, Alan C."</f>
        <v>Fox, Alan C.</v>
      </c>
      <c r="F17" t="str">
        <f>"186 p."</f>
        <v>186 p.</v>
      </c>
      <c r="G17" s="1">
        <v>14</v>
      </c>
      <c r="H17">
        <v>2014</v>
      </c>
      <c r="I17" t="str">
        <f t="shared" si="0"/>
        <v>9: 300 - 399</v>
      </c>
      <c r="K17" t="str">
        <f>"WB - In"</f>
        <v>WB - In</v>
      </c>
      <c r="L17" s="1">
        <v>22</v>
      </c>
      <c r="M17" t="s">
        <v>36</v>
      </c>
      <c r="O17" t="s">
        <v>28</v>
      </c>
      <c r="P17">
        <v>2</v>
      </c>
      <c r="Q17">
        <v>1</v>
      </c>
      <c r="R17">
        <v>10</v>
      </c>
      <c r="S17" s="2">
        <v>41662</v>
      </c>
      <c r="T17" s="2">
        <v>42717</v>
      </c>
      <c r="U17" s="2">
        <v>43818</v>
      </c>
      <c r="V17" s="2">
        <v>43265</v>
      </c>
    </row>
    <row r="18" spans="1:22" x14ac:dyDescent="0.2">
      <c r="A18" t="str">
        <f>"302 GIL"</f>
        <v>302 GIL</v>
      </c>
      <c r="B18" t="str">
        <f>"wisest one in the room: how you can bene"</f>
        <v>wisest one in the room: how you can bene</v>
      </c>
      <c r="C18">
        <v>285997</v>
      </c>
      <c r="D18" t="str">
        <f>"Gilovich, Thomas."</f>
        <v>Gilovich, Thomas.</v>
      </c>
      <c r="F18" t="str">
        <f>"vii, 307 pages, 22 cm, illustrations"</f>
        <v>vii, 307 pages, 22 cm, illustrations</v>
      </c>
      <c r="G18" s="1">
        <v>16</v>
      </c>
      <c r="H18">
        <v>2015</v>
      </c>
      <c r="I18" t="str">
        <f t="shared" si="0"/>
        <v>9: 300 - 399</v>
      </c>
      <c r="K18" t="str">
        <f>"WB - In"</f>
        <v>WB - In</v>
      </c>
      <c r="L18" s="1">
        <v>31</v>
      </c>
      <c r="M18" t="s">
        <v>37</v>
      </c>
      <c r="O18" t="s">
        <v>28</v>
      </c>
      <c r="P18">
        <v>2</v>
      </c>
      <c r="Q18">
        <v>0</v>
      </c>
      <c r="R18">
        <v>6</v>
      </c>
      <c r="S18" s="2">
        <v>42408</v>
      </c>
      <c r="T18" s="2">
        <v>42560</v>
      </c>
      <c r="U18" s="2">
        <v>43474</v>
      </c>
    </row>
    <row r="19" spans="1:22" x14ac:dyDescent="0.2">
      <c r="A19" t="str">
        <f>"302 GLA"</f>
        <v>302 GLA</v>
      </c>
      <c r="B19" t="str">
        <f>"Outliers: the story of success"</f>
        <v>Outliers: the story of success</v>
      </c>
      <c r="C19">
        <v>349571</v>
      </c>
      <c r="D19" t="str">
        <f>"Gladwell, Malcolm"</f>
        <v>Gladwell, Malcolm</v>
      </c>
      <c r="F19" t="str">
        <f>"xv, 309, 10, 12 p., 21 cm, ill."</f>
        <v>xv, 309, 10, 12 p., 21 cm, ill.</v>
      </c>
      <c r="G19" s="1">
        <v>18</v>
      </c>
      <c r="H19">
        <v>2011</v>
      </c>
      <c r="I19" t="str">
        <f t="shared" si="0"/>
        <v>9: 300 - 399</v>
      </c>
      <c r="K19" t="str">
        <f>"LL - Out"</f>
        <v>LL - Out</v>
      </c>
      <c r="L19" s="1">
        <v>22</v>
      </c>
      <c r="M19" t="s">
        <v>38</v>
      </c>
      <c r="O19" t="s">
        <v>28</v>
      </c>
      <c r="P19">
        <v>8</v>
      </c>
      <c r="Q19">
        <v>0</v>
      </c>
      <c r="R19">
        <v>8</v>
      </c>
      <c r="S19" s="2">
        <v>43340</v>
      </c>
      <c r="T19" s="2">
        <v>43342</v>
      </c>
      <c r="U19" s="2">
        <v>43860</v>
      </c>
    </row>
    <row r="20" spans="1:22" x14ac:dyDescent="0.2">
      <c r="A20" t="str">
        <f>"302 GLA"</f>
        <v>302 GLA</v>
      </c>
      <c r="B20" t="str">
        <f>"tipping point: how little things can mak"</f>
        <v>tipping point: how little things can mak</v>
      </c>
      <c r="C20">
        <v>328933</v>
      </c>
      <c r="D20" t="str">
        <f>"Gladwell, Malcolm"</f>
        <v>Gladwell, Malcolm</v>
      </c>
      <c r="F20" t="str">
        <f>"279 p., 21 cm."</f>
        <v>279 p., 21 cm.</v>
      </c>
      <c r="G20" s="1">
        <v>15</v>
      </c>
      <c r="H20">
        <v>2000</v>
      </c>
      <c r="I20" t="str">
        <f t="shared" si="0"/>
        <v>9: 300 - 399</v>
      </c>
      <c r="K20" t="str">
        <f>"WB - In"</f>
        <v>WB - In</v>
      </c>
      <c r="L20" s="1">
        <v>22</v>
      </c>
      <c r="M20" t="s">
        <v>39</v>
      </c>
      <c r="O20" t="s">
        <v>28</v>
      </c>
      <c r="P20">
        <v>15</v>
      </c>
      <c r="Q20">
        <v>3</v>
      </c>
      <c r="R20">
        <v>23</v>
      </c>
      <c r="S20" s="2">
        <v>42212</v>
      </c>
      <c r="T20" s="2">
        <v>42213</v>
      </c>
      <c r="U20" s="2">
        <v>43799</v>
      </c>
      <c r="V20" s="2">
        <v>43832</v>
      </c>
    </row>
    <row r="21" spans="1:22" x14ac:dyDescent="0.2">
      <c r="A21" t="str">
        <f>"302 NEM"</f>
        <v>302 NEM</v>
      </c>
      <c r="B21" t="str">
        <f>"In defense of troublemakers: the power o"</f>
        <v>In defense of troublemakers: the power o</v>
      </c>
      <c r="C21">
        <v>347237</v>
      </c>
      <c r="D21" t="str">
        <f>"Nemeth, Charlan"</f>
        <v>Nemeth, Charlan</v>
      </c>
      <c r="F21" t="str">
        <f>"xii, 257 pages, 22 cm"</f>
        <v>xii, 257 pages, 22 cm</v>
      </c>
      <c r="G21" s="1">
        <v>18</v>
      </c>
      <c r="H21">
        <v>2018</v>
      </c>
      <c r="I21" t="str">
        <f t="shared" si="0"/>
        <v>9: 300 - 399</v>
      </c>
      <c r="K21" t="str">
        <f>"WB - In"</f>
        <v>WB - In</v>
      </c>
      <c r="L21" s="1">
        <v>32</v>
      </c>
      <c r="M21" t="s">
        <v>40</v>
      </c>
      <c r="O21" t="s">
        <v>28</v>
      </c>
      <c r="P21">
        <v>6</v>
      </c>
      <c r="Q21">
        <v>0</v>
      </c>
      <c r="R21">
        <v>6</v>
      </c>
      <c r="S21" s="2">
        <v>43206</v>
      </c>
      <c r="T21" s="2">
        <v>43404</v>
      </c>
      <c r="U21" s="2">
        <v>43386</v>
      </c>
    </row>
    <row r="22" spans="1:22" x14ac:dyDescent="0.2">
      <c r="A22" t="str">
        <f>"302 PAR"</f>
        <v>302 PAR</v>
      </c>
      <c r="B22" t="str">
        <f>"art of gathering: how we meet and why it"</f>
        <v>art of gathering: how we meet and why it</v>
      </c>
      <c r="C22">
        <v>348001</v>
      </c>
      <c r="D22" t="str">
        <f>"Parker, Priya"</f>
        <v>Parker, Priya</v>
      </c>
      <c r="F22" t="str">
        <f>"xiv, 304 pages, 24 cm"</f>
        <v>xiv, 304 pages, 24 cm</v>
      </c>
      <c r="G22" s="1">
        <v>18</v>
      </c>
      <c r="H22">
        <v>2018</v>
      </c>
      <c r="I22" t="str">
        <f t="shared" si="0"/>
        <v>9: 300 - 399</v>
      </c>
      <c r="K22" t="str">
        <f>"WB - In"</f>
        <v>WB - In</v>
      </c>
      <c r="L22" s="1">
        <v>33</v>
      </c>
      <c r="M22" t="s">
        <v>41</v>
      </c>
      <c r="O22" t="s">
        <v>28</v>
      </c>
      <c r="P22">
        <v>16</v>
      </c>
      <c r="Q22">
        <v>0</v>
      </c>
      <c r="R22">
        <v>16</v>
      </c>
      <c r="S22" s="2">
        <v>43257</v>
      </c>
      <c r="T22" s="2">
        <v>43416</v>
      </c>
      <c r="U22" s="2">
        <v>43743</v>
      </c>
    </row>
    <row r="23" spans="1:22" x14ac:dyDescent="0.2">
      <c r="A23" t="str">
        <f>"302 PAT"</f>
        <v>302 PAT</v>
      </c>
      <c r="B23" t="str">
        <f>"Red flags: how to spot frenemies, underm"</f>
        <v>Red flags: how to spot frenemies, underm</v>
      </c>
      <c r="C23">
        <v>328339</v>
      </c>
      <c r="D23" t="str">
        <f>"Patrick, Wendy L.,"</f>
        <v>Patrick, Wendy L.,</v>
      </c>
      <c r="F23" t="str">
        <f>"viii, 306 pages, 25 cm"</f>
        <v>viii, 306 pages, 25 cm</v>
      </c>
      <c r="G23" s="1">
        <v>15</v>
      </c>
      <c r="H23">
        <v>2015</v>
      </c>
      <c r="I23" t="str">
        <f t="shared" si="0"/>
        <v>9: 300 - 399</v>
      </c>
      <c r="K23" t="str">
        <f>"LL - In"</f>
        <v>LL - In</v>
      </c>
      <c r="L23" s="1">
        <v>32</v>
      </c>
      <c r="M23" t="s">
        <v>42</v>
      </c>
      <c r="O23" t="s">
        <v>28</v>
      </c>
      <c r="P23">
        <v>5</v>
      </c>
      <c r="Q23">
        <v>2</v>
      </c>
      <c r="R23">
        <v>14</v>
      </c>
      <c r="S23" s="2">
        <v>42185</v>
      </c>
      <c r="T23" s="2">
        <v>42519</v>
      </c>
      <c r="U23" s="2">
        <v>43688</v>
      </c>
      <c r="V23" s="2">
        <v>43640</v>
      </c>
    </row>
    <row r="24" spans="1:22" x14ac:dyDescent="0.2">
      <c r="A24" t="str">
        <f>"302 PIN"</f>
        <v>302 PIN</v>
      </c>
      <c r="B24" t="str">
        <f>"village effect: how face-to-face contact"</f>
        <v>village effect: how face-to-face contact</v>
      </c>
      <c r="C24">
        <v>323721</v>
      </c>
      <c r="D24" t="str">
        <f>"Pinker, Susan,"</f>
        <v>Pinker, Susan,</v>
      </c>
      <c r="F24" t="str">
        <f>"368 pages, 25 cm, illustrations"</f>
        <v>368 pages, 25 cm, illustrations</v>
      </c>
      <c r="G24" s="1">
        <v>14</v>
      </c>
      <c r="H24">
        <v>2014</v>
      </c>
      <c r="I24" t="str">
        <f t="shared" si="0"/>
        <v>9: 300 - 399</v>
      </c>
      <c r="K24" t="str">
        <f>"LL - In"</f>
        <v>LL - In</v>
      </c>
      <c r="L24" s="1">
        <v>31</v>
      </c>
      <c r="M24" t="s">
        <v>43</v>
      </c>
      <c r="O24" t="s">
        <v>28</v>
      </c>
      <c r="P24">
        <v>4</v>
      </c>
      <c r="Q24">
        <v>1</v>
      </c>
      <c r="R24">
        <v>13</v>
      </c>
      <c r="S24" s="2">
        <v>41898</v>
      </c>
      <c r="T24" s="2">
        <v>42114</v>
      </c>
      <c r="U24" s="2">
        <v>43391</v>
      </c>
      <c r="V24" s="2">
        <v>42863</v>
      </c>
    </row>
    <row r="25" spans="1:22" x14ac:dyDescent="0.2">
      <c r="A25" t="str">
        <f>"302 PIN"</f>
        <v>302 PIN</v>
      </c>
      <c r="B25" t="str">
        <f>"village effect: how face-to-face contact"</f>
        <v>village effect: how face-to-face contact</v>
      </c>
      <c r="C25">
        <v>405156</v>
      </c>
      <c r="D25" t="str">
        <f>"Pinker, Susan,"</f>
        <v>Pinker, Susan,</v>
      </c>
      <c r="F25" t="str">
        <f>"368 pages, 25 cm, illustrations"</f>
        <v>368 pages, 25 cm, illustrations</v>
      </c>
      <c r="G25" s="1">
        <v>19</v>
      </c>
      <c r="H25">
        <v>2014</v>
      </c>
      <c r="I25" t="str">
        <f t="shared" si="0"/>
        <v>9: 300 - 399</v>
      </c>
      <c r="K25" t="str">
        <f>"WB - In"</f>
        <v>WB - In</v>
      </c>
      <c r="L25" s="1">
        <v>28</v>
      </c>
      <c r="M25" t="s">
        <v>43</v>
      </c>
      <c r="O25" t="s">
        <v>28</v>
      </c>
      <c r="P25">
        <v>1</v>
      </c>
      <c r="Q25">
        <v>0</v>
      </c>
      <c r="R25">
        <v>1</v>
      </c>
      <c r="S25" s="2">
        <v>43529</v>
      </c>
      <c r="T25" s="2">
        <v>43542</v>
      </c>
      <c r="U25" s="2">
        <v>43673</v>
      </c>
    </row>
    <row r="26" spans="1:22" x14ac:dyDescent="0.2">
      <c r="A26" t="str">
        <f>"302 ROS"</f>
        <v>302 ROS</v>
      </c>
      <c r="B26" t="str">
        <f>"Factfulness: ten reasons we're wrong abo"</f>
        <v>Factfulness: ten reasons we're wrong abo</v>
      </c>
      <c r="C26">
        <v>347232</v>
      </c>
      <c r="D26" t="str">
        <f>"Rosling, Hans"</f>
        <v>Rosling, Hans</v>
      </c>
      <c r="F26" t="str">
        <f>"x, 342 pages, 22 cm, illustrations, charts"</f>
        <v>x, 342 pages, 22 cm, illustrations, charts</v>
      </c>
      <c r="G26" s="1">
        <v>18</v>
      </c>
      <c r="H26">
        <v>2018</v>
      </c>
      <c r="I26" t="str">
        <f t="shared" si="0"/>
        <v>9: 300 - 399</v>
      </c>
      <c r="K26" t="str">
        <f>"WB - In"</f>
        <v>WB - In</v>
      </c>
      <c r="L26" s="1">
        <v>33</v>
      </c>
      <c r="M26" t="s">
        <v>44</v>
      </c>
      <c r="O26" t="s">
        <v>28</v>
      </c>
      <c r="P26">
        <v>15</v>
      </c>
      <c r="Q26">
        <v>0</v>
      </c>
      <c r="R26">
        <v>15</v>
      </c>
      <c r="S26" s="2">
        <v>43206</v>
      </c>
      <c r="T26" s="2">
        <v>43423</v>
      </c>
      <c r="U26" s="2">
        <v>43813</v>
      </c>
    </row>
    <row r="27" spans="1:22" x14ac:dyDescent="0.2">
      <c r="A27" t="str">
        <f>"302 ROS"</f>
        <v>302 ROS</v>
      </c>
      <c r="B27" t="str">
        <f>"Factfulness: ten reasons we're wrong abo"</f>
        <v>Factfulness: ten reasons we're wrong abo</v>
      </c>
      <c r="C27">
        <v>347771</v>
      </c>
      <c r="D27" t="str">
        <f>"Rosling, Hans"</f>
        <v>Rosling, Hans</v>
      </c>
      <c r="F27" t="str">
        <f>"x, 342 pages, 22 cm, illustrations, charts"</f>
        <v>x, 342 pages, 22 cm, illustrations, charts</v>
      </c>
      <c r="G27" s="1">
        <v>18</v>
      </c>
      <c r="H27">
        <v>2018</v>
      </c>
      <c r="I27" t="str">
        <f t="shared" si="0"/>
        <v>9: 300 - 399</v>
      </c>
      <c r="K27" t="str">
        <f>"WB - Out"</f>
        <v>WB - Out</v>
      </c>
      <c r="L27" s="1">
        <v>33</v>
      </c>
      <c r="M27" t="s">
        <v>44</v>
      </c>
      <c r="O27" t="s">
        <v>28</v>
      </c>
      <c r="P27">
        <v>15</v>
      </c>
      <c r="Q27">
        <v>0</v>
      </c>
      <c r="R27">
        <v>15</v>
      </c>
      <c r="S27" s="2">
        <v>43243</v>
      </c>
      <c r="T27" s="2">
        <v>43523</v>
      </c>
      <c r="U27" s="2">
        <v>43859</v>
      </c>
    </row>
    <row r="28" spans="1:22" x14ac:dyDescent="0.2">
      <c r="A28" t="str">
        <f>"302 TAL"</f>
        <v>302 TAL</v>
      </c>
      <c r="B28" t="str">
        <f>"Skin in the game: hidden asymmetries in "</f>
        <v xml:space="preserve">Skin in the game: hidden asymmetries in </v>
      </c>
      <c r="C28">
        <v>346408</v>
      </c>
      <c r="D28" t="str">
        <f>"Taleb, Nassim"</f>
        <v>Taleb, Nassim</v>
      </c>
      <c r="F28" t="str">
        <f>"xv, 279 pages, 25 cm, illustrations"</f>
        <v>xv, 279 pages, 25 cm, illustrations</v>
      </c>
      <c r="G28" s="1">
        <v>18</v>
      </c>
      <c r="H28">
        <v>2018</v>
      </c>
      <c r="I28" t="str">
        <f t="shared" si="0"/>
        <v>9: 300 - 399</v>
      </c>
      <c r="K28" t="str">
        <f>"WB - In"</f>
        <v>WB - In</v>
      </c>
      <c r="L28" s="1">
        <v>35</v>
      </c>
      <c r="M28" t="s">
        <v>45</v>
      </c>
      <c r="O28" t="s">
        <v>28</v>
      </c>
      <c r="P28">
        <v>14</v>
      </c>
      <c r="Q28">
        <v>0</v>
      </c>
      <c r="R28">
        <v>14</v>
      </c>
      <c r="S28" s="2">
        <v>43159</v>
      </c>
      <c r="T28" s="2">
        <v>43369</v>
      </c>
      <c r="U28" s="2">
        <v>43680</v>
      </c>
    </row>
    <row r="29" spans="1:22" x14ac:dyDescent="0.2">
      <c r="A29" t="str">
        <f>"302.2 ERI"</f>
        <v>302.2 ERI</v>
      </c>
      <c r="B29" t="str">
        <f>"Surrounded by idiots: the four types of "</f>
        <v xml:space="preserve">Surrounded by idiots: the four types of </v>
      </c>
      <c r="C29">
        <v>356440</v>
      </c>
      <c r="D29" t="str">
        <f>"Erikson, Thomas,"</f>
        <v>Erikson, Thomas,</v>
      </c>
      <c r="F29" t="str">
        <f>"xv, 282 pages, 25 cm, illustrations (some color)"</f>
        <v>xv, 282 pages, 25 cm, illustrations (some color)</v>
      </c>
      <c r="G29" s="1">
        <v>19</v>
      </c>
      <c r="H29">
        <v>2019</v>
      </c>
      <c r="I29" t="str">
        <f t="shared" si="0"/>
        <v>9: 300 - 399</v>
      </c>
      <c r="K29" t="str">
        <f>"LL - In"</f>
        <v>LL - In</v>
      </c>
      <c r="L29" s="1">
        <v>33</v>
      </c>
      <c r="M29" t="s">
        <v>46</v>
      </c>
      <c r="O29" t="s">
        <v>28</v>
      </c>
      <c r="P29">
        <v>10</v>
      </c>
      <c r="Q29">
        <v>0</v>
      </c>
      <c r="R29">
        <v>10</v>
      </c>
      <c r="S29" s="2">
        <v>43671</v>
      </c>
      <c r="T29" s="2">
        <v>43852</v>
      </c>
      <c r="U29" s="2">
        <v>43835</v>
      </c>
    </row>
    <row r="30" spans="1:22" x14ac:dyDescent="0.2">
      <c r="A30" t="str">
        <f>"302.2 KEH"</f>
        <v>302.2 KEH</v>
      </c>
      <c r="B30" t="str">
        <f>"Effective communication skills: course g"</f>
        <v>Effective communication skills: course g</v>
      </c>
      <c r="C30">
        <v>282577</v>
      </c>
      <c r="D30" t="str">
        <f>"Kehoe, Dalton."</f>
        <v>Kehoe, Dalton.</v>
      </c>
      <c r="E30" t="str">
        <f>"Great Courses series"</f>
        <v>Great Courses series</v>
      </c>
      <c r="F30" t="str">
        <f>"80 p."</f>
        <v>80 p.</v>
      </c>
      <c r="G30" s="1">
        <v>15</v>
      </c>
      <c r="H30">
        <v>2011</v>
      </c>
      <c r="I30" t="str">
        <f t="shared" si="0"/>
        <v>9: 300 - 399</v>
      </c>
      <c r="K30" t="str">
        <f>"LL - In"</f>
        <v>LL - In</v>
      </c>
      <c r="L30" s="1">
        <v>10</v>
      </c>
      <c r="O30" t="s">
        <v>28</v>
      </c>
      <c r="P30">
        <v>1</v>
      </c>
      <c r="Q30">
        <v>0</v>
      </c>
      <c r="R30">
        <v>2</v>
      </c>
      <c r="S30" s="2">
        <v>42242</v>
      </c>
      <c r="T30" s="2">
        <v>42255</v>
      </c>
      <c r="U30" s="2">
        <v>43015</v>
      </c>
    </row>
    <row r="31" spans="1:22" x14ac:dyDescent="0.2">
      <c r="A31" t="str">
        <f>"302.2 LEF"</f>
        <v>302.2 LEF</v>
      </c>
      <c r="B31" t="str">
        <f>"Art of explanation: making your ideas, p"</f>
        <v>Art of explanation: making your ideas, p</v>
      </c>
      <c r="C31">
        <v>274229</v>
      </c>
      <c r="D31" t="str">
        <f>"LeFever, Lee,"</f>
        <v>LeFever, Lee,</v>
      </c>
      <c r="F31" t="str">
        <f>"xxii, 226 p., 21 cm"</f>
        <v>xxii, 226 p., 21 cm</v>
      </c>
      <c r="G31">
        <v>14</v>
      </c>
      <c r="H31">
        <v>2013</v>
      </c>
      <c r="I31" t="str">
        <f t="shared" si="0"/>
        <v>9: 300 - 399</v>
      </c>
      <c r="K31" t="str">
        <f>"WB - In"</f>
        <v>WB - In</v>
      </c>
      <c r="L31" s="1">
        <v>33</v>
      </c>
      <c r="M31" t="s">
        <v>47</v>
      </c>
      <c r="O31" t="s">
        <v>28</v>
      </c>
      <c r="P31">
        <v>1</v>
      </c>
      <c r="Q31">
        <v>0</v>
      </c>
      <c r="R31">
        <v>6</v>
      </c>
      <c r="S31" s="2">
        <v>41793</v>
      </c>
      <c r="T31" s="2">
        <v>41800</v>
      </c>
      <c r="U31" s="2">
        <v>43620</v>
      </c>
      <c r="V31" s="2">
        <v>42663</v>
      </c>
    </row>
    <row r="32" spans="1:22" x14ac:dyDescent="0.2">
      <c r="A32" t="str">
        <f>"302.2 LOW"</f>
        <v>302.2 LOW</v>
      </c>
      <c r="B32" t="str">
        <f>"How to talk to anyone: 92 little tricks "</f>
        <v xml:space="preserve">How to talk to anyone: 92 little tricks </v>
      </c>
      <c r="C32">
        <v>360437</v>
      </c>
      <c r="D32" t="str">
        <f>"Lowndes, Leil."</f>
        <v>Lowndes, Leil.</v>
      </c>
      <c r="F32" t="str">
        <f>"xv, 345 p., 21 cm"</f>
        <v>xv, 345 p., 21 cm</v>
      </c>
      <c r="G32" s="1">
        <v>20</v>
      </c>
      <c r="H32">
        <v>2003</v>
      </c>
      <c r="I32" t="str">
        <f t="shared" si="0"/>
        <v>9: 300 - 399</v>
      </c>
      <c r="K32" t="str">
        <f>"WB - Out"</f>
        <v>WB - Out</v>
      </c>
      <c r="L32" s="1">
        <v>23</v>
      </c>
      <c r="M32" t="s">
        <v>48</v>
      </c>
      <c r="O32" t="s">
        <v>28</v>
      </c>
      <c r="P32">
        <v>1</v>
      </c>
      <c r="Q32">
        <v>0</v>
      </c>
      <c r="R32">
        <v>1</v>
      </c>
      <c r="S32" s="2">
        <v>43851</v>
      </c>
      <c r="T32" s="2">
        <v>43859</v>
      </c>
      <c r="U32" s="2">
        <v>43861</v>
      </c>
    </row>
    <row r="33" spans="1:22" x14ac:dyDescent="0.2">
      <c r="A33" t="str">
        <f>"302.2 MAC"</f>
        <v>302.2 MAC</v>
      </c>
      <c r="B33" t="str">
        <f>"social skills guidebook: manage shyness,"</f>
        <v>social skills guidebook: manage shyness,</v>
      </c>
      <c r="C33">
        <v>351017</v>
      </c>
      <c r="D33" t="str">
        <f>"MacLeod, Chris"</f>
        <v>MacLeod, Chris</v>
      </c>
      <c r="F33" t="str">
        <f>"iv, 357 pages, 23 cm"</f>
        <v>iv, 357 pages, 23 cm</v>
      </c>
      <c r="G33" s="1">
        <v>18</v>
      </c>
      <c r="H33">
        <v>2016</v>
      </c>
      <c r="I33" t="str">
        <f t="shared" si="0"/>
        <v>9: 300 - 399</v>
      </c>
      <c r="K33" t="str">
        <f>"LL - Out"</f>
        <v>LL - Out</v>
      </c>
      <c r="L33" s="1">
        <v>25</v>
      </c>
      <c r="M33" t="s">
        <v>49</v>
      </c>
      <c r="O33" t="s">
        <v>28</v>
      </c>
      <c r="P33">
        <v>7</v>
      </c>
      <c r="Q33">
        <v>1</v>
      </c>
      <c r="R33">
        <v>8</v>
      </c>
      <c r="S33" s="2">
        <v>43402</v>
      </c>
      <c r="T33" s="2">
        <v>43420</v>
      </c>
      <c r="U33" s="2">
        <v>43794</v>
      </c>
      <c r="V33" s="2">
        <v>43644</v>
      </c>
    </row>
    <row r="34" spans="1:22" x14ac:dyDescent="0.2">
      <c r="A34" t="str">
        <f>"302.2 SCH"</f>
        <v>302.2 SCH</v>
      </c>
      <c r="B34" t="str">
        <f>"Humble inquiry: the gentle art of asking"</f>
        <v>Humble inquiry: the gentle art of asking</v>
      </c>
      <c r="C34">
        <v>343305</v>
      </c>
      <c r="D34" t="str">
        <f>"Schein, Edgar H."</f>
        <v>Schein, Edgar H.</v>
      </c>
      <c r="F34" t="str">
        <f>"123 pages, 22 cm"</f>
        <v>123 pages, 22 cm</v>
      </c>
      <c r="G34" s="1">
        <v>17</v>
      </c>
      <c r="H34">
        <v>2013</v>
      </c>
      <c r="I34" t="str">
        <f t="shared" si="0"/>
        <v>9: 300 - 399</v>
      </c>
      <c r="K34" t="str">
        <f>"WB - Out"</f>
        <v>WB - Out</v>
      </c>
      <c r="L34" s="1">
        <v>22</v>
      </c>
      <c r="M34" t="s">
        <v>50</v>
      </c>
      <c r="O34" t="s">
        <v>28</v>
      </c>
      <c r="P34">
        <v>3</v>
      </c>
      <c r="Q34">
        <v>0</v>
      </c>
      <c r="R34">
        <v>3</v>
      </c>
      <c r="S34" s="2">
        <v>42977</v>
      </c>
      <c r="T34" s="2">
        <v>42983</v>
      </c>
      <c r="U34" s="2">
        <v>43841</v>
      </c>
    </row>
    <row r="35" spans="1:22" x14ac:dyDescent="0.2">
      <c r="A35" t="str">
        <f>"302.2 TUR"</f>
        <v>302.2 TUR</v>
      </c>
      <c r="B35" t="str">
        <f>"Reclaiming conversation: the power of ta"</f>
        <v>Reclaiming conversation: the power of ta</v>
      </c>
      <c r="C35">
        <v>334320</v>
      </c>
      <c r="D35" t="str">
        <f>"Turkle, Sherry."</f>
        <v>Turkle, Sherry.</v>
      </c>
      <c r="F35" t="str">
        <f>"436 pages, 25 cm"</f>
        <v>436 pages, 25 cm</v>
      </c>
      <c r="G35" s="1">
        <v>16</v>
      </c>
      <c r="H35">
        <v>2015</v>
      </c>
      <c r="I35" t="str">
        <f t="shared" si="0"/>
        <v>9: 300 - 399</v>
      </c>
      <c r="K35" t="str">
        <f>"WB - In"</f>
        <v>WB - In</v>
      </c>
      <c r="L35" s="1">
        <v>33</v>
      </c>
      <c r="M35" t="s">
        <v>51</v>
      </c>
      <c r="O35" t="s">
        <v>28</v>
      </c>
      <c r="P35">
        <v>1</v>
      </c>
      <c r="Q35">
        <v>0</v>
      </c>
      <c r="R35">
        <v>11</v>
      </c>
      <c r="S35" s="2">
        <v>42465</v>
      </c>
      <c r="T35" s="2">
        <v>42686</v>
      </c>
      <c r="U35" s="2">
        <v>43493</v>
      </c>
    </row>
    <row r="36" spans="1:22" x14ac:dyDescent="0.2">
      <c r="A36" t="str">
        <f>"302.2 WOL"</f>
        <v>302.2 WOL</v>
      </c>
      <c r="B36" t="str">
        <f>"kingdom of speech"</f>
        <v>kingdom of speech</v>
      </c>
      <c r="C36">
        <v>337474</v>
      </c>
      <c r="D36" t="str">
        <f>"Wolfe, Tom"</f>
        <v>Wolfe, Tom</v>
      </c>
      <c r="F36" t="str">
        <f>"185 pages, 22 cm"</f>
        <v>185 pages, 22 cm</v>
      </c>
      <c r="G36" s="1">
        <v>16</v>
      </c>
      <c r="H36">
        <v>2016</v>
      </c>
      <c r="I36" t="str">
        <f t="shared" si="0"/>
        <v>9: 300 - 399</v>
      </c>
      <c r="K36" t="str">
        <f>"WB - In"</f>
        <v>WB - In</v>
      </c>
      <c r="L36" s="1">
        <v>31</v>
      </c>
      <c r="M36" t="s">
        <v>52</v>
      </c>
      <c r="O36" t="s">
        <v>28</v>
      </c>
      <c r="P36">
        <v>2</v>
      </c>
      <c r="Q36">
        <v>0</v>
      </c>
      <c r="R36">
        <v>5</v>
      </c>
      <c r="S36" s="2">
        <v>42632</v>
      </c>
      <c r="T36" s="2">
        <v>42828</v>
      </c>
      <c r="U36" s="2">
        <v>43556</v>
      </c>
    </row>
    <row r="37" spans="1:22" x14ac:dyDescent="0.2">
      <c r="A37" t="str">
        <f>"302.23 ALT"</f>
        <v>302.23 ALT</v>
      </c>
      <c r="B37" t="str">
        <f>"Irresistible: the rise of addictive tech"</f>
        <v>Irresistible: the rise of addictive tech</v>
      </c>
      <c r="C37">
        <v>340442</v>
      </c>
      <c r="D37" t="str">
        <f>"Alter, Adam L.,"</f>
        <v>Alter, Adam L.,</v>
      </c>
      <c r="F37" t="str">
        <f>"354 pages, 22 cm, illustrations"</f>
        <v>354 pages, 22 cm, illustrations</v>
      </c>
      <c r="G37" s="1">
        <v>17</v>
      </c>
      <c r="H37">
        <v>2017</v>
      </c>
      <c r="I37" t="str">
        <f t="shared" si="0"/>
        <v>9: 300 - 399</v>
      </c>
      <c r="K37" t="str">
        <f>"WB - In"</f>
        <v>WB - In</v>
      </c>
      <c r="L37" s="1">
        <v>32</v>
      </c>
      <c r="M37" t="s">
        <v>53</v>
      </c>
      <c r="O37" t="s">
        <v>28</v>
      </c>
      <c r="P37">
        <v>13</v>
      </c>
      <c r="Q37">
        <v>0</v>
      </c>
      <c r="R37">
        <v>13</v>
      </c>
      <c r="S37" s="2">
        <v>42821</v>
      </c>
      <c r="T37" s="2">
        <v>43040</v>
      </c>
      <c r="U37" s="2">
        <v>43397</v>
      </c>
    </row>
    <row r="38" spans="1:22" x14ac:dyDescent="0.2">
      <c r="A38" t="str">
        <f>"302.23 BAR"</f>
        <v>302.23 BAR</v>
      </c>
      <c r="B38" t="str">
        <f>"dark net: inside the digital underworld"</f>
        <v>dark net: inside the digital underworld</v>
      </c>
      <c r="C38">
        <v>328757</v>
      </c>
      <c r="D38" t="str">
        <f>"Bartlett, Jamie"</f>
        <v>Bartlett, Jamie</v>
      </c>
      <c r="F38" t="str">
        <f>"x, 308 pages, 24 cm"</f>
        <v>x, 308 pages, 24 cm</v>
      </c>
      <c r="G38" s="1">
        <v>15</v>
      </c>
      <c r="H38">
        <v>2015</v>
      </c>
      <c r="I38" t="str">
        <f t="shared" si="0"/>
        <v>9: 300 - 399</v>
      </c>
      <c r="K38" t="str">
        <f>"WB - In"</f>
        <v>WB - In</v>
      </c>
      <c r="L38" s="1">
        <v>33</v>
      </c>
      <c r="M38" t="s">
        <v>54</v>
      </c>
      <c r="O38" t="s">
        <v>28</v>
      </c>
      <c r="P38">
        <v>3</v>
      </c>
      <c r="Q38">
        <v>1</v>
      </c>
      <c r="R38">
        <v>13</v>
      </c>
      <c r="S38" s="2">
        <v>42206</v>
      </c>
      <c r="T38" s="2">
        <v>42365</v>
      </c>
      <c r="U38" s="2">
        <v>43615</v>
      </c>
      <c r="V38" s="2">
        <v>43297</v>
      </c>
    </row>
    <row r="39" spans="1:22" x14ac:dyDescent="0.2">
      <c r="A39" t="str">
        <f>"302.23 HEI"</f>
        <v>302.23 HEI</v>
      </c>
      <c r="B39" t="str">
        <f>"Screenwise: helping kids thrive (and sur"</f>
        <v>Screenwise: helping kids thrive (and sur</v>
      </c>
      <c r="C39">
        <v>338264</v>
      </c>
      <c r="D39" t="str">
        <f>"Heitner, Devorah,"</f>
        <v>Heitner, Devorah,</v>
      </c>
      <c r="F39" t="str">
        <f>"244 pages, 22 cm"</f>
        <v>244 pages, 22 cm</v>
      </c>
      <c r="G39" s="1">
        <v>16</v>
      </c>
      <c r="H39">
        <v>2016</v>
      </c>
      <c r="I39" t="str">
        <f t="shared" si="0"/>
        <v>9: 300 - 399</v>
      </c>
      <c r="K39" t="str">
        <f>"LL - In"</f>
        <v>LL - In</v>
      </c>
      <c r="L39" s="1">
        <v>25</v>
      </c>
      <c r="M39" t="s">
        <v>55</v>
      </c>
      <c r="O39" t="s">
        <v>28</v>
      </c>
      <c r="P39">
        <v>7</v>
      </c>
      <c r="Q39">
        <v>0</v>
      </c>
      <c r="R39">
        <v>10</v>
      </c>
      <c r="S39" s="2">
        <v>42681</v>
      </c>
      <c r="T39" s="2">
        <v>43250</v>
      </c>
      <c r="U39" s="2">
        <v>43716</v>
      </c>
    </row>
    <row r="40" spans="1:22" x14ac:dyDescent="0.2">
      <c r="A40" t="str">
        <f>"302.23 IYE"</f>
        <v>302.23 IYE</v>
      </c>
      <c r="B40" t="str">
        <f>"art of stillness: adventures in going no"</f>
        <v>art of stillness: adventures in going no</v>
      </c>
      <c r="C40">
        <v>326225</v>
      </c>
      <c r="D40" t="str">
        <f>"Iyer, Pico."</f>
        <v>Iyer, Pico.</v>
      </c>
      <c r="F40" t="str">
        <f>"74 pages, 19 cm, color illustrations"</f>
        <v>74 pages, 19 cm, color illustrations</v>
      </c>
      <c r="G40" s="1">
        <v>15</v>
      </c>
      <c r="H40">
        <v>2014</v>
      </c>
      <c r="I40" t="str">
        <f t="shared" si="0"/>
        <v>9: 300 - 399</v>
      </c>
      <c r="K40" t="str">
        <f>"LL - In"</f>
        <v>LL - In</v>
      </c>
      <c r="L40" s="1">
        <v>0</v>
      </c>
      <c r="M40" t="s">
        <v>56</v>
      </c>
      <c r="O40" t="s">
        <v>28</v>
      </c>
      <c r="P40">
        <v>7</v>
      </c>
      <c r="Q40">
        <v>0</v>
      </c>
      <c r="R40">
        <v>26</v>
      </c>
      <c r="S40" s="2">
        <v>42065</v>
      </c>
      <c r="T40" s="2">
        <v>42225</v>
      </c>
      <c r="U40" s="2">
        <v>43696</v>
      </c>
      <c r="V40" s="2">
        <v>42225</v>
      </c>
    </row>
    <row r="41" spans="1:22" x14ac:dyDescent="0.2">
      <c r="A41" t="str">
        <f>"302.23 KAW"</f>
        <v>302.23 KAW</v>
      </c>
      <c r="B41" t="str">
        <f>"art of social media: power tips for powe"</f>
        <v>art of social media: power tips for powe</v>
      </c>
      <c r="C41">
        <v>325249</v>
      </c>
      <c r="D41" t="str">
        <f>"Kawasaki, Guy"</f>
        <v>Kawasaki, Guy</v>
      </c>
      <c r="F41" t="str">
        <f>"xii, 196 pages, 19 cm, illustrations"</f>
        <v>xii, 196 pages, 19 cm, illustrations</v>
      </c>
      <c r="G41" s="1">
        <v>14</v>
      </c>
      <c r="H41">
        <v>2014</v>
      </c>
      <c r="I41" t="str">
        <f t="shared" si="0"/>
        <v>9: 300 - 399</v>
      </c>
      <c r="K41" t="str">
        <f>"LL - In"</f>
        <v>LL - In</v>
      </c>
      <c r="L41" s="1">
        <v>31</v>
      </c>
      <c r="M41" t="s">
        <v>57</v>
      </c>
      <c r="O41" t="s">
        <v>28</v>
      </c>
      <c r="P41">
        <v>5</v>
      </c>
      <c r="Q41">
        <v>0</v>
      </c>
      <c r="R41">
        <v>20</v>
      </c>
      <c r="S41" s="2">
        <v>42009</v>
      </c>
      <c r="T41" s="2">
        <v>42213</v>
      </c>
      <c r="U41" s="2">
        <v>43640</v>
      </c>
    </row>
    <row r="42" spans="1:22" x14ac:dyDescent="0.2">
      <c r="A42" t="str">
        <f>"302.23 LAN"</f>
        <v>302.23 LAN</v>
      </c>
      <c r="B42" t="str">
        <f>"Ten arguments for deleting all your soci"</f>
        <v>Ten arguments for deleting all your soci</v>
      </c>
      <c r="C42">
        <v>348036</v>
      </c>
      <c r="D42" t="str">
        <f>"Lanier, Jaron."</f>
        <v>Lanier, Jaron.</v>
      </c>
      <c r="F42" t="str">
        <f>"144 p."</f>
        <v>144 p.</v>
      </c>
      <c r="G42" s="1">
        <v>18</v>
      </c>
      <c r="H42">
        <v>2018</v>
      </c>
      <c r="I42" t="str">
        <f t="shared" si="0"/>
        <v>9: 300 - 399</v>
      </c>
      <c r="K42" t="str">
        <f>"WB - In"</f>
        <v>WB - In</v>
      </c>
      <c r="L42" s="1">
        <v>23</v>
      </c>
      <c r="M42" t="s">
        <v>58</v>
      </c>
      <c r="O42" t="s">
        <v>28</v>
      </c>
      <c r="P42">
        <v>9</v>
      </c>
      <c r="Q42">
        <v>0</v>
      </c>
      <c r="R42">
        <v>9</v>
      </c>
      <c r="S42" s="2">
        <v>43257</v>
      </c>
      <c r="T42" s="2">
        <v>43423</v>
      </c>
      <c r="U42" s="2">
        <v>43478</v>
      </c>
    </row>
    <row r="43" spans="1:22" x14ac:dyDescent="0.2">
      <c r="A43" t="str">
        <f>"302.23 SCO"</f>
        <v>302.23 SCO</v>
      </c>
      <c r="B43" t="str">
        <f>"four-dimensional human: ways of being in"</f>
        <v>four-dimensional human: ways of being in</v>
      </c>
      <c r="C43">
        <v>339095</v>
      </c>
      <c r="D43" t="str">
        <f>"Scott, Laurence"</f>
        <v>Scott, Laurence</v>
      </c>
      <c r="F43" t="str">
        <f>"xxiii, 248 pages, 21 cm"</f>
        <v>xxiii, 248 pages, 21 cm</v>
      </c>
      <c r="G43" s="1">
        <v>17</v>
      </c>
      <c r="H43">
        <v>2016</v>
      </c>
      <c r="I43" t="str">
        <f t="shared" si="0"/>
        <v>9: 300 - 399</v>
      </c>
      <c r="K43" t="str">
        <f>"LL - In"</f>
        <v>LL - In</v>
      </c>
      <c r="L43" s="1">
        <v>22</v>
      </c>
      <c r="M43" t="s">
        <v>59</v>
      </c>
      <c r="O43" t="s">
        <v>28</v>
      </c>
      <c r="P43">
        <v>8</v>
      </c>
      <c r="Q43">
        <v>2</v>
      </c>
      <c r="R43">
        <v>10</v>
      </c>
      <c r="S43" s="2">
        <v>42754</v>
      </c>
      <c r="T43" s="2">
        <v>42912</v>
      </c>
      <c r="U43" s="2">
        <v>43197</v>
      </c>
      <c r="V43" s="2">
        <v>43337</v>
      </c>
    </row>
    <row r="44" spans="1:22" x14ac:dyDescent="0.2">
      <c r="A44" t="str">
        <f>"302.23 STA"</f>
        <v>302.23 STA</v>
      </c>
      <c r="B44" t="str">
        <f>"Writing on the wall: social media, the f"</f>
        <v>Writing on the wall: social media, the f</v>
      </c>
      <c r="C44">
        <v>318608</v>
      </c>
      <c r="D44" t="str">
        <f>"Standage, Tom"</f>
        <v>Standage, Tom</v>
      </c>
      <c r="F44" t="str">
        <f>"viii, 278 pages, 25 cm, illustrations"</f>
        <v>viii, 278 pages, 25 cm, illustrations</v>
      </c>
      <c r="G44" s="1">
        <v>13</v>
      </c>
      <c r="H44">
        <v>2013</v>
      </c>
      <c r="I44" t="str">
        <f t="shared" si="0"/>
        <v>9: 300 - 399</v>
      </c>
      <c r="K44" t="str">
        <f>"LL - In"</f>
        <v>LL - In</v>
      </c>
      <c r="L44" s="1">
        <v>31</v>
      </c>
      <c r="M44" t="s">
        <v>60</v>
      </c>
      <c r="O44" t="s">
        <v>28</v>
      </c>
      <c r="P44">
        <v>1</v>
      </c>
      <c r="Q44">
        <v>0</v>
      </c>
      <c r="R44">
        <v>7</v>
      </c>
      <c r="S44" s="2">
        <v>41624</v>
      </c>
      <c r="T44" s="2">
        <v>41753</v>
      </c>
      <c r="U44" s="2">
        <v>43197</v>
      </c>
    </row>
    <row r="45" spans="1:22" x14ac:dyDescent="0.2">
      <c r="A45" t="str">
        <f>"302.23 STE"</f>
        <v>302.23 STE</v>
      </c>
      <c r="B45" t="str">
        <f>"Everybody lies: big data, new data, and "</f>
        <v xml:space="preserve">Everybody lies: big data, new data, and </v>
      </c>
      <c r="C45">
        <v>342616</v>
      </c>
      <c r="D45" t="str">
        <f>"Stephens-Davidowitz, Seth"</f>
        <v>Stephens-Davidowitz, Seth</v>
      </c>
      <c r="F45" t="str">
        <f>"xi, 338 pages, 22 cm, illustrations (some color)"</f>
        <v>xi, 338 pages, 22 cm, illustrations (some color)</v>
      </c>
      <c r="G45" s="1">
        <v>17</v>
      </c>
      <c r="H45">
        <v>2017</v>
      </c>
      <c r="I45" t="str">
        <f t="shared" si="0"/>
        <v>9: 300 - 399</v>
      </c>
      <c r="K45" t="str">
        <f>"WB - In"</f>
        <v>WB - In</v>
      </c>
      <c r="L45" s="1">
        <v>33</v>
      </c>
      <c r="M45" t="s">
        <v>61</v>
      </c>
      <c r="O45" t="s">
        <v>28</v>
      </c>
      <c r="P45">
        <v>10</v>
      </c>
      <c r="Q45">
        <v>1</v>
      </c>
      <c r="R45">
        <v>11</v>
      </c>
      <c r="S45" s="2">
        <v>42940</v>
      </c>
      <c r="T45" s="2">
        <v>43114</v>
      </c>
      <c r="U45" s="2">
        <v>43721</v>
      </c>
      <c r="V45" s="2">
        <v>43235</v>
      </c>
    </row>
    <row r="46" spans="1:22" x14ac:dyDescent="0.2">
      <c r="A46" t="str">
        <f>"302.23 STE"</f>
        <v>302.23 STE</v>
      </c>
      <c r="B46" t="str">
        <f>"Everybody lies: big data, new data, and "</f>
        <v xml:space="preserve">Everybody lies: big data, new data, and </v>
      </c>
      <c r="C46">
        <v>344443</v>
      </c>
      <c r="D46" t="str">
        <f>"Stephens-Davidowitz, Seth"</f>
        <v>Stephens-Davidowitz, Seth</v>
      </c>
      <c r="F46" t="str">
        <f>"xi, 338 pages, 22 cm, illustrations (some color)"</f>
        <v>xi, 338 pages, 22 cm, illustrations (some color)</v>
      </c>
      <c r="G46" s="1">
        <v>17</v>
      </c>
      <c r="H46">
        <v>2017</v>
      </c>
      <c r="I46" t="str">
        <f t="shared" si="0"/>
        <v>9: 300 - 399</v>
      </c>
      <c r="K46" t="str">
        <f>"LL - In"</f>
        <v>LL - In</v>
      </c>
      <c r="L46" s="1">
        <v>33</v>
      </c>
      <c r="M46" t="s">
        <v>61</v>
      </c>
      <c r="O46" t="s">
        <v>28</v>
      </c>
      <c r="P46">
        <v>9</v>
      </c>
      <c r="Q46">
        <v>1</v>
      </c>
      <c r="R46">
        <v>10</v>
      </c>
      <c r="S46" s="2">
        <v>43040</v>
      </c>
      <c r="T46" s="2">
        <v>43291</v>
      </c>
      <c r="U46" s="2">
        <v>43726</v>
      </c>
      <c r="V46" s="2">
        <v>43162</v>
      </c>
    </row>
    <row r="47" spans="1:22" x14ac:dyDescent="0.2">
      <c r="A47" t="str">
        <f>"302.23 VAI"</f>
        <v>302.23 VAI</v>
      </c>
      <c r="B47" t="str">
        <f>"Antisocial media: how Facebook disconnec"</f>
        <v>Antisocial media: how Facebook disconnec</v>
      </c>
      <c r="C47">
        <v>351750</v>
      </c>
      <c r="D47" t="str">
        <f>"Vaidhyanathan, Siva"</f>
        <v>Vaidhyanathan, Siva</v>
      </c>
      <c r="F47" t="str">
        <f>"276 pages, 25 cm"</f>
        <v>276 pages, 25 cm</v>
      </c>
      <c r="G47" s="1">
        <v>18</v>
      </c>
      <c r="H47">
        <v>2018</v>
      </c>
      <c r="I47" t="str">
        <f t="shared" si="0"/>
        <v>9: 300 - 399</v>
      </c>
      <c r="K47" t="str">
        <f>"WB - In"</f>
        <v>WB - In</v>
      </c>
      <c r="L47" s="1">
        <v>30</v>
      </c>
      <c r="M47" t="s">
        <v>62</v>
      </c>
      <c r="O47" t="s">
        <v>28</v>
      </c>
      <c r="P47">
        <v>3</v>
      </c>
      <c r="Q47">
        <v>0</v>
      </c>
      <c r="R47">
        <v>3</v>
      </c>
      <c r="S47" s="2">
        <v>43444</v>
      </c>
      <c r="T47" s="2">
        <v>43677</v>
      </c>
      <c r="U47" s="2">
        <v>43634</v>
      </c>
    </row>
    <row r="48" spans="1:22" x14ac:dyDescent="0.2">
      <c r="A48" t="str">
        <f>"302.3 ALL"</f>
        <v>302.3 ALL</v>
      </c>
      <c r="B48" t="str">
        <f>"All there is: love stories from Storycor"</f>
        <v>All there is: love stories from Storycor</v>
      </c>
      <c r="C48">
        <v>305388</v>
      </c>
      <c r="F48" t="str">
        <f>"157 p."</f>
        <v>157 p.</v>
      </c>
      <c r="G48" s="1">
        <v>12</v>
      </c>
      <c r="H48">
        <v>2012</v>
      </c>
      <c r="I48" t="str">
        <f t="shared" si="0"/>
        <v>9: 300 - 399</v>
      </c>
      <c r="K48" t="str">
        <f>"WB - In"</f>
        <v>WB - In</v>
      </c>
      <c r="L48" s="1">
        <v>30</v>
      </c>
      <c r="M48" t="s">
        <v>63</v>
      </c>
      <c r="O48" t="s">
        <v>28</v>
      </c>
      <c r="P48">
        <v>1</v>
      </c>
      <c r="Q48">
        <v>1</v>
      </c>
      <c r="R48">
        <v>18</v>
      </c>
      <c r="S48" s="2">
        <v>40940</v>
      </c>
      <c r="T48" s="2">
        <v>41185</v>
      </c>
      <c r="U48" s="2">
        <v>43249</v>
      </c>
      <c r="V48" s="2">
        <v>42787</v>
      </c>
    </row>
    <row r="49" spans="1:22" x14ac:dyDescent="0.2">
      <c r="A49" t="str">
        <f>"302.3 BEN"</f>
        <v>302.3 BEN</v>
      </c>
      <c r="B49" t="str">
        <f>"Conversation transformation: recognize a"</f>
        <v>Conversation transformation: recognize a</v>
      </c>
      <c r="C49">
        <v>360574</v>
      </c>
      <c r="D49" t="str">
        <f>"Benjamin, Ben E.,"</f>
        <v>Benjamin, Ben E.,</v>
      </c>
      <c r="F49" t="str">
        <f>"viii, 246 p., 24 cm"</f>
        <v>viii, 246 p., 24 cm</v>
      </c>
      <c r="G49" s="1">
        <v>20</v>
      </c>
      <c r="H49">
        <v>2012</v>
      </c>
      <c r="I49" t="str">
        <f t="shared" si="0"/>
        <v>9: 300 - 399</v>
      </c>
      <c r="K49" t="str">
        <f>"WB - Transit"</f>
        <v>WB - Transit</v>
      </c>
      <c r="L49" s="1">
        <v>24</v>
      </c>
      <c r="M49" t="s">
        <v>64</v>
      </c>
      <c r="O49" t="s">
        <v>28</v>
      </c>
      <c r="P49">
        <v>0</v>
      </c>
      <c r="Q49">
        <v>0</v>
      </c>
      <c r="R49">
        <v>0</v>
      </c>
      <c r="S49" s="2">
        <v>43853</v>
      </c>
      <c r="T49" s="2">
        <v>43861</v>
      </c>
    </row>
    <row r="50" spans="1:22" x14ac:dyDescent="0.2">
      <c r="A50" t="str">
        <f>"302.3 CLA"</f>
        <v>302.3 CLA</v>
      </c>
      <c r="B50" t="str">
        <f>"Protecting your internet identity: are y"</f>
        <v>Protecting your internet identity: are y</v>
      </c>
      <c r="C50">
        <v>344302</v>
      </c>
      <c r="D50" t="str">
        <f>"Claypoole, Ted,"</f>
        <v>Claypoole, Ted,</v>
      </c>
      <c r="F50" t="str">
        <f>"277 pages, 23 cm"</f>
        <v>277 pages, 23 cm</v>
      </c>
      <c r="G50" s="1">
        <v>17</v>
      </c>
      <c r="H50">
        <v>2017</v>
      </c>
      <c r="I50" t="str">
        <f t="shared" si="0"/>
        <v>9: 300 - 399</v>
      </c>
      <c r="K50" t="str">
        <f t="shared" ref="K50:K55" si="1">"WB - In"</f>
        <v>WB - In</v>
      </c>
      <c r="L50" s="1">
        <v>24</v>
      </c>
      <c r="M50" t="s">
        <v>65</v>
      </c>
      <c r="O50" t="s">
        <v>28</v>
      </c>
      <c r="P50">
        <v>1</v>
      </c>
      <c r="Q50">
        <v>0</v>
      </c>
      <c r="R50">
        <v>1</v>
      </c>
      <c r="S50" s="2">
        <v>43032</v>
      </c>
      <c r="T50" s="2">
        <v>43038</v>
      </c>
      <c r="U50" s="2">
        <v>43049</v>
      </c>
    </row>
    <row r="51" spans="1:22" x14ac:dyDescent="0.2">
      <c r="A51" t="str">
        <f>"302.3 FER"</f>
        <v>302.3 FER</v>
      </c>
      <c r="B51" t="str">
        <f>"square and the tower: networks and power"</f>
        <v>square and the tower: networks and power</v>
      </c>
      <c r="C51">
        <v>299401</v>
      </c>
      <c r="D51" t="str">
        <f>"Ferguson, Niall"</f>
        <v>Ferguson, Niall</v>
      </c>
      <c r="F51" t="str">
        <f>"xxvii, 563 pages, 16 unnumbered pages of plates, 25 cm, illustrations (some color)"</f>
        <v>xxvii, 563 pages, 16 unnumbered pages of plates, 25 cm, illustrations (some color)</v>
      </c>
      <c r="G51" s="1">
        <v>18</v>
      </c>
      <c r="H51">
        <v>2018</v>
      </c>
      <c r="I51" t="str">
        <f t="shared" si="0"/>
        <v>9: 300 - 399</v>
      </c>
      <c r="K51" t="str">
        <f t="shared" si="1"/>
        <v>WB - In</v>
      </c>
      <c r="L51" s="1">
        <v>35</v>
      </c>
      <c r="M51" t="s">
        <v>66</v>
      </c>
      <c r="O51" t="s">
        <v>28</v>
      </c>
      <c r="P51">
        <v>7</v>
      </c>
      <c r="Q51">
        <v>1</v>
      </c>
      <c r="R51">
        <v>8</v>
      </c>
      <c r="S51" s="2">
        <v>43118</v>
      </c>
      <c r="T51" s="2">
        <v>43271</v>
      </c>
      <c r="U51" s="2">
        <v>43409</v>
      </c>
      <c r="V51" s="2">
        <v>43123</v>
      </c>
    </row>
    <row r="52" spans="1:22" x14ac:dyDescent="0.2">
      <c r="A52" t="str">
        <f>"302.3 FIN"</f>
        <v>302.3 FIN</v>
      </c>
      <c r="B52" t="str">
        <f>"fine art of small talk: how to start a c"</f>
        <v>fine art of small talk: how to start a c</v>
      </c>
      <c r="C52">
        <v>325638</v>
      </c>
      <c r="D52" t="str">
        <f>"Fine, Debra."</f>
        <v>Fine, Debra.</v>
      </c>
      <c r="F52" t="str">
        <f>"xviii, 202 p., 20 cm, ill."</f>
        <v>xviii, 202 p., 20 cm, ill.</v>
      </c>
      <c r="G52" s="1">
        <v>15</v>
      </c>
      <c r="H52">
        <v>2005</v>
      </c>
      <c r="I52" t="str">
        <f t="shared" si="0"/>
        <v>9: 300 - 399</v>
      </c>
      <c r="K52" t="str">
        <f t="shared" si="1"/>
        <v>WB - In</v>
      </c>
      <c r="L52" s="1">
        <v>23</v>
      </c>
      <c r="M52" t="s">
        <v>67</v>
      </c>
      <c r="O52" t="s">
        <v>28</v>
      </c>
      <c r="P52">
        <v>5</v>
      </c>
      <c r="Q52">
        <v>1</v>
      </c>
      <c r="R52">
        <v>20</v>
      </c>
      <c r="S52" s="2">
        <v>42024</v>
      </c>
      <c r="T52" s="2">
        <v>42211</v>
      </c>
      <c r="U52" s="2">
        <v>43785</v>
      </c>
      <c r="V52" s="2">
        <v>43302</v>
      </c>
    </row>
    <row r="53" spans="1:22" x14ac:dyDescent="0.2">
      <c r="A53" t="str">
        <f>"302.3 HYA"</f>
        <v>302.3 HYA</v>
      </c>
      <c r="B53" t="str">
        <f>"Platform: get noticed in a noisy world"</f>
        <v>Platform: get noticed in a noisy world</v>
      </c>
      <c r="C53">
        <v>337812</v>
      </c>
      <c r="D53" t="str">
        <f>"Hyatt, Michael S."</f>
        <v>Hyatt, Michael S.</v>
      </c>
      <c r="F53" t="str">
        <f>"xix, 261 p., 22 cm, ill."</f>
        <v>xix, 261 p., 22 cm, ill.</v>
      </c>
      <c r="G53" s="1">
        <v>16</v>
      </c>
      <c r="H53">
        <v>2012</v>
      </c>
      <c r="I53" t="str">
        <f t="shared" si="0"/>
        <v>9: 300 - 399</v>
      </c>
      <c r="K53" t="str">
        <f t="shared" si="1"/>
        <v>WB - In</v>
      </c>
      <c r="L53" s="1">
        <v>30</v>
      </c>
      <c r="M53" t="s">
        <v>68</v>
      </c>
      <c r="O53" t="s">
        <v>28</v>
      </c>
      <c r="P53">
        <v>4</v>
      </c>
      <c r="Q53">
        <v>0</v>
      </c>
      <c r="R53">
        <v>5</v>
      </c>
      <c r="S53" s="2">
        <v>42654</v>
      </c>
      <c r="T53" s="2">
        <v>42655</v>
      </c>
      <c r="U53" s="2">
        <v>43629</v>
      </c>
    </row>
    <row r="54" spans="1:22" x14ac:dyDescent="0.2">
      <c r="A54" t="str">
        <f>"302.3 JAC"</f>
        <v>302.3 JAC</v>
      </c>
      <c r="B54" t="str">
        <f>"human network: how your social position "</f>
        <v xml:space="preserve">human network: how your social position </v>
      </c>
      <c r="C54">
        <v>354209</v>
      </c>
      <c r="D54" t="str">
        <f>"Jackson, Matthew O."</f>
        <v>Jackson, Matthew O.</v>
      </c>
      <c r="F54" t="str">
        <f>"336 pages, 25 cm, illustrations"</f>
        <v>336 pages, 25 cm, illustrations</v>
      </c>
      <c r="G54" s="1">
        <v>19</v>
      </c>
      <c r="H54">
        <v>2019</v>
      </c>
      <c r="I54" t="str">
        <f t="shared" si="0"/>
        <v>9: 300 - 399</v>
      </c>
      <c r="K54" t="str">
        <f t="shared" si="1"/>
        <v>WB - In</v>
      </c>
      <c r="L54" s="1">
        <v>34</v>
      </c>
      <c r="M54" t="s">
        <v>69</v>
      </c>
      <c r="O54" t="s">
        <v>28</v>
      </c>
      <c r="P54">
        <v>3</v>
      </c>
      <c r="Q54">
        <v>0</v>
      </c>
      <c r="R54">
        <v>3</v>
      </c>
      <c r="S54" s="2">
        <v>43572</v>
      </c>
      <c r="T54" s="2">
        <v>43747</v>
      </c>
      <c r="U54" s="2">
        <v>43688</v>
      </c>
    </row>
    <row r="55" spans="1:22" x14ac:dyDescent="0.2">
      <c r="A55" t="str">
        <f>"302.3 JUN"</f>
        <v>302.3 JUN</v>
      </c>
      <c r="B55" t="str">
        <f>"Tribe: on homecoming and belonging"</f>
        <v>Tribe: on homecoming and belonging</v>
      </c>
      <c r="C55">
        <v>288333</v>
      </c>
      <c r="D55" t="str">
        <f>"Junger, Sebastian"</f>
        <v>Junger, Sebastian</v>
      </c>
      <c r="F55" t="str">
        <f>"xvii, 168 pages, 20 cm"</f>
        <v>xvii, 168 pages, 20 cm</v>
      </c>
      <c r="G55" s="1">
        <v>16</v>
      </c>
      <c r="H55">
        <v>2016</v>
      </c>
      <c r="I55" t="str">
        <f t="shared" si="0"/>
        <v>9: 300 - 399</v>
      </c>
      <c r="K55" t="str">
        <f t="shared" si="1"/>
        <v>WB - In</v>
      </c>
      <c r="L55" s="1">
        <v>27</v>
      </c>
      <c r="M55" t="s">
        <v>70</v>
      </c>
      <c r="O55" t="s">
        <v>28</v>
      </c>
      <c r="P55">
        <v>9</v>
      </c>
      <c r="Q55">
        <v>0</v>
      </c>
      <c r="R55">
        <v>20</v>
      </c>
      <c r="S55" s="2">
        <v>42522</v>
      </c>
      <c r="T55" s="2">
        <v>42717</v>
      </c>
      <c r="U55" s="2">
        <v>43593</v>
      </c>
    </row>
    <row r="56" spans="1:22" x14ac:dyDescent="0.2">
      <c r="A56" t="str">
        <f>"302.3 JUN"</f>
        <v>302.3 JUN</v>
      </c>
      <c r="B56" t="str">
        <f>"Tribe: on homecoming and belonging"</f>
        <v>Tribe: on homecoming and belonging</v>
      </c>
      <c r="C56">
        <v>336759</v>
      </c>
      <c r="D56" t="str">
        <f>"Junger, Sebastian"</f>
        <v>Junger, Sebastian</v>
      </c>
      <c r="F56" t="str">
        <f>"xvii, 168 pages, 20 cm"</f>
        <v>xvii, 168 pages, 20 cm</v>
      </c>
      <c r="G56" s="1">
        <v>16</v>
      </c>
      <c r="H56">
        <v>2016</v>
      </c>
      <c r="I56" t="str">
        <f t="shared" si="0"/>
        <v>9: 300 - 399</v>
      </c>
      <c r="K56" t="str">
        <f>"LL - In"</f>
        <v>LL - In</v>
      </c>
      <c r="L56" s="1">
        <v>27</v>
      </c>
      <c r="M56" t="s">
        <v>70</v>
      </c>
      <c r="O56" t="s">
        <v>28</v>
      </c>
      <c r="P56">
        <v>11</v>
      </c>
      <c r="Q56">
        <v>0</v>
      </c>
      <c r="R56">
        <v>17</v>
      </c>
      <c r="S56" s="2">
        <v>42591</v>
      </c>
      <c r="T56" s="2">
        <v>42760</v>
      </c>
      <c r="U56" s="2">
        <v>43774</v>
      </c>
      <c r="V56" s="2">
        <v>42663</v>
      </c>
    </row>
    <row r="57" spans="1:22" x14ac:dyDescent="0.2">
      <c r="A57" t="str">
        <f>"302.3 KIN"</f>
        <v>302.3 KIN</v>
      </c>
      <c r="B57" t="str">
        <f>"Face2Face: using Facebook, Twitter, and "</f>
        <v xml:space="preserve">Face2Face: using Facebook, Twitter, and </v>
      </c>
      <c r="C57">
        <v>313049</v>
      </c>
      <c r="D57" t="str">
        <f>"King, David Lee,"</f>
        <v>King, David Lee,</v>
      </c>
      <c r="F57" t="str">
        <f>"xvii, 194 p., 21 cm., ill."</f>
        <v>xvii, 194 p., 21 cm., ill.</v>
      </c>
      <c r="G57" s="1">
        <v>13</v>
      </c>
      <c r="H57">
        <v>2012</v>
      </c>
      <c r="I57" t="str">
        <f t="shared" si="0"/>
        <v>9: 300 - 399</v>
      </c>
      <c r="K57" t="str">
        <f>"WB - In"</f>
        <v>WB - In</v>
      </c>
      <c r="L57" s="1">
        <v>30</v>
      </c>
      <c r="M57" t="s">
        <v>71</v>
      </c>
      <c r="O57" t="s">
        <v>28</v>
      </c>
      <c r="P57">
        <v>1</v>
      </c>
      <c r="Q57">
        <v>0</v>
      </c>
      <c r="R57">
        <v>9</v>
      </c>
      <c r="S57" s="2">
        <v>41359</v>
      </c>
      <c r="T57" s="2">
        <v>41365</v>
      </c>
      <c r="U57" s="2">
        <v>43629</v>
      </c>
    </row>
    <row r="58" spans="1:22" x14ac:dyDescent="0.2">
      <c r="A58" t="str">
        <f>"302.3 MCN"</f>
        <v>302.3 MCN</v>
      </c>
      <c r="B58" t="str">
        <f>"Zucked: waking up to the Facebook catast"</f>
        <v>Zucked: waking up to the Facebook catast</v>
      </c>
      <c r="C58">
        <v>352815</v>
      </c>
      <c r="D58" t="str">
        <f>"McNamee, Roger"</f>
        <v>McNamee, Roger</v>
      </c>
      <c r="F58" t="str">
        <f>"336 pages, 24 cm"</f>
        <v>336 pages, 24 cm</v>
      </c>
      <c r="G58" s="1">
        <v>19</v>
      </c>
      <c r="H58">
        <v>2019</v>
      </c>
      <c r="I58" t="str">
        <f t="shared" si="0"/>
        <v>9: 300 - 399</v>
      </c>
      <c r="K58" t="str">
        <f>"WB - In"</f>
        <v>WB - In</v>
      </c>
      <c r="L58" s="1">
        <v>33</v>
      </c>
      <c r="M58" t="s">
        <v>72</v>
      </c>
      <c r="O58" t="s">
        <v>28</v>
      </c>
      <c r="P58">
        <v>9</v>
      </c>
      <c r="Q58">
        <v>0</v>
      </c>
      <c r="R58">
        <v>9</v>
      </c>
      <c r="S58" s="2">
        <v>43507</v>
      </c>
      <c r="T58" s="2">
        <v>43772</v>
      </c>
      <c r="U58" s="2">
        <v>43746</v>
      </c>
    </row>
    <row r="59" spans="1:22" x14ac:dyDescent="0.2">
      <c r="A59" t="str">
        <f>"302.3 MCN"</f>
        <v>302.3 MCN</v>
      </c>
      <c r="B59" t="str">
        <f>"Zucked: waking up to the Facebook catast"</f>
        <v>Zucked: waking up to the Facebook catast</v>
      </c>
      <c r="C59">
        <v>358580</v>
      </c>
      <c r="D59" t="str">
        <f>"McNamee, Roger"</f>
        <v>McNamee, Roger</v>
      </c>
      <c r="F59" t="str">
        <f>"336 pages, 24 cm"</f>
        <v>336 pages, 24 cm</v>
      </c>
      <c r="G59" s="1">
        <v>19</v>
      </c>
      <c r="H59">
        <v>2019</v>
      </c>
      <c r="I59" t="str">
        <f t="shared" si="0"/>
        <v>9: 300 - 399</v>
      </c>
      <c r="K59" t="str">
        <f>"LL - In"</f>
        <v>LL - In</v>
      </c>
      <c r="L59" s="1">
        <v>33</v>
      </c>
      <c r="M59" t="s">
        <v>72</v>
      </c>
      <c r="O59" t="s">
        <v>28</v>
      </c>
      <c r="P59">
        <v>0</v>
      </c>
      <c r="Q59">
        <v>0</v>
      </c>
      <c r="R59">
        <v>0</v>
      </c>
      <c r="S59" s="2">
        <v>43756</v>
      </c>
      <c r="T59" s="2">
        <v>43759</v>
      </c>
    </row>
    <row r="60" spans="1:22" x14ac:dyDescent="0.2">
      <c r="A60" t="str">
        <f>"302.3 PAY"</f>
        <v>302.3 PAY</v>
      </c>
      <c r="B60" t="str">
        <f>"Privacy in the age of big data: recogniz"</f>
        <v>Privacy in the age of big data: recogniz</v>
      </c>
      <c r="C60">
        <v>320006</v>
      </c>
      <c r="D60" t="str">
        <f>"Payton, Theresa,"</f>
        <v>Payton, Theresa,</v>
      </c>
      <c r="F60" t="str">
        <f>"xvi, 259 pages, 24 cm"</f>
        <v>xvi, 259 pages, 24 cm</v>
      </c>
      <c r="G60" s="1">
        <v>14</v>
      </c>
      <c r="H60">
        <v>2014</v>
      </c>
      <c r="I60" t="str">
        <f t="shared" si="0"/>
        <v>9: 300 - 399</v>
      </c>
      <c r="K60" t="str">
        <f>"WB - In"</f>
        <v>WB - In</v>
      </c>
      <c r="L60" s="1">
        <v>40</v>
      </c>
      <c r="M60" t="s">
        <v>73</v>
      </c>
      <c r="O60" t="s">
        <v>28</v>
      </c>
      <c r="P60">
        <v>0</v>
      </c>
      <c r="Q60">
        <v>0</v>
      </c>
      <c r="R60">
        <v>8</v>
      </c>
      <c r="S60" s="2">
        <v>41694</v>
      </c>
      <c r="T60" s="2">
        <v>41842</v>
      </c>
      <c r="U60" s="2">
        <v>42616</v>
      </c>
      <c r="V60" s="2">
        <v>41843</v>
      </c>
    </row>
    <row r="61" spans="1:22" x14ac:dyDescent="0.2">
      <c r="A61" t="str">
        <f>"302.3 SCH"</f>
        <v>302.3 SCH</v>
      </c>
      <c r="B61" t="str">
        <f>"Shame nation: the global epidemic of onl"</f>
        <v>Shame nation: the global epidemic of onl</v>
      </c>
      <c r="C61">
        <v>344701</v>
      </c>
      <c r="D61" t="str">
        <f>"Scheff, Sue"</f>
        <v>Scheff, Sue</v>
      </c>
      <c r="F61" t="str">
        <f>"xxix, 321 pages, 22 cm"</f>
        <v>xxix, 321 pages, 22 cm</v>
      </c>
      <c r="G61" s="1">
        <v>17</v>
      </c>
      <c r="H61">
        <v>2017</v>
      </c>
      <c r="I61" t="str">
        <f t="shared" si="0"/>
        <v>9: 300 - 399</v>
      </c>
      <c r="K61" t="str">
        <f>"LL - In"</f>
        <v>LL - In</v>
      </c>
      <c r="L61" s="1">
        <v>31</v>
      </c>
      <c r="M61" t="s">
        <v>74</v>
      </c>
      <c r="O61" t="s">
        <v>28</v>
      </c>
      <c r="P61">
        <v>2</v>
      </c>
      <c r="Q61">
        <v>0</v>
      </c>
      <c r="R61">
        <v>2</v>
      </c>
      <c r="S61" s="2">
        <v>43054</v>
      </c>
      <c r="T61" s="2">
        <v>43241</v>
      </c>
      <c r="U61" s="2">
        <v>43111</v>
      </c>
    </row>
    <row r="62" spans="1:22" x14ac:dyDescent="0.2">
      <c r="A62" t="str">
        <f>"302.3 TAS"</f>
        <v>302.3 TAS</v>
      </c>
      <c r="B62" t="str">
        <f>"Awkward: the science of why we're social"</f>
        <v>Awkward: the science of why we're social</v>
      </c>
      <c r="C62">
        <v>294662</v>
      </c>
      <c r="D62" t="str">
        <f>"Tashiro, Ty"</f>
        <v>Tashiro, Ty</v>
      </c>
      <c r="F62" t="str">
        <f>"xx, 261 pages, 24 cm, illustrations"</f>
        <v>xx, 261 pages, 24 cm, illustrations</v>
      </c>
      <c r="G62" s="1">
        <v>17</v>
      </c>
      <c r="H62">
        <v>2017</v>
      </c>
      <c r="I62" t="str">
        <f t="shared" si="0"/>
        <v>9: 300 - 399</v>
      </c>
      <c r="K62" t="str">
        <f>"WB - In"</f>
        <v>WB - In</v>
      </c>
      <c r="L62" s="1">
        <v>32</v>
      </c>
      <c r="M62" t="s">
        <v>75</v>
      </c>
      <c r="O62" t="s">
        <v>28</v>
      </c>
      <c r="P62">
        <v>15</v>
      </c>
      <c r="Q62">
        <v>1</v>
      </c>
      <c r="R62">
        <v>16</v>
      </c>
      <c r="S62" s="2">
        <v>42852</v>
      </c>
      <c r="T62" s="2">
        <v>43073</v>
      </c>
      <c r="U62" s="2">
        <v>43721</v>
      </c>
      <c r="V62" s="2">
        <v>42974</v>
      </c>
    </row>
    <row r="63" spans="1:22" x14ac:dyDescent="0.2">
      <c r="A63" t="str">
        <f>"302.3 TIE"</f>
        <v>302.3 TIE</v>
      </c>
      <c r="B63" t="str">
        <f>"Ties that bind: stories of love and grat"</f>
        <v>Ties that bind: stories of love and grat</v>
      </c>
      <c r="C63">
        <v>317501</v>
      </c>
      <c r="F63" t="str">
        <f>"202 pages, 22 cm, illustrations"</f>
        <v>202 pages, 22 cm, illustrations</v>
      </c>
      <c r="G63" s="1">
        <v>13</v>
      </c>
      <c r="H63">
        <v>2013</v>
      </c>
      <c r="I63" t="str">
        <f t="shared" si="0"/>
        <v>9: 300 - 399</v>
      </c>
      <c r="K63" t="str">
        <f>"WB - In"</f>
        <v>WB - In</v>
      </c>
      <c r="L63" s="1">
        <v>31</v>
      </c>
      <c r="M63" t="s">
        <v>76</v>
      </c>
      <c r="O63" t="s">
        <v>28</v>
      </c>
      <c r="P63">
        <v>0</v>
      </c>
      <c r="Q63">
        <v>0</v>
      </c>
      <c r="R63">
        <v>14</v>
      </c>
      <c r="S63" s="2">
        <v>41575</v>
      </c>
      <c r="T63" s="2">
        <v>41912</v>
      </c>
      <c r="U63" s="2">
        <v>41890</v>
      </c>
    </row>
    <row r="64" spans="1:22" x14ac:dyDescent="0.2">
      <c r="A64" t="str">
        <f>"302.3 VAN"</f>
        <v>302.3 VAN</v>
      </c>
      <c r="B64" t="str">
        <f>"Everything you need to know about social"</f>
        <v>Everything you need to know about social</v>
      </c>
      <c r="C64">
        <v>348009</v>
      </c>
      <c r="D64" t="str">
        <f>"Van Susteren, Greta,"</f>
        <v>Van Susteren, Greta,</v>
      </c>
      <c r="F64" t="str">
        <f>"305 pages, 24 cm, color illustrations"</f>
        <v>305 pages, 24 cm, color illustrations</v>
      </c>
      <c r="G64" s="1">
        <v>18</v>
      </c>
      <c r="H64">
        <v>2017</v>
      </c>
      <c r="I64" t="str">
        <f t="shared" si="0"/>
        <v>9: 300 - 399</v>
      </c>
      <c r="K64" t="str">
        <f>"WB - In"</f>
        <v>WB - In</v>
      </c>
      <c r="L64" s="1">
        <v>25</v>
      </c>
      <c r="M64" t="s">
        <v>77</v>
      </c>
      <c r="O64" t="s">
        <v>28</v>
      </c>
      <c r="P64">
        <v>0</v>
      </c>
      <c r="Q64">
        <v>0</v>
      </c>
      <c r="R64">
        <v>0</v>
      </c>
      <c r="S64" s="2">
        <v>43257</v>
      </c>
      <c r="T64" s="2">
        <v>43293</v>
      </c>
    </row>
    <row r="65" spans="1:22" x14ac:dyDescent="0.2">
      <c r="A65" t="str">
        <f>"303.3 BHA"</f>
        <v>303.3 BHA</v>
      </c>
      <c r="B65" t="str">
        <f>"Shakti leadership: embracing feminine an"</f>
        <v>Shakti leadership: embracing feminine an</v>
      </c>
      <c r="C65">
        <v>351945</v>
      </c>
      <c r="D65" t="str">
        <f>"Bhat, Nilima"</f>
        <v>Bhat, Nilima</v>
      </c>
      <c r="F65" t="str">
        <f>"xxiii, 192 pages, 24 cm, illustrations"</f>
        <v>xxiii, 192 pages, 24 cm, illustrations</v>
      </c>
      <c r="G65" s="1">
        <v>18</v>
      </c>
      <c r="H65">
        <v>2016</v>
      </c>
      <c r="I65" t="str">
        <f t="shared" si="0"/>
        <v>9: 300 - 399</v>
      </c>
      <c r="K65" t="str">
        <f>"WB - In"</f>
        <v>WB - In</v>
      </c>
      <c r="L65" s="1">
        <v>25</v>
      </c>
      <c r="M65" t="s">
        <v>78</v>
      </c>
      <c r="O65" t="s">
        <v>28</v>
      </c>
      <c r="P65">
        <v>1</v>
      </c>
      <c r="Q65">
        <v>0</v>
      </c>
      <c r="R65">
        <v>1</v>
      </c>
      <c r="S65" s="2">
        <v>43452</v>
      </c>
      <c r="T65" s="2">
        <v>43472</v>
      </c>
      <c r="U65" s="2">
        <v>43629</v>
      </c>
    </row>
    <row r="66" spans="1:22" x14ac:dyDescent="0.2">
      <c r="A66" t="str">
        <f>"303.3 EBE"</f>
        <v>303.3 EBE</v>
      </c>
      <c r="B66" t="str">
        <f>"Biased: uncovering the hidden prejudice "</f>
        <v xml:space="preserve">Biased: uncovering the hidden prejudice </v>
      </c>
      <c r="C66">
        <v>354196</v>
      </c>
      <c r="D66" t="str">
        <f>"Eberhardt, Jennifer L."</f>
        <v>Eberhardt, Jennifer L.</v>
      </c>
      <c r="F66" t="str">
        <f>"340 pages, 24 cm"</f>
        <v>340 pages, 24 cm</v>
      </c>
      <c r="G66" s="1">
        <v>19</v>
      </c>
      <c r="H66">
        <v>2019</v>
      </c>
      <c r="I66" t="str">
        <f t="shared" si="0"/>
        <v>9: 300 - 399</v>
      </c>
      <c r="K66" t="str">
        <f>"WB - Out"</f>
        <v>WB - Out</v>
      </c>
      <c r="L66" s="1">
        <v>33</v>
      </c>
      <c r="M66" t="s">
        <v>79</v>
      </c>
      <c r="O66" t="s">
        <v>28</v>
      </c>
      <c r="P66">
        <v>8</v>
      </c>
      <c r="Q66">
        <v>1</v>
      </c>
      <c r="R66">
        <v>9</v>
      </c>
      <c r="S66" s="2">
        <v>43572</v>
      </c>
      <c r="T66" s="2">
        <v>43772</v>
      </c>
      <c r="U66" s="2">
        <v>43840</v>
      </c>
      <c r="V66" s="2">
        <v>43832</v>
      </c>
    </row>
    <row r="67" spans="1:22" x14ac:dyDescent="0.2">
      <c r="A67" t="str">
        <f>"303.3 HEI"</f>
        <v>303.3 HEI</v>
      </c>
      <c r="B67" t="str">
        <f>"Thank you for arguing: what Aristotle, L"</f>
        <v>Thank you for arguing: what Aristotle, L</v>
      </c>
      <c r="C67">
        <v>335653</v>
      </c>
      <c r="D67" t="str">
        <f>"Heinrichs, Jay."</f>
        <v>Heinrichs, Jay.</v>
      </c>
      <c r="F67" t="str">
        <f>"xvi, 408 p., 24 cm"</f>
        <v>xvi, 408 p., 24 cm</v>
      </c>
      <c r="G67" s="1">
        <v>16</v>
      </c>
      <c r="H67">
        <v>2013</v>
      </c>
      <c r="I67" t="str">
        <f t="shared" si="0"/>
        <v>9: 300 - 399</v>
      </c>
      <c r="K67" t="str">
        <f>"LL - In"</f>
        <v>LL - In</v>
      </c>
      <c r="L67" s="1">
        <v>20</v>
      </c>
      <c r="M67" t="s">
        <v>80</v>
      </c>
      <c r="O67" t="s">
        <v>28</v>
      </c>
      <c r="P67">
        <v>18</v>
      </c>
      <c r="Q67">
        <v>0</v>
      </c>
      <c r="R67">
        <v>24</v>
      </c>
      <c r="S67" s="2">
        <v>42534</v>
      </c>
      <c r="T67" s="2">
        <v>42538</v>
      </c>
      <c r="U67" s="2">
        <v>43714</v>
      </c>
    </row>
    <row r="68" spans="1:22" x14ac:dyDescent="0.2">
      <c r="A68" t="str">
        <f>"303.3 HEI"</f>
        <v>303.3 HEI</v>
      </c>
      <c r="B68" t="str">
        <f>"Thank you for arguing: what Aristotle, L"</f>
        <v>Thank you for arguing: what Aristotle, L</v>
      </c>
      <c r="C68">
        <v>336618</v>
      </c>
      <c r="D68" t="str">
        <f>"Heinrichs, Jay."</f>
        <v>Heinrichs, Jay.</v>
      </c>
      <c r="F68" t="str">
        <f>"xvi, 408 p., 24 cm"</f>
        <v>xvi, 408 p., 24 cm</v>
      </c>
      <c r="G68" s="1">
        <v>16</v>
      </c>
      <c r="H68">
        <v>2013</v>
      </c>
      <c r="I68" t="str">
        <f t="shared" si="0"/>
        <v>9: 300 - 399</v>
      </c>
      <c r="K68" t="str">
        <f>"WB - In"</f>
        <v>WB - In</v>
      </c>
      <c r="L68" s="1">
        <v>21</v>
      </c>
      <c r="M68" t="s">
        <v>80</v>
      </c>
      <c r="O68" t="s">
        <v>28</v>
      </c>
      <c r="P68">
        <v>16</v>
      </c>
      <c r="Q68">
        <v>4</v>
      </c>
      <c r="R68">
        <v>22</v>
      </c>
      <c r="S68" s="2">
        <v>42584</v>
      </c>
      <c r="T68" s="2">
        <v>42593</v>
      </c>
      <c r="U68" s="2">
        <v>43729</v>
      </c>
      <c r="V68" s="2">
        <v>43578</v>
      </c>
    </row>
    <row r="69" spans="1:22" x14ac:dyDescent="0.2">
      <c r="A69" t="str">
        <f>"303.3 KOE"</f>
        <v>303.3 KOE</v>
      </c>
      <c r="B69" t="str">
        <f>"Forged in crisis: the power of courageou"</f>
        <v>Forged in crisis: the power of courageou</v>
      </c>
      <c r="C69">
        <v>352974</v>
      </c>
      <c r="D69" t="str">
        <f>"Koehn, Nancy F."</f>
        <v>Koehn, Nancy F.</v>
      </c>
      <c r="F69" t="str">
        <f>"ix, 517 pages, 24 cm, illustrations"</f>
        <v>ix, 517 pages, 24 cm, illustrations</v>
      </c>
      <c r="G69" s="1">
        <v>19</v>
      </c>
      <c r="H69">
        <v>2017</v>
      </c>
      <c r="I69" t="str">
        <f t="shared" si="0"/>
        <v>9: 300 - 399</v>
      </c>
      <c r="K69" t="str">
        <f>"LL - In"</f>
        <v>LL - In</v>
      </c>
      <c r="L69" s="1">
        <v>25</v>
      </c>
      <c r="M69" t="s">
        <v>81</v>
      </c>
      <c r="O69" t="s">
        <v>28</v>
      </c>
      <c r="P69">
        <v>1</v>
      </c>
      <c r="Q69">
        <v>0</v>
      </c>
      <c r="R69">
        <v>1</v>
      </c>
      <c r="S69" s="2">
        <v>43515</v>
      </c>
      <c r="T69" s="2">
        <v>43539</v>
      </c>
      <c r="U69" s="2">
        <v>43540</v>
      </c>
    </row>
    <row r="70" spans="1:22" x14ac:dyDescent="0.2">
      <c r="A70" t="str">
        <f>"303.3 KOE"</f>
        <v>303.3 KOE</v>
      </c>
      <c r="B70" t="str">
        <f>"Forged in crisis: the power of courageou"</f>
        <v>Forged in crisis: the power of courageou</v>
      </c>
      <c r="C70">
        <v>353124</v>
      </c>
      <c r="D70" t="str">
        <f>"Koehn, Nancy F."</f>
        <v>Koehn, Nancy F.</v>
      </c>
      <c r="F70" t="str">
        <f>"ix, 517 pages, 24 cm, illustrations"</f>
        <v>ix, 517 pages, 24 cm, illustrations</v>
      </c>
      <c r="G70" s="1">
        <v>19</v>
      </c>
      <c r="H70">
        <v>2017</v>
      </c>
      <c r="I70" t="str">
        <f t="shared" si="0"/>
        <v>9: 300 - 399</v>
      </c>
      <c r="K70" t="str">
        <f>"WB - In"</f>
        <v>WB - In</v>
      </c>
      <c r="L70" s="1">
        <v>40</v>
      </c>
      <c r="M70" t="s">
        <v>81</v>
      </c>
      <c r="O70" t="s">
        <v>28</v>
      </c>
      <c r="P70">
        <v>1</v>
      </c>
      <c r="Q70">
        <v>0</v>
      </c>
      <c r="R70">
        <v>1</v>
      </c>
      <c r="S70" s="2">
        <v>43522</v>
      </c>
      <c r="T70" s="2">
        <v>43535</v>
      </c>
      <c r="U70" s="2">
        <v>43535</v>
      </c>
    </row>
    <row r="71" spans="1:22" x14ac:dyDescent="0.2">
      <c r="A71" t="str">
        <f>"303.3 KRZ"</f>
        <v>303.3 KRZ</v>
      </c>
      <c r="B71" t="str">
        <f>"Beyond basketball: Coach K's keywords fo"</f>
        <v>Beyond basketball: Coach K's keywords fo</v>
      </c>
      <c r="C71">
        <v>299903</v>
      </c>
      <c r="D71" t="str">
        <f>"Krzyzewski, Mike."</f>
        <v>Krzyzewski, Mike.</v>
      </c>
      <c r="F71" t="str">
        <f>"p. cm"</f>
        <v>p. cm</v>
      </c>
      <c r="G71" s="1">
        <v>18</v>
      </c>
      <c r="H71">
        <v>2007</v>
      </c>
      <c r="I71" t="str">
        <f t="shared" si="0"/>
        <v>9: 300 - 399</v>
      </c>
      <c r="K71" t="str">
        <f>"WB - In"</f>
        <v>WB - In</v>
      </c>
      <c r="L71" s="1">
        <v>21</v>
      </c>
      <c r="M71" t="s">
        <v>82</v>
      </c>
      <c r="O71" t="s">
        <v>28</v>
      </c>
      <c r="P71">
        <v>2</v>
      </c>
      <c r="Q71">
        <v>0</v>
      </c>
      <c r="R71">
        <v>2</v>
      </c>
      <c r="S71" s="2">
        <v>43145</v>
      </c>
      <c r="T71" s="2">
        <v>43152</v>
      </c>
      <c r="U71" s="2">
        <v>43644</v>
      </c>
    </row>
    <row r="72" spans="1:22" x14ac:dyDescent="0.2">
      <c r="A72" t="str">
        <f>"303.3 TAI"</f>
        <v>303.3 TAI</v>
      </c>
      <c r="B72" t="str">
        <f>"divide: American injustice in the age of"</f>
        <v>divide: American injustice in the age of</v>
      </c>
      <c r="C72">
        <v>339090</v>
      </c>
      <c r="D72" t="str">
        <f>"Taibbi, Matt"</f>
        <v>Taibbi, Matt</v>
      </c>
      <c r="F72" t="str">
        <f>"xxiii, 416 pages, 21 cm, illustrations"</f>
        <v>xxiii, 416 pages, 21 cm, illustrations</v>
      </c>
      <c r="G72" s="1">
        <v>17</v>
      </c>
      <c r="H72">
        <v>2014</v>
      </c>
      <c r="I72" t="str">
        <f t="shared" ref="I72:I135" si="2">"9: 300 - 399"</f>
        <v>9: 300 - 399</v>
      </c>
      <c r="K72" t="str">
        <f>"WB - In"</f>
        <v>WB - In</v>
      </c>
      <c r="L72" s="1">
        <v>22</v>
      </c>
      <c r="M72" t="s">
        <v>83</v>
      </c>
      <c r="O72" t="s">
        <v>28</v>
      </c>
      <c r="P72">
        <v>2</v>
      </c>
      <c r="Q72">
        <v>0</v>
      </c>
      <c r="R72">
        <v>2</v>
      </c>
      <c r="S72" s="2">
        <v>42754</v>
      </c>
      <c r="T72" s="2">
        <v>42766</v>
      </c>
      <c r="U72" s="2">
        <v>43064</v>
      </c>
    </row>
    <row r="73" spans="1:22" x14ac:dyDescent="0.2">
      <c r="A73" t="str">
        <f>"303.3 UKO"</f>
        <v>303.3 UKO</v>
      </c>
      <c r="B73" t="str">
        <f>"Misogyny: the new activism"</f>
        <v>Misogyny: the new activism</v>
      </c>
      <c r="C73">
        <v>353140</v>
      </c>
      <c r="D73" t="str">
        <f>"Ukockis, Gail L.,"</f>
        <v>Ukockis, Gail L.,</v>
      </c>
      <c r="F73" t="str">
        <f>"295 p."</f>
        <v>295 p.</v>
      </c>
      <c r="G73" s="1">
        <v>19</v>
      </c>
      <c r="H73">
        <v>2019</v>
      </c>
      <c r="I73" t="str">
        <f t="shared" si="2"/>
        <v>9: 300 - 399</v>
      </c>
      <c r="K73" t="str">
        <f>"WB - In"</f>
        <v>WB - In</v>
      </c>
      <c r="L73" s="1">
        <v>30</v>
      </c>
      <c r="M73" t="s">
        <v>84</v>
      </c>
      <c r="O73" t="s">
        <v>28</v>
      </c>
      <c r="P73">
        <v>3</v>
      </c>
      <c r="Q73">
        <v>0</v>
      </c>
      <c r="R73">
        <v>3</v>
      </c>
      <c r="S73" s="2">
        <v>43522</v>
      </c>
      <c r="T73" s="2">
        <v>43685</v>
      </c>
      <c r="U73" s="2">
        <v>43677</v>
      </c>
    </row>
    <row r="74" spans="1:22" x14ac:dyDescent="0.2">
      <c r="A74" t="str">
        <f>"303.3 WAM"</f>
        <v>303.3 WAM</v>
      </c>
      <c r="B74" t="str">
        <f>"Wolfpack: how to come together, unleash "</f>
        <v xml:space="preserve">Wolfpack: how to come together, unleash </v>
      </c>
      <c r="C74">
        <v>354069</v>
      </c>
      <c r="D74" t="str">
        <f>"Wambach, Abby,"</f>
        <v>Wambach, Abby,</v>
      </c>
      <c r="F74" t="str">
        <f>"x, 92 pages, 19 cm"</f>
        <v>x, 92 pages, 19 cm</v>
      </c>
      <c r="G74" s="1">
        <v>19</v>
      </c>
      <c r="H74">
        <v>2019</v>
      </c>
      <c r="I74" t="str">
        <f t="shared" si="2"/>
        <v>9: 300 - 399</v>
      </c>
      <c r="K74" t="str">
        <f>"WB - In"</f>
        <v>WB - In</v>
      </c>
      <c r="L74" s="1">
        <v>25</v>
      </c>
      <c r="M74" t="s">
        <v>85</v>
      </c>
      <c r="O74" t="s">
        <v>28</v>
      </c>
      <c r="P74">
        <v>6</v>
      </c>
      <c r="Q74">
        <v>0</v>
      </c>
      <c r="R74">
        <v>6</v>
      </c>
      <c r="S74" s="2">
        <v>43564</v>
      </c>
      <c r="T74" s="2">
        <v>43747</v>
      </c>
      <c r="U74" s="2">
        <v>43740</v>
      </c>
    </row>
    <row r="75" spans="1:22" x14ac:dyDescent="0.2">
      <c r="A75" t="str">
        <f>"303.3 WIL"</f>
        <v>303.3 WIL</v>
      </c>
      <c r="B75" t="str">
        <f>"Extreme ownership: how U.S. Navy SEALs l"</f>
        <v>Extreme ownership: how U.S. Navy SEALs l</v>
      </c>
      <c r="C75">
        <v>340684</v>
      </c>
      <c r="D75" t="str">
        <f>"Willink, Jocko"</f>
        <v>Willink, Jocko</v>
      </c>
      <c r="F75" t="str">
        <f>"xvii, 298 pages, 22 cm, illustrations, map"</f>
        <v>xvii, 298 pages, 22 cm, illustrations, map</v>
      </c>
      <c r="G75" s="1">
        <v>17</v>
      </c>
      <c r="H75">
        <v>2015</v>
      </c>
      <c r="I75" t="str">
        <f t="shared" si="2"/>
        <v>9: 300 - 399</v>
      </c>
      <c r="K75" t="str">
        <f>"LL - In"</f>
        <v>LL - In</v>
      </c>
      <c r="L75" s="1">
        <v>32</v>
      </c>
      <c r="M75" t="s">
        <v>86</v>
      </c>
      <c r="O75" t="s">
        <v>28</v>
      </c>
      <c r="P75">
        <v>14</v>
      </c>
      <c r="Q75">
        <v>0</v>
      </c>
      <c r="R75">
        <v>14</v>
      </c>
      <c r="S75" s="2">
        <v>42835</v>
      </c>
      <c r="T75" s="2">
        <v>42837</v>
      </c>
      <c r="U75" s="2">
        <v>43757</v>
      </c>
    </row>
    <row r="76" spans="1:22" x14ac:dyDescent="0.2">
      <c r="A76" t="str">
        <f>"303.38 CHU"</f>
        <v>303.38 CHU</v>
      </c>
      <c r="B76" t="str">
        <f>"person you mean to be: how good people f"</f>
        <v>person you mean to be: how good people f</v>
      </c>
      <c r="C76">
        <v>355956</v>
      </c>
      <c r="D76" t="str">
        <f>"Chugh, Dolly"</f>
        <v>Chugh, Dolly</v>
      </c>
      <c r="F76" t="str">
        <f>"xxvii, 287 pages, 24 cm"</f>
        <v>xxvii, 287 pages, 24 cm</v>
      </c>
      <c r="G76" s="1">
        <v>19</v>
      </c>
      <c r="H76">
        <v>2018</v>
      </c>
      <c r="I76" t="str">
        <f t="shared" si="2"/>
        <v>9: 300 - 399</v>
      </c>
      <c r="K76" t="str">
        <f>"WB - In"</f>
        <v>WB - In</v>
      </c>
      <c r="L76" s="1">
        <v>33</v>
      </c>
      <c r="M76" t="s">
        <v>87</v>
      </c>
      <c r="O76" t="s">
        <v>28</v>
      </c>
      <c r="P76">
        <v>3</v>
      </c>
      <c r="Q76">
        <v>0</v>
      </c>
      <c r="R76">
        <v>3</v>
      </c>
      <c r="S76" s="2">
        <v>43647</v>
      </c>
      <c r="T76" s="2">
        <v>43803</v>
      </c>
      <c r="U76" s="2">
        <v>43730</v>
      </c>
    </row>
    <row r="77" spans="1:22" x14ac:dyDescent="0.2">
      <c r="A77" t="str">
        <f>"303.4 CRU"</f>
        <v>303.4 CRU</v>
      </c>
      <c r="B77" t="str">
        <f>"How change happens: why some social move"</f>
        <v>How change happens: why some social move</v>
      </c>
      <c r="C77">
        <v>348478</v>
      </c>
      <c r="D77" t="str">
        <f>"Crutchfield, Leslie R.,"</f>
        <v>Crutchfield, Leslie R.,</v>
      </c>
      <c r="F77" t="str">
        <f>"183 p."</f>
        <v>183 p.</v>
      </c>
      <c r="G77" s="1">
        <v>18</v>
      </c>
      <c r="H77">
        <v>2018</v>
      </c>
      <c r="I77" t="str">
        <f t="shared" si="2"/>
        <v>9: 300 - 399</v>
      </c>
      <c r="K77" t="str">
        <f>"WB - In"</f>
        <v>WB - In</v>
      </c>
      <c r="L77" s="1">
        <v>35</v>
      </c>
      <c r="M77" t="s">
        <v>88</v>
      </c>
      <c r="O77" t="s">
        <v>28</v>
      </c>
      <c r="P77">
        <v>5</v>
      </c>
      <c r="Q77">
        <v>0</v>
      </c>
      <c r="R77">
        <v>6</v>
      </c>
      <c r="S77" s="2">
        <v>43283</v>
      </c>
      <c r="T77" s="2">
        <v>43523</v>
      </c>
      <c r="U77" s="2">
        <v>43479</v>
      </c>
    </row>
    <row r="78" spans="1:22" x14ac:dyDescent="0.2">
      <c r="A78" t="str">
        <f>"303.4 DIA"</f>
        <v>303.4 DIA</v>
      </c>
      <c r="B78" t="str">
        <f>"Guns, germs, and steel: the fates of hum"</f>
        <v>Guns, germs, and steel: the fates of hum</v>
      </c>
      <c r="C78">
        <v>400917</v>
      </c>
      <c r="D78" t="str">
        <f>"Diamond, Jared M."</f>
        <v>Diamond, Jared M.</v>
      </c>
      <c r="F78" t="str">
        <f>"480 p., [32] p. of plates, 24 cm., ill., maps"</f>
        <v>480 p., [32] p. of plates, 24 cm., ill., maps</v>
      </c>
      <c r="G78" s="1">
        <v>18</v>
      </c>
      <c r="H78">
        <v>1999</v>
      </c>
      <c r="I78" t="str">
        <f t="shared" si="2"/>
        <v>9: 300 - 399</v>
      </c>
      <c r="K78" t="str">
        <f>"WB - In"</f>
        <v>WB - In</v>
      </c>
      <c r="L78" s="1">
        <v>21</v>
      </c>
      <c r="M78" t="s">
        <v>89</v>
      </c>
      <c r="O78" t="s">
        <v>28</v>
      </c>
      <c r="P78">
        <v>6</v>
      </c>
      <c r="Q78">
        <v>1</v>
      </c>
      <c r="R78">
        <v>7</v>
      </c>
      <c r="S78" s="2">
        <v>43269</v>
      </c>
      <c r="T78" s="2">
        <v>43272</v>
      </c>
      <c r="U78" s="2">
        <v>43846</v>
      </c>
      <c r="V78" s="2">
        <v>43326</v>
      </c>
    </row>
    <row r="79" spans="1:22" x14ac:dyDescent="0.2">
      <c r="A79" t="str">
        <f>"303.4 GIR"</f>
        <v>303.4 GIR</v>
      </c>
      <c r="B79" t="str">
        <f>"Winners take all: the elite charade of c"</f>
        <v>Winners take all: the elite charade of c</v>
      </c>
      <c r="C79">
        <v>349880</v>
      </c>
      <c r="D79" t="str">
        <f>"Giridharadas, Anand."</f>
        <v>Giridharadas, Anand.</v>
      </c>
      <c r="F79" t="str">
        <f>"288 pages, 25 cm"</f>
        <v>288 pages, 25 cm</v>
      </c>
      <c r="G79" s="1">
        <v>18</v>
      </c>
      <c r="H79">
        <v>2018</v>
      </c>
      <c r="I79" t="str">
        <f t="shared" si="2"/>
        <v>9: 300 - 399</v>
      </c>
      <c r="K79" t="str">
        <f>"LL - In"</f>
        <v>LL - In</v>
      </c>
      <c r="L79" s="1">
        <v>32</v>
      </c>
      <c r="M79" t="s">
        <v>90</v>
      </c>
      <c r="O79" t="s">
        <v>28</v>
      </c>
      <c r="P79">
        <v>17</v>
      </c>
      <c r="Q79">
        <v>1</v>
      </c>
      <c r="R79">
        <v>18</v>
      </c>
      <c r="S79" s="2">
        <v>43354</v>
      </c>
      <c r="T79" s="2">
        <v>43663</v>
      </c>
      <c r="U79" s="2">
        <v>43829</v>
      </c>
      <c r="V79" s="2">
        <v>43417</v>
      </c>
    </row>
    <row r="80" spans="1:22" x14ac:dyDescent="0.2">
      <c r="A80" t="str">
        <f>"303.4 MAR"</f>
        <v>303.4 MAR</v>
      </c>
      <c r="B80" t="str">
        <f>"Giving: purpose is the new currency"</f>
        <v>Giving: purpose is the new currency</v>
      </c>
      <c r="C80">
        <v>352202</v>
      </c>
      <c r="D80" t="str">
        <f>"Mars, Alexandre"</f>
        <v>Mars, Alexandre</v>
      </c>
      <c r="G80" s="1">
        <v>19</v>
      </c>
      <c r="H80">
        <v>2018</v>
      </c>
      <c r="I80" t="str">
        <f t="shared" si="2"/>
        <v>9: 300 - 399</v>
      </c>
      <c r="K80" t="str">
        <f>"LL - In"</f>
        <v>LL - In</v>
      </c>
      <c r="L80" s="1">
        <v>27</v>
      </c>
      <c r="M80" t="s">
        <v>91</v>
      </c>
      <c r="O80" t="s">
        <v>28</v>
      </c>
      <c r="P80">
        <v>6</v>
      </c>
      <c r="Q80">
        <v>2</v>
      </c>
      <c r="R80">
        <v>8</v>
      </c>
      <c r="S80" s="2">
        <v>43473</v>
      </c>
      <c r="T80" s="2">
        <v>43746</v>
      </c>
      <c r="U80" s="2">
        <v>43745</v>
      </c>
      <c r="V80" s="2">
        <v>43746</v>
      </c>
    </row>
    <row r="81" spans="1:22" x14ac:dyDescent="0.2">
      <c r="A81" t="str">
        <f>"303.4 PIN"</f>
        <v>303.4 PIN</v>
      </c>
      <c r="B81" t="str">
        <f>"Enlightenment now: the case for reason, "</f>
        <v xml:space="preserve">Enlightenment now: the case for reason, </v>
      </c>
      <c r="C81">
        <v>346227</v>
      </c>
      <c r="D81" t="str">
        <f>"Pinker, Steven"</f>
        <v>Pinker, Steven</v>
      </c>
      <c r="F81" t="str">
        <f>"xix, 556 pages, 25 cm, illustrations"</f>
        <v>xix, 556 pages, 25 cm, illustrations</v>
      </c>
      <c r="G81" s="1">
        <v>18</v>
      </c>
      <c r="H81">
        <v>2018</v>
      </c>
      <c r="I81" t="str">
        <f t="shared" si="2"/>
        <v>9: 300 - 399</v>
      </c>
      <c r="K81" t="str">
        <f>"WB - In"</f>
        <v>WB - In</v>
      </c>
      <c r="L81" s="1">
        <v>40</v>
      </c>
      <c r="M81" t="s">
        <v>92</v>
      </c>
      <c r="O81" t="s">
        <v>28</v>
      </c>
      <c r="P81">
        <v>12</v>
      </c>
      <c r="Q81">
        <v>2</v>
      </c>
      <c r="R81">
        <v>14</v>
      </c>
      <c r="S81" s="2">
        <v>43152</v>
      </c>
      <c r="T81" s="2">
        <v>43341</v>
      </c>
      <c r="U81" s="2">
        <v>43633</v>
      </c>
      <c r="V81" s="2">
        <v>43469</v>
      </c>
    </row>
    <row r="82" spans="1:22" x14ac:dyDescent="0.2">
      <c r="A82" t="str">
        <f>"303.4 PIN"</f>
        <v>303.4 PIN</v>
      </c>
      <c r="B82" t="str">
        <f>"Enlightenment now: the case for reason, "</f>
        <v xml:space="preserve">Enlightenment now: the case for reason, </v>
      </c>
      <c r="C82">
        <v>346647</v>
      </c>
      <c r="D82" t="str">
        <f>"Pinker, Steven"</f>
        <v>Pinker, Steven</v>
      </c>
      <c r="F82" t="str">
        <f>"xix, 556 pages, 25 cm, illustrations"</f>
        <v>xix, 556 pages, 25 cm, illustrations</v>
      </c>
      <c r="G82" s="1">
        <v>18</v>
      </c>
      <c r="H82">
        <v>2018</v>
      </c>
      <c r="I82" t="str">
        <f t="shared" si="2"/>
        <v>9: 300 - 399</v>
      </c>
      <c r="K82" t="str">
        <f>"LL - In"</f>
        <v>LL - In</v>
      </c>
      <c r="L82" s="1">
        <v>40</v>
      </c>
      <c r="M82" t="s">
        <v>92</v>
      </c>
      <c r="O82" t="s">
        <v>28</v>
      </c>
      <c r="P82">
        <v>11</v>
      </c>
      <c r="Q82">
        <v>0</v>
      </c>
      <c r="R82">
        <v>11</v>
      </c>
      <c r="S82" s="2">
        <v>43172</v>
      </c>
      <c r="T82" s="2">
        <v>43404</v>
      </c>
      <c r="U82" s="2">
        <v>43759</v>
      </c>
    </row>
    <row r="83" spans="1:22" x14ac:dyDescent="0.2">
      <c r="A83" t="str">
        <f>"303.4 SOL"</f>
        <v>303.4 SOL</v>
      </c>
      <c r="B83" t="str">
        <f>"Call them by their true names: American "</f>
        <v xml:space="preserve">Call them by their true names: American </v>
      </c>
      <c r="C83">
        <v>350376</v>
      </c>
      <c r="F83" t="str">
        <f>"185 p."</f>
        <v>185 p.</v>
      </c>
      <c r="G83" s="1">
        <v>18</v>
      </c>
      <c r="H83">
        <v>2018</v>
      </c>
      <c r="I83" t="str">
        <f t="shared" si="2"/>
        <v>9: 300 - 399</v>
      </c>
      <c r="K83" t="str">
        <f>"WB - Out"</f>
        <v>WB - Out</v>
      </c>
      <c r="L83" s="1">
        <v>27</v>
      </c>
      <c r="M83" t="s">
        <v>93</v>
      </c>
      <c r="O83" t="s">
        <v>28</v>
      </c>
      <c r="P83">
        <v>8</v>
      </c>
      <c r="Q83">
        <v>1</v>
      </c>
      <c r="R83">
        <v>9</v>
      </c>
      <c r="S83" s="2">
        <v>43374</v>
      </c>
      <c r="T83" s="2">
        <v>43544</v>
      </c>
      <c r="U83" s="2">
        <v>43861</v>
      </c>
      <c r="V83" s="2">
        <v>43678</v>
      </c>
    </row>
    <row r="84" spans="1:22" x14ac:dyDescent="0.2">
      <c r="A84" t="str">
        <f>"303.4 SOL"</f>
        <v>303.4 SOL</v>
      </c>
      <c r="B84" t="str">
        <f>"Hope in the dark: untold histories, wild"</f>
        <v>Hope in the dark: untold histories, wild</v>
      </c>
      <c r="C84">
        <v>338939</v>
      </c>
      <c r="D84" t="str">
        <f>"Solnit, Rebecca."</f>
        <v>Solnit, Rebecca.</v>
      </c>
      <c r="F84" t="str">
        <f>"xxvi, 152 pages, 19 cm"</f>
        <v>xxvi, 152 pages, 19 cm</v>
      </c>
      <c r="G84" s="1">
        <v>16</v>
      </c>
      <c r="H84">
        <v>2016</v>
      </c>
      <c r="I84" t="str">
        <f t="shared" si="2"/>
        <v>9: 300 - 399</v>
      </c>
      <c r="K84" t="str">
        <f>"WB - Out"</f>
        <v>WB - Out</v>
      </c>
      <c r="L84" s="1">
        <v>21</v>
      </c>
      <c r="M84" t="s">
        <v>94</v>
      </c>
      <c r="O84" t="s">
        <v>28</v>
      </c>
      <c r="P84">
        <v>6</v>
      </c>
      <c r="Q84">
        <v>1</v>
      </c>
      <c r="R84">
        <v>10</v>
      </c>
      <c r="S84" s="2">
        <v>42732</v>
      </c>
      <c r="T84" s="2">
        <v>42900</v>
      </c>
      <c r="U84" s="2">
        <v>43861</v>
      </c>
      <c r="V84" s="2">
        <v>42901</v>
      </c>
    </row>
    <row r="85" spans="1:22" x14ac:dyDescent="0.2">
      <c r="A85" t="str">
        <f>"303.4 SOL"</f>
        <v>303.4 SOL</v>
      </c>
      <c r="B85" t="str">
        <f>"Far and away: reporting from the brink o"</f>
        <v>Far and away: reporting from the brink o</v>
      </c>
      <c r="C85">
        <v>338866</v>
      </c>
      <c r="D85" t="str">
        <f>"Solomon, Andrew,"</f>
        <v>Solomon, Andrew,</v>
      </c>
      <c r="F85" t="str">
        <f>"xii, 578 pages, 24 cm, illustration"</f>
        <v>xii, 578 pages, 24 cm, illustration</v>
      </c>
      <c r="G85" s="1">
        <v>16</v>
      </c>
      <c r="H85">
        <v>2016</v>
      </c>
      <c r="I85" t="str">
        <f t="shared" si="2"/>
        <v>9: 300 - 399</v>
      </c>
      <c r="K85" t="str">
        <f>"WB - In"</f>
        <v>WB - In</v>
      </c>
      <c r="L85" s="1">
        <v>35</v>
      </c>
      <c r="M85" t="s">
        <v>95</v>
      </c>
      <c r="O85" t="s">
        <v>28</v>
      </c>
      <c r="P85">
        <v>2</v>
      </c>
      <c r="Q85">
        <v>1</v>
      </c>
      <c r="R85">
        <v>5</v>
      </c>
      <c r="S85" s="2">
        <v>42727</v>
      </c>
      <c r="T85" s="2">
        <v>42907</v>
      </c>
      <c r="U85" s="2">
        <v>42829</v>
      </c>
      <c r="V85" s="2">
        <v>42792</v>
      </c>
    </row>
    <row r="86" spans="1:22" x14ac:dyDescent="0.2">
      <c r="A86" t="str">
        <f>"303.44 WES"</f>
        <v>303.44 WES</v>
      </c>
      <c r="B86" t="str">
        <f>"Scale: the universal laws of growth, inn"</f>
        <v>Scale: the universal laws of growth, inn</v>
      </c>
      <c r="C86">
        <v>345115</v>
      </c>
      <c r="D86" t="str">
        <f>"West, Geoffrey B."</f>
        <v>West, Geoffrey B.</v>
      </c>
      <c r="F86" t="str">
        <f>"479 pages, 25 cm, illustrations, maps"</f>
        <v>479 pages, 25 cm, illustrations, maps</v>
      </c>
      <c r="G86" s="1">
        <v>17</v>
      </c>
      <c r="H86">
        <v>2017</v>
      </c>
      <c r="I86" t="str">
        <f t="shared" si="2"/>
        <v>9: 300 - 399</v>
      </c>
      <c r="K86" t="str">
        <f>"LL - In"</f>
        <v>LL - In</v>
      </c>
      <c r="L86" s="1">
        <v>35</v>
      </c>
      <c r="M86" t="s">
        <v>96</v>
      </c>
      <c r="O86" t="s">
        <v>28</v>
      </c>
      <c r="P86">
        <v>10</v>
      </c>
      <c r="Q86">
        <v>1</v>
      </c>
      <c r="R86">
        <v>11</v>
      </c>
      <c r="S86" s="2">
        <v>43080</v>
      </c>
      <c r="T86" s="2">
        <v>43271</v>
      </c>
      <c r="U86" s="2">
        <v>43658</v>
      </c>
      <c r="V86" s="2">
        <v>43164</v>
      </c>
    </row>
    <row r="87" spans="1:22" x14ac:dyDescent="0.2">
      <c r="A87" t="str">
        <f>"303.48 BIN"</f>
        <v>303.48 BIN</v>
      </c>
      <c r="B87" t="str">
        <f>"Witness to the revolution: radicals, res"</f>
        <v>Witness to the revolution: radicals, res</v>
      </c>
      <c r="C87">
        <v>335922</v>
      </c>
      <c r="D87" t="str">
        <f>"Bingham, Clara"</f>
        <v>Bingham, Clara</v>
      </c>
      <c r="F87" t="str">
        <f>"xxxv, 611 pages, 25 cm, illustrations"</f>
        <v>xxxv, 611 pages, 25 cm, illustrations</v>
      </c>
      <c r="G87" s="1">
        <v>16</v>
      </c>
      <c r="H87">
        <v>2016</v>
      </c>
      <c r="I87" t="str">
        <f t="shared" si="2"/>
        <v>9: 300 - 399</v>
      </c>
      <c r="K87" t="str">
        <f>"WB - In"</f>
        <v>WB - In</v>
      </c>
      <c r="L87" s="1">
        <v>35</v>
      </c>
      <c r="M87" t="s">
        <v>97</v>
      </c>
      <c r="O87" t="s">
        <v>28</v>
      </c>
      <c r="P87">
        <v>0</v>
      </c>
      <c r="Q87">
        <v>0</v>
      </c>
      <c r="R87">
        <v>5</v>
      </c>
      <c r="S87" s="2">
        <v>42549</v>
      </c>
      <c r="T87" s="2">
        <v>42796</v>
      </c>
      <c r="U87" s="2">
        <v>42763</v>
      </c>
    </row>
    <row r="88" spans="1:22" x14ac:dyDescent="0.2">
      <c r="A88" t="str">
        <f>"303.48 BOT"</f>
        <v>303.48 BOT</v>
      </c>
      <c r="B88" t="str">
        <f>"Who can you trust?: how technology broug"</f>
        <v>Who can you trust?: how technology broug</v>
      </c>
      <c r="C88">
        <v>345505</v>
      </c>
      <c r="D88" t="str">
        <f>"Botsman, Rachel."</f>
        <v>Botsman, Rachel.</v>
      </c>
      <c r="F88" t="str">
        <f>"322 pages, 25 cm, illustrations"</f>
        <v>322 pages, 25 cm, illustrations</v>
      </c>
      <c r="G88" s="1">
        <v>18</v>
      </c>
      <c r="H88">
        <v>2017</v>
      </c>
      <c r="I88" t="str">
        <f t="shared" si="2"/>
        <v>9: 300 - 399</v>
      </c>
      <c r="K88" t="str">
        <f>"WB - In"</f>
        <v>WB - In</v>
      </c>
      <c r="L88" s="1">
        <v>32</v>
      </c>
      <c r="M88" t="s">
        <v>98</v>
      </c>
      <c r="O88" t="s">
        <v>28</v>
      </c>
      <c r="P88">
        <v>2</v>
      </c>
      <c r="Q88">
        <v>1</v>
      </c>
      <c r="R88">
        <v>3</v>
      </c>
      <c r="S88" s="2">
        <v>43108</v>
      </c>
      <c r="T88" s="2">
        <v>43271</v>
      </c>
      <c r="U88" s="2">
        <v>43205</v>
      </c>
      <c r="V88" s="2">
        <v>43182</v>
      </c>
    </row>
    <row r="89" spans="1:22" x14ac:dyDescent="0.2">
      <c r="A89" t="str">
        <f>"303.48 BRO"</f>
        <v>303.48 BRO</v>
      </c>
      <c r="B89" t="str">
        <f>"Tech generation: raising balanced kids i"</f>
        <v>Tech generation: raising balanced kids i</v>
      </c>
      <c r="C89">
        <v>350695</v>
      </c>
      <c r="D89" t="str">
        <f>"Brooks, Mike,"</f>
        <v>Brooks, Mike,</v>
      </c>
      <c r="F89" t="str">
        <f>"xii, 314 p., 22 cm, illustrations"</f>
        <v>xii, 314 p., 22 cm, illustrations</v>
      </c>
      <c r="G89" s="1">
        <v>18</v>
      </c>
      <c r="H89">
        <v>2018</v>
      </c>
      <c r="I89" t="str">
        <f t="shared" si="2"/>
        <v>9: 300 - 399</v>
      </c>
      <c r="K89" t="str">
        <f>"WB - In"</f>
        <v>WB - In</v>
      </c>
      <c r="L89" s="1">
        <v>30</v>
      </c>
      <c r="M89" t="s">
        <v>99</v>
      </c>
      <c r="O89" t="s">
        <v>28</v>
      </c>
      <c r="P89">
        <v>4</v>
      </c>
      <c r="Q89">
        <v>1</v>
      </c>
      <c r="R89">
        <v>5</v>
      </c>
      <c r="S89" s="2">
        <v>43389</v>
      </c>
      <c r="T89" s="2">
        <v>43565</v>
      </c>
      <c r="U89" s="2">
        <v>43523</v>
      </c>
      <c r="V89" s="2">
        <v>43574</v>
      </c>
    </row>
    <row r="90" spans="1:22" x14ac:dyDescent="0.2">
      <c r="A90" t="str">
        <f>"303.48 BRY"</f>
        <v>303.48 BRY</v>
      </c>
      <c r="B90" t="str">
        <f>"second machine age: work, progress, and "</f>
        <v xml:space="preserve">second machine age: work, progress, and </v>
      </c>
      <c r="C90">
        <v>319544</v>
      </c>
      <c r="D90" t="str">
        <f>"Brynjolfsson, Erik"</f>
        <v>Brynjolfsson, Erik</v>
      </c>
      <c r="F90" t="str">
        <f>"306 p."</f>
        <v>306 p.</v>
      </c>
      <c r="G90" s="1">
        <v>14</v>
      </c>
      <c r="H90">
        <v>2014</v>
      </c>
      <c r="I90" t="str">
        <f t="shared" si="2"/>
        <v>9: 300 - 399</v>
      </c>
      <c r="K90" t="str">
        <f>"WB - In"</f>
        <v>WB - In</v>
      </c>
      <c r="L90" s="1">
        <v>32</v>
      </c>
      <c r="M90" t="s">
        <v>100</v>
      </c>
      <c r="O90" t="s">
        <v>28</v>
      </c>
      <c r="P90">
        <v>1</v>
      </c>
      <c r="Q90">
        <v>0</v>
      </c>
      <c r="R90">
        <v>14</v>
      </c>
      <c r="S90" s="2">
        <v>41673</v>
      </c>
      <c r="T90" s="2">
        <v>41773</v>
      </c>
      <c r="U90" s="2">
        <v>42984</v>
      </c>
    </row>
    <row r="91" spans="1:22" x14ac:dyDescent="0.2">
      <c r="A91" t="str">
        <f>"303.48 CAR"</f>
        <v>303.48 CAR</v>
      </c>
      <c r="B91" t="str">
        <f>"Utopia is creepy: and other provocations"</f>
        <v>Utopia is creepy: and other provocations</v>
      </c>
      <c r="C91">
        <v>337395</v>
      </c>
      <c r="D91" t="str">
        <f>"Carr, Nicholas G.,"</f>
        <v>Carr, Nicholas G.,</v>
      </c>
      <c r="F91" t="str">
        <f>"342 p."</f>
        <v>342 p.</v>
      </c>
      <c r="G91" s="1">
        <v>16</v>
      </c>
      <c r="H91">
        <v>2016</v>
      </c>
      <c r="I91" t="str">
        <f t="shared" si="2"/>
        <v>9: 300 - 399</v>
      </c>
      <c r="K91" t="str">
        <f>"WB - In"</f>
        <v>WB - In</v>
      </c>
      <c r="L91" s="1">
        <v>32</v>
      </c>
      <c r="M91" t="s">
        <v>101</v>
      </c>
      <c r="O91" t="s">
        <v>28</v>
      </c>
      <c r="P91">
        <v>2</v>
      </c>
      <c r="Q91">
        <v>0</v>
      </c>
      <c r="R91">
        <v>7</v>
      </c>
      <c r="S91" s="2">
        <v>42628</v>
      </c>
      <c r="T91" s="2">
        <v>42774</v>
      </c>
      <c r="U91" s="2">
        <v>43537</v>
      </c>
    </row>
    <row r="92" spans="1:22" x14ac:dyDescent="0.2">
      <c r="A92" t="str">
        <f>"303.48 CAR"</f>
        <v>303.48 CAR</v>
      </c>
      <c r="B92" t="str">
        <f>"From smartphones to social media: how te"</f>
        <v>From smartphones to social media: how te</v>
      </c>
      <c r="C92">
        <v>353726</v>
      </c>
      <c r="D92" t="str">
        <f>"Carrier, Mark"</f>
        <v>Carrier, Mark</v>
      </c>
      <c r="F92" t="str">
        <f>"xvii, 278 pages, 26 cm"</f>
        <v>xvii, 278 pages, 26 cm</v>
      </c>
      <c r="G92" s="1">
        <v>19</v>
      </c>
      <c r="H92">
        <v>2018</v>
      </c>
      <c r="I92" t="str">
        <f t="shared" si="2"/>
        <v>9: 300 - 399</v>
      </c>
      <c r="K92" t="str">
        <f>"LL - In"</f>
        <v>LL - In</v>
      </c>
      <c r="L92" s="1">
        <v>99</v>
      </c>
      <c r="M92" t="s">
        <v>102</v>
      </c>
      <c r="O92" t="s">
        <v>28</v>
      </c>
      <c r="P92">
        <v>0</v>
      </c>
      <c r="Q92">
        <v>0</v>
      </c>
      <c r="R92">
        <v>0</v>
      </c>
      <c r="S92" s="2">
        <v>43549</v>
      </c>
      <c r="T92" s="2">
        <v>43812</v>
      </c>
    </row>
    <row r="93" spans="1:22" x14ac:dyDescent="0.2">
      <c r="A93" t="str">
        <f>"303.48 COM"</f>
        <v>303.48 COM</v>
      </c>
      <c r="B93" t="str">
        <f>"Brainchains: discover your brain and unl"</f>
        <v>Brainchains: discover your brain and unl</v>
      </c>
      <c r="C93">
        <v>333290</v>
      </c>
      <c r="D93" t="str">
        <f>"Compernolle, Theo"</f>
        <v>Compernolle, Theo</v>
      </c>
      <c r="F93" t="str">
        <f>"518 pages, 22 cm, illustrations"</f>
        <v>518 pages, 22 cm, illustrations</v>
      </c>
      <c r="G93" s="1">
        <v>16</v>
      </c>
      <c r="H93">
        <v>2014</v>
      </c>
      <c r="I93" t="str">
        <f t="shared" si="2"/>
        <v>9: 300 - 399</v>
      </c>
      <c r="K93" t="str">
        <f>"WB - In"</f>
        <v>WB - In</v>
      </c>
      <c r="L93" s="1">
        <v>35</v>
      </c>
      <c r="M93" t="s">
        <v>103</v>
      </c>
      <c r="O93" t="s">
        <v>28</v>
      </c>
      <c r="P93">
        <v>2</v>
      </c>
      <c r="Q93">
        <v>0</v>
      </c>
      <c r="R93">
        <v>5</v>
      </c>
      <c r="S93" s="2">
        <v>42416</v>
      </c>
      <c r="T93" s="2">
        <v>42423</v>
      </c>
      <c r="U93" s="2">
        <v>43729</v>
      </c>
    </row>
    <row r="94" spans="1:22" x14ac:dyDescent="0.2">
      <c r="A94" t="str">
        <f>"303.48 COT"</f>
        <v>303.48 COT</v>
      </c>
      <c r="B94" t="str">
        <f>"Say anything to anyone, anywhere: 5 keys"</f>
        <v>Say anything to anyone, anywhere: 5 keys</v>
      </c>
      <c r="C94">
        <v>324413</v>
      </c>
      <c r="D94" t="str">
        <f>"Cotton, Gayle."</f>
        <v>Cotton, Gayle.</v>
      </c>
      <c r="F94" t="str">
        <f>"xvi, 240 p., 23 cm, ill."</f>
        <v>xvi, 240 p., 23 cm, ill.</v>
      </c>
      <c r="G94" s="1">
        <v>14</v>
      </c>
      <c r="H94">
        <v>2013</v>
      </c>
      <c r="I94" t="str">
        <f t="shared" si="2"/>
        <v>9: 300 - 399</v>
      </c>
      <c r="K94" t="str">
        <f>"WB - In"</f>
        <v>WB - In</v>
      </c>
      <c r="L94" s="1">
        <v>28</v>
      </c>
      <c r="M94" t="s">
        <v>104</v>
      </c>
      <c r="O94" t="s">
        <v>28</v>
      </c>
      <c r="P94">
        <v>2</v>
      </c>
      <c r="Q94">
        <v>1</v>
      </c>
      <c r="R94">
        <v>13</v>
      </c>
      <c r="S94" s="2">
        <v>41942</v>
      </c>
      <c r="T94" s="2">
        <v>42248</v>
      </c>
      <c r="U94" s="2">
        <v>43785</v>
      </c>
      <c r="V94" s="2">
        <v>43654</v>
      </c>
    </row>
    <row r="95" spans="1:22" x14ac:dyDescent="0.2">
      <c r="A95" t="str">
        <f>"303.48 DIA"</f>
        <v>303.48 DIA</v>
      </c>
      <c r="B95" t="str">
        <f>"Upheaval: turning points for nations in "</f>
        <v xml:space="preserve">Upheaval: turning points for nations in </v>
      </c>
      <c r="C95">
        <v>354640</v>
      </c>
      <c r="D95" t="str">
        <f>"Diamond, Jared M."</f>
        <v>Diamond, Jared M.</v>
      </c>
      <c r="F95" t="str">
        <f>"ix, 502 pages, 32 unnumbered pages of plates, 25 cm, illustrations (some color), maps (some color)"</f>
        <v>ix, 502 pages, 32 unnumbered pages of plates, 25 cm, illustrations (some color), maps (some color)</v>
      </c>
      <c r="G95" s="1">
        <v>19</v>
      </c>
      <c r="H95">
        <v>2019</v>
      </c>
      <c r="I95" t="str">
        <f t="shared" si="2"/>
        <v>9: 300 - 399</v>
      </c>
      <c r="K95" t="str">
        <f>"WB - In"</f>
        <v>WB - In</v>
      </c>
      <c r="L95" s="1">
        <v>40</v>
      </c>
      <c r="M95" t="s">
        <v>105</v>
      </c>
      <c r="O95" t="s">
        <v>28</v>
      </c>
      <c r="P95">
        <v>10</v>
      </c>
      <c r="Q95">
        <v>1</v>
      </c>
      <c r="R95">
        <v>11</v>
      </c>
      <c r="S95" s="2">
        <v>43591</v>
      </c>
      <c r="T95" s="2">
        <v>43768</v>
      </c>
      <c r="U95" s="2">
        <v>43738</v>
      </c>
      <c r="V95" s="2">
        <v>43656</v>
      </c>
    </row>
    <row r="96" spans="1:22" x14ac:dyDescent="0.2">
      <c r="A96" t="str">
        <f>"303.48 FOE"</f>
        <v>303.48 FOE</v>
      </c>
      <c r="B96" t="str">
        <f>"World without mind: the existential thre"</f>
        <v>World without mind: the existential thre</v>
      </c>
      <c r="C96">
        <v>343779</v>
      </c>
      <c r="D96" t="str">
        <f>"Foer, Franklin"</f>
        <v>Foer, Franklin</v>
      </c>
      <c r="F96" t="str">
        <f>"pages cm"</f>
        <v>pages cm</v>
      </c>
      <c r="G96" s="1">
        <v>17</v>
      </c>
      <c r="H96">
        <v>2017</v>
      </c>
      <c r="I96" t="str">
        <f t="shared" si="2"/>
        <v>9: 300 - 399</v>
      </c>
      <c r="K96" t="str">
        <f>"WB - In"</f>
        <v>WB - In</v>
      </c>
      <c r="L96" s="1">
        <v>32</v>
      </c>
      <c r="M96" t="s">
        <v>106</v>
      </c>
      <c r="O96" t="s">
        <v>28</v>
      </c>
      <c r="P96">
        <v>7</v>
      </c>
      <c r="Q96">
        <v>0</v>
      </c>
      <c r="R96">
        <v>7</v>
      </c>
      <c r="S96" s="2">
        <v>43005</v>
      </c>
      <c r="T96" s="2">
        <v>43187</v>
      </c>
      <c r="U96" s="2">
        <v>43265</v>
      </c>
    </row>
    <row r="97" spans="1:22" x14ac:dyDescent="0.2">
      <c r="A97" t="str">
        <f>"303.48 FRI"</f>
        <v>303.48 FRI</v>
      </c>
      <c r="B97" t="str">
        <f>"Thank you for being late: an optimist's "</f>
        <v xml:space="preserve">Thank you for being late: an optimist's </v>
      </c>
      <c r="C97">
        <v>338484</v>
      </c>
      <c r="D97" t="str">
        <f>"Friedman, Thomas L."</f>
        <v>Friedman, Thomas L.</v>
      </c>
      <c r="F97" t="str">
        <f>"486 pages, 24 cm, illustrations"</f>
        <v>486 pages, 24 cm, illustrations</v>
      </c>
      <c r="G97" s="1">
        <v>16</v>
      </c>
      <c r="H97">
        <v>2016</v>
      </c>
      <c r="I97" t="str">
        <f t="shared" si="2"/>
        <v>9: 300 - 399</v>
      </c>
      <c r="K97" t="str">
        <f>"LL - In"</f>
        <v>LL - In</v>
      </c>
      <c r="L97" s="1">
        <v>33</v>
      </c>
      <c r="M97" t="s">
        <v>107</v>
      </c>
      <c r="O97" t="s">
        <v>28</v>
      </c>
      <c r="P97">
        <v>21</v>
      </c>
      <c r="Q97">
        <v>2</v>
      </c>
      <c r="R97">
        <v>28</v>
      </c>
      <c r="S97" s="2">
        <v>42695</v>
      </c>
      <c r="T97" s="2">
        <v>42926</v>
      </c>
      <c r="U97" s="2">
        <v>43774</v>
      </c>
      <c r="V97" s="2">
        <v>42926</v>
      </c>
    </row>
    <row r="98" spans="1:22" x14ac:dyDescent="0.2">
      <c r="A98" t="str">
        <f>"303.48 FRY"</f>
        <v>303.48 FRY</v>
      </c>
      <c r="B98" t="str">
        <f>"Hello world: being human in the age of a"</f>
        <v>Hello world: being human in the age of a</v>
      </c>
      <c r="C98">
        <v>350666</v>
      </c>
      <c r="D98" t="str">
        <f>"Fry, Hannah."</f>
        <v>Fry, Hannah.</v>
      </c>
      <c r="F98" t="str">
        <f>"xi, 243 pages, 25 cm, illustrations"</f>
        <v>xi, 243 pages, 25 cm, illustrations</v>
      </c>
      <c r="G98" s="1">
        <v>18</v>
      </c>
      <c r="H98">
        <v>2018</v>
      </c>
      <c r="I98" t="str">
        <f t="shared" si="2"/>
        <v>9: 300 - 399</v>
      </c>
      <c r="K98" t="str">
        <f>"LL - In"</f>
        <v>LL - In</v>
      </c>
      <c r="L98" s="1">
        <v>31</v>
      </c>
      <c r="M98" t="s">
        <v>108</v>
      </c>
      <c r="O98" t="s">
        <v>28</v>
      </c>
      <c r="P98">
        <v>8</v>
      </c>
      <c r="Q98">
        <v>2</v>
      </c>
      <c r="R98">
        <v>10</v>
      </c>
      <c r="S98" s="2">
        <v>43389</v>
      </c>
      <c r="T98" s="2">
        <v>43591</v>
      </c>
      <c r="U98" s="2">
        <v>43818</v>
      </c>
      <c r="V98" s="2">
        <v>43598</v>
      </c>
    </row>
    <row r="99" spans="1:22" x14ac:dyDescent="0.2">
      <c r="A99" t="str">
        <f>"303.48 GIA"</f>
        <v>303.48 GIA</v>
      </c>
      <c r="B99" t="str">
        <f>"Wonder girls: changing our world"</f>
        <v>Wonder girls: changing our world</v>
      </c>
      <c r="C99">
        <v>297981</v>
      </c>
      <c r="D99" t="str">
        <f>"Gianturco, Paola"</f>
        <v>Gianturco, Paola</v>
      </c>
      <c r="F99" t="str">
        <f>"240 pages, 29 cm, col. ill"</f>
        <v>240 pages, 29 cm, col. ill</v>
      </c>
      <c r="G99" s="1">
        <v>17</v>
      </c>
      <c r="H99">
        <v>2017</v>
      </c>
      <c r="I99" t="str">
        <f t="shared" si="2"/>
        <v>9: 300 - 399</v>
      </c>
      <c r="K99" t="str">
        <f>"WB - In"</f>
        <v>WB - In</v>
      </c>
      <c r="L99" s="1">
        <v>55</v>
      </c>
      <c r="M99" t="s">
        <v>109</v>
      </c>
      <c r="O99" t="s">
        <v>28</v>
      </c>
      <c r="P99">
        <v>4</v>
      </c>
      <c r="Q99">
        <v>0</v>
      </c>
      <c r="R99">
        <v>4</v>
      </c>
      <c r="S99" s="2">
        <v>43046</v>
      </c>
      <c r="T99" s="2">
        <v>43271</v>
      </c>
      <c r="U99" s="2">
        <v>43236</v>
      </c>
    </row>
    <row r="100" spans="1:22" x14ac:dyDescent="0.2">
      <c r="A100" t="str">
        <f>"303.48 GRA"</f>
        <v>303.48 GRA</v>
      </c>
      <c r="B100" t="str">
        <f>"Israeli mind: how the Israeli national c"</f>
        <v>Israeli mind: how the Israeli national c</v>
      </c>
      <c r="C100">
        <v>330015</v>
      </c>
      <c r="D100" t="str">
        <f>"Gratch, Alon"</f>
        <v>Gratch, Alon</v>
      </c>
      <c r="F100" t="str">
        <f>"278 p."</f>
        <v>278 p.</v>
      </c>
      <c r="G100" s="1">
        <v>15</v>
      </c>
      <c r="H100">
        <v>2015</v>
      </c>
      <c r="I100" t="str">
        <f t="shared" si="2"/>
        <v>9: 300 - 399</v>
      </c>
      <c r="K100" t="str">
        <f>"LL - In"</f>
        <v>LL - In</v>
      </c>
      <c r="L100" s="1">
        <v>32</v>
      </c>
      <c r="M100" t="s">
        <v>110</v>
      </c>
      <c r="O100" t="s">
        <v>28</v>
      </c>
      <c r="P100">
        <v>1</v>
      </c>
      <c r="Q100">
        <v>0</v>
      </c>
      <c r="R100">
        <v>7</v>
      </c>
      <c r="S100" s="2">
        <v>42268</v>
      </c>
      <c r="T100" s="2">
        <v>42430</v>
      </c>
      <c r="U100" s="2">
        <v>43691</v>
      </c>
    </row>
    <row r="101" spans="1:22" x14ac:dyDescent="0.2">
      <c r="A101" t="str">
        <f>"303.48 GUR"</f>
        <v>303.48 GUR</v>
      </c>
      <c r="B101" t="str">
        <f>"mechanical horse: how the bicycle reshap"</f>
        <v>mechanical horse: how the bicycle reshap</v>
      </c>
      <c r="C101">
        <v>334743</v>
      </c>
      <c r="D101" t="str">
        <f>"Guroff, Margaret,"</f>
        <v>Guroff, Margaret,</v>
      </c>
      <c r="F101" t="str">
        <f>"279 p."</f>
        <v>279 p.</v>
      </c>
      <c r="G101" s="1">
        <v>16</v>
      </c>
      <c r="H101">
        <v>2016</v>
      </c>
      <c r="I101" t="str">
        <f t="shared" si="2"/>
        <v>9: 300 - 399</v>
      </c>
      <c r="K101" t="str">
        <f>"WB - In"</f>
        <v>WB - In</v>
      </c>
      <c r="L101" s="1">
        <v>30</v>
      </c>
      <c r="M101" t="s">
        <v>111</v>
      </c>
      <c r="O101" t="s">
        <v>28</v>
      </c>
      <c r="P101">
        <v>0</v>
      </c>
      <c r="Q101">
        <v>0</v>
      </c>
      <c r="R101">
        <v>9</v>
      </c>
      <c r="S101" s="2">
        <v>42482</v>
      </c>
      <c r="T101" s="2">
        <v>42660</v>
      </c>
      <c r="U101" s="2">
        <v>42640</v>
      </c>
    </row>
    <row r="102" spans="1:22" x14ac:dyDescent="0.2">
      <c r="A102" t="str">
        <f>"303.48 HAR"</f>
        <v>303.48 HAR</v>
      </c>
      <c r="B102" t="str">
        <f>"digital invasion: how technology is shap"</f>
        <v>digital invasion: how technology is shap</v>
      </c>
      <c r="C102">
        <v>332155</v>
      </c>
      <c r="D102" t="str">
        <f>"Hart, Archibald D."</f>
        <v>Hart, Archibald D.</v>
      </c>
      <c r="G102" s="1">
        <v>15</v>
      </c>
      <c r="H102">
        <v>2013</v>
      </c>
      <c r="I102" t="str">
        <f t="shared" si="2"/>
        <v>9: 300 - 399</v>
      </c>
      <c r="K102" t="str">
        <f>"WB - In"</f>
        <v>WB - In</v>
      </c>
      <c r="L102" s="1">
        <v>20</v>
      </c>
      <c r="M102" t="s">
        <v>112</v>
      </c>
      <c r="O102" t="s">
        <v>28</v>
      </c>
      <c r="P102">
        <v>0</v>
      </c>
      <c r="Q102">
        <v>0</v>
      </c>
      <c r="R102">
        <v>2</v>
      </c>
      <c r="S102" s="2">
        <v>42368</v>
      </c>
      <c r="T102" s="2">
        <v>42374</v>
      </c>
      <c r="U102" s="2">
        <v>42515</v>
      </c>
    </row>
    <row r="103" spans="1:22" x14ac:dyDescent="0.2">
      <c r="A103" t="str">
        <f>"303.48 HAV"</f>
        <v>303.48 HAV</v>
      </c>
      <c r="B103" t="str">
        <f>"Heartificial intelligence: embracing our"</f>
        <v>Heartificial intelligence: embracing our</v>
      </c>
      <c r="C103">
        <v>340323</v>
      </c>
      <c r="D103" t="str">
        <f>"Havens, John C."</f>
        <v>Havens, John C.</v>
      </c>
      <c r="F103" t="str">
        <f>"xxxvi, 267 pages, 23 cm, illustrations"</f>
        <v>xxxvi, 267 pages, 23 cm, illustrations</v>
      </c>
      <c r="G103" s="1">
        <v>17</v>
      </c>
      <c r="H103">
        <v>2016</v>
      </c>
      <c r="I103" t="str">
        <f t="shared" si="2"/>
        <v>9: 300 - 399</v>
      </c>
      <c r="K103" t="str">
        <f>"WB - In"</f>
        <v>WB - In</v>
      </c>
      <c r="L103" s="1">
        <v>22</v>
      </c>
      <c r="M103" t="s">
        <v>113</v>
      </c>
      <c r="O103" t="s">
        <v>28</v>
      </c>
      <c r="P103">
        <v>7</v>
      </c>
      <c r="Q103">
        <v>1</v>
      </c>
      <c r="R103">
        <v>8</v>
      </c>
      <c r="S103" s="2">
        <v>42814</v>
      </c>
      <c r="T103" s="2">
        <v>43019</v>
      </c>
      <c r="U103" s="2">
        <v>43610</v>
      </c>
      <c r="V103" s="2">
        <v>42853</v>
      </c>
    </row>
    <row r="104" spans="1:22" x14ac:dyDescent="0.2">
      <c r="A104" t="str">
        <f>"303.48 HEF"</f>
        <v>303.48 HEF</v>
      </c>
      <c r="B104" t="str">
        <f>"Magic and loss: the Internet as art"</f>
        <v>Magic and loss: the Internet as art</v>
      </c>
      <c r="C104">
        <v>335790</v>
      </c>
      <c r="D104" t="str">
        <f>"Heffernan, Virginia"</f>
        <v>Heffernan, Virginia</v>
      </c>
      <c r="F104" t="str">
        <f>"vii, 263 pages, 23 cm"</f>
        <v>vii, 263 pages, 23 cm</v>
      </c>
      <c r="G104" s="1">
        <v>16</v>
      </c>
      <c r="H104">
        <v>2016</v>
      </c>
      <c r="I104" t="str">
        <f t="shared" si="2"/>
        <v>9: 300 - 399</v>
      </c>
      <c r="K104" t="str">
        <f>"WB - In"</f>
        <v>WB - In</v>
      </c>
      <c r="L104" s="1">
        <v>31</v>
      </c>
      <c r="M104" t="s">
        <v>114</v>
      </c>
      <c r="O104" t="s">
        <v>28</v>
      </c>
      <c r="P104">
        <v>0</v>
      </c>
      <c r="Q104">
        <v>0</v>
      </c>
      <c r="R104">
        <v>4</v>
      </c>
      <c r="S104" s="2">
        <v>42541</v>
      </c>
      <c r="T104" s="2">
        <v>42701</v>
      </c>
      <c r="U104" s="2">
        <v>42674</v>
      </c>
    </row>
    <row r="105" spans="1:22" x14ac:dyDescent="0.2">
      <c r="A105" t="str">
        <f>"303.48 HEI"</f>
        <v>303.48 HEI</v>
      </c>
      <c r="B105" t="str">
        <f>"New power: how power works in our hyperc"</f>
        <v>New power: how power works in our hyperc</v>
      </c>
      <c r="C105">
        <v>347488</v>
      </c>
      <c r="D105" t="str">
        <f>"Heimans, Jeremy"</f>
        <v>Heimans, Jeremy</v>
      </c>
      <c r="F105" t="str">
        <f>"325 pages, 25 cm, illustrations"</f>
        <v>325 pages, 25 cm, illustrations</v>
      </c>
      <c r="G105" s="1">
        <v>18</v>
      </c>
      <c r="H105">
        <v>2018</v>
      </c>
      <c r="I105" t="str">
        <f t="shared" si="2"/>
        <v>9: 300 - 399</v>
      </c>
      <c r="K105" t="str">
        <f>"WB - In"</f>
        <v>WB - In</v>
      </c>
      <c r="L105" s="1">
        <v>33</v>
      </c>
      <c r="M105" t="s">
        <v>115</v>
      </c>
      <c r="O105" t="s">
        <v>28</v>
      </c>
      <c r="P105">
        <v>5</v>
      </c>
      <c r="Q105">
        <v>1</v>
      </c>
      <c r="R105">
        <v>6</v>
      </c>
      <c r="S105" s="2">
        <v>43221</v>
      </c>
      <c r="T105" s="2">
        <v>43376</v>
      </c>
      <c r="U105" s="2">
        <v>43670</v>
      </c>
      <c r="V105" s="2">
        <v>43299</v>
      </c>
    </row>
    <row r="106" spans="1:22" x14ac:dyDescent="0.2">
      <c r="A106" t="str">
        <f>"303.48 HOF"</f>
        <v>303.48 HOF</v>
      </c>
      <c r="B106" t="str">
        <f>"true believer: thoughts on the nature of"</f>
        <v>true believer: thoughts on the nature of</v>
      </c>
      <c r="C106">
        <v>407257</v>
      </c>
      <c r="D106" t="str">
        <f>"Hoffer, Eric."</f>
        <v>Hoffer, Eric.</v>
      </c>
      <c r="F106" t="str">
        <f>"xiii, 177 p., 20 cm"</f>
        <v>xiii, 177 p., 20 cm</v>
      </c>
      <c r="G106" s="1">
        <v>19</v>
      </c>
      <c r="H106">
        <v>2002</v>
      </c>
      <c r="I106" t="str">
        <f t="shared" si="2"/>
        <v>9: 300 - 399</v>
      </c>
      <c r="K106" t="str">
        <f>"LL - In"</f>
        <v>LL - In</v>
      </c>
      <c r="L106" s="1">
        <v>21</v>
      </c>
      <c r="M106" t="s">
        <v>116</v>
      </c>
      <c r="O106" t="s">
        <v>28</v>
      </c>
      <c r="P106">
        <v>2</v>
      </c>
      <c r="Q106">
        <v>0</v>
      </c>
      <c r="R106">
        <v>2</v>
      </c>
      <c r="S106" s="2">
        <v>43683</v>
      </c>
      <c r="T106" s="2">
        <v>43685</v>
      </c>
      <c r="U106" s="2">
        <v>43704</v>
      </c>
    </row>
    <row r="107" spans="1:22" x14ac:dyDescent="0.2">
      <c r="A107" t="str">
        <f>"303.48 ITO"</f>
        <v>303.48 ITO</v>
      </c>
      <c r="B107" t="str">
        <f>"Whiplash: how to survive our faster futu"</f>
        <v>Whiplash: how to survive our faster futu</v>
      </c>
      <c r="C107">
        <v>292520</v>
      </c>
      <c r="D107" t="str">
        <f>"Itō, Jōichi,"</f>
        <v>Itō, Jōichi,</v>
      </c>
      <c r="F107" t="str">
        <f>"312 pages, 24 cm"</f>
        <v>312 pages, 24 cm</v>
      </c>
      <c r="G107">
        <v>16</v>
      </c>
      <c r="H107">
        <v>2016</v>
      </c>
      <c r="I107" t="str">
        <f t="shared" si="2"/>
        <v>9: 300 - 399</v>
      </c>
      <c r="K107" t="str">
        <f>"LL - In"</f>
        <v>LL - In</v>
      </c>
      <c r="L107" s="1">
        <v>33</v>
      </c>
      <c r="M107" t="s">
        <v>117</v>
      </c>
      <c r="O107" t="s">
        <v>28</v>
      </c>
      <c r="P107">
        <v>4</v>
      </c>
      <c r="Q107">
        <v>0</v>
      </c>
      <c r="R107">
        <v>6</v>
      </c>
      <c r="S107" s="2">
        <v>42725</v>
      </c>
      <c r="T107" s="2">
        <v>42864</v>
      </c>
      <c r="U107" s="2">
        <v>43756</v>
      </c>
    </row>
    <row r="108" spans="1:22" x14ac:dyDescent="0.2">
      <c r="A108" t="str">
        <f>"303.48 JOB"</f>
        <v>303.48 JOB</v>
      </c>
      <c r="B108" t="str">
        <f>"When we fight, we win: twenty-first-cent"</f>
        <v>When we fight, we win: twenty-first-cent</v>
      </c>
      <c r="C108">
        <v>333385</v>
      </c>
      <c r="D108" t="str">
        <f>"Jobin-Leeds, Greg"</f>
        <v>Jobin-Leeds, Greg</v>
      </c>
      <c r="F108" t="str">
        <f>"xxi, 186 pages, 24 cm, illustrations (chiefly color)"</f>
        <v>xxi, 186 pages, 24 cm, illustrations (chiefly color)</v>
      </c>
      <c r="G108" s="1">
        <v>16</v>
      </c>
      <c r="H108">
        <v>2016</v>
      </c>
      <c r="I108" t="str">
        <f t="shared" si="2"/>
        <v>9: 300 - 399</v>
      </c>
      <c r="K108" t="str">
        <f>"LL - In"</f>
        <v>LL - In</v>
      </c>
      <c r="L108" s="1">
        <v>23</v>
      </c>
      <c r="M108" t="s">
        <v>118</v>
      </c>
      <c r="O108" t="s">
        <v>28</v>
      </c>
      <c r="P108">
        <v>2</v>
      </c>
      <c r="Q108">
        <v>0</v>
      </c>
      <c r="R108">
        <v>7</v>
      </c>
      <c r="S108" s="2">
        <v>42424</v>
      </c>
      <c r="T108" s="2">
        <v>42586</v>
      </c>
      <c r="U108" s="2">
        <v>43783</v>
      </c>
      <c r="V108" s="2">
        <v>42603</v>
      </c>
    </row>
    <row r="109" spans="1:22" x14ac:dyDescent="0.2">
      <c r="A109" t="str">
        <f>"303.48 KAU"</f>
        <v>303.48 KAU</v>
      </c>
      <c r="B109" t="str">
        <f>"How to read a protest: the art of organi"</f>
        <v>How to read a protest: the art of organi</v>
      </c>
      <c r="C109">
        <v>354612</v>
      </c>
      <c r="D109" t="str">
        <f>"Kauffman, L. A."</f>
        <v>Kauffman, L. A.</v>
      </c>
      <c r="F109" t="str">
        <f>"140 pages, 22 cm, illustrations"</f>
        <v>140 pages, 22 cm, illustrations</v>
      </c>
      <c r="G109" s="1">
        <v>19</v>
      </c>
      <c r="H109">
        <v>2019</v>
      </c>
      <c r="I109" t="str">
        <f t="shared" si="2"/>
        <v>9: 300 - 399</v>
      </c>
      <c r="K109" t="str">
        <f>"WB - In"</f>
        <v>WB - In</v>
      </c>
      <c r="L109" s="1">
        <v>28</v>
      </c>
      <c r="M109" t="s">
        <v>119</v>
      </c>
      <c r="O109" t="s">
        <v>28</v>
      </c>
      <c r="P109">
        <v>2</v>
      </c>
      <c r="Q109">
        <v>1</v>
      </c>
      <c r="R109">
        <v>3</v>
      </c>
      <c r="S109" s="2">
        <v>43591</v>
      </c>
      <c r="T109" s="2">
        <v>43754</v>
      </c>
      <c r="U109" s="2">
        <v>43670</v>
      </c>
      <c r="V109" s="2">
        <v>43755</v>
      </c>
    </row>
    <row r="110" spans="1:22" x14ac:dyDescent="0.2">
      <c r="A110" t="str">
        <f>"303.48 KEE"</f>
        <v>303.48 KEE</v>
      </c>
      <c r="B110" t="str">
        <f>"How to fix the future"</f>
        <v>How to fix the future</v>
      </c>
      <c r="C110">
        <v>346804</v>
      </c>
      <c r="D110" t="str">
        <f>"Keen, Andrew"</f>
        <v>Keen, Andrew</v>
      </c>
      <c r="F110" t="str">
        <f>"xiii, 330 pages, 24 cm"</f>
        <v>xiii, 330 pages, 24 cm</v>
      </c>
      <c r="G110" s="1">
        <v>18</v>
      </c>
      <c r="H110">
        <v>2018</v>
      </c>
      <c r="I110" t="str">
        <f t="shared" si="2"/>
        <v>9: 300 - 399</v>
      </c>
      <c r="K110" t="str">
        <f>"WB - In"</f>
        <v>WB - In</v>
      </c>
      <c r="L110" s="1">
        <v>31</v>
      </c>
      <c r="M110" t="s">
        <v>120</v>
      </c>
      <c r="O110" t="s">
        <v>28</v>
      </c>
      <c r="P110">
        <v>3</v>
      </c>
      <c r="Q110">
        <v>0</v>
      </c>
      <c r="R110">
        <v>3</v>
      </c>
      <c r="S110" s="2">
        <v>43179</v>
      </c>
      <c r="T110" s="2">
        <v>43341</v>
      </c>
      <c r="U110" s="2">
        <v>43317</v>
      </c>
    </row>
    <row r="111" spans="1:22" x14ac:dyDescent="0.2">
      <c r="A111" t="str">
        <f>"303.48 KEL"</f>
        <v>303.48 KEL</v>
      </c>
      <c r="B111" t="str">
        <f>"inevitable: understanding the 12 technol"</f>
        <v>inevitable: understanding the 12 technol</v>
      </c>
      <c r="C111">
        <v>288256</v>
      </c>
      <c r="D111" t="str">
        <f>"Kelly, Kevin,"</f>
        <v>Kelly, Kevin,</v>
      </c>
      <c r="F111" t="str">
        <f>"vi, 328 pages, 24 cm"</f>
        <v>vi, 328 pages, 24 cm</v>
      </c>
      <c r="G111" s="1">
        <v>16</v>
      </c>
      <c r="H111">
        <v>2016</v>
      </c>
      <c r="I111" t="str">
        <f t="shared" si="2"/>
        <v>9: 300 - 399</v>
      </c>
      <c r="K111" t="str">
        <f>"WB - In"</f>
        <v>WB - In</v>
      </c>
      <c r="L111" s="1">
        <v>33</v>
      </c>
      <c r="M111" t="s">
        <v>121</v>
      </c>
      <c r="O111" t="s">
        <v>28</v>
      </c>
      <c r="P111">
        <v>7</v>
      </c>
      <c r="Q111">
        <v>1</v>
      </c>
      <c r="R111">
        <v>17</v>
      </c>
      <c r="S111" s="2">
        <v>42528</v>
      </c>
      <c r="T111" s="2">
        <v>42710</v>
      </c>
      <c r="U111" s="2">
        <v>43335</v>
      </c>
      <c r="V111" s="2">
        <v>43264</v>
      </c>
    </row>
    <row r="112" spans="1:22" x14ac:dyDescent="0.2">
      <c r="A112" t="str">
        <f>"303.48 KEL"</f>
        <v>303.48 KEL</v>
      </c>
      <c r="B112" t="str">
        <f>"inevitable: understanding the 12 technol"</f>
        <v>inevitable: understanding the 12 technol</v>
      </c>
      <c r="C112">
        <v>343410</v>
      </c>
      <c r="D112" t="str">
        <f>"Kelly, Kevin,"</f>
        <v>Kelly, Kevin,</v>
      </c>
      <c r="F112" t="str">
        <f>"vi, 328 pages, 24 cm"</f>
        <v>vi, 328 pages, 24 cm</v>
      </c>
      <c r="G112" s="1">
        <v>17</v>
      </c>
      <c r="H112">
        <v>2016</v>
      </c>
      <c r="I112" t="str">
        <f t="shared" si="2"/>
        <v>9: 300 - 399</v>
      </c>
      <c r="K112" t="str">
        <f>"LL - In"</f>
        <v>LL - In</v>
      </c>
      <c r="L112" s="1">
        <v>23</v>
      </c>
      <c r="M112" t="s">
        <v>121</v>
      </c>
      <c r="O112" t="s">
        <v>28</v>
      </c>
      <c r="P112">
        <v>1</v>
      </c>
      <c r="Q112">
        <v>0</v>
      </c>
      <c r="R112">
        <v>1</v>
      </c>
      <c r="S112" s="2">
        <v>42984</v>
      </c>
      <c r="T112" s="2">
        <v>42992</v>
      </c>
      <c r="U112" s="2">
        <v>43141</v>
      </c>
    </row>
    <row r="113" spans="1:22" x14ac:dyDescent="0.2">
      <c r="A113" t="str">
        <f>"303.48 LAN"</f>
        <v>303.48 LAN</v>
      </c>
      <c r="B113" t="str">
        <f>"Who owns the future?"</f>
        <v>Who owns the future?</v>
      </c>
      <c r="C113">
        <v>314055</v>
      </c>
      <c r="D113" t="str">
        <f>"Lanier, Jaron."</f>
        <v>Lanier, Jaron.</v>
      </c>
      <c r="F113" t="str">
        <f>"396 p."</f>
        <v>396 p.</v>
      </c>
      <c r="G113" s="1">
        <v>13</v>
      </c>
      <c r="H113">
        <v>2013</v>
      </c>
      <c r="I113" t="str">
        <f t="shared" si="2"/>
        <v>9: 300 - 399</v>
      </c>
      <c r="K113" t="str">
        <f>"WB - In"</f>
        <v>WB - In</v>
      </c>
      <c r="L113" s="1">
        <v>33</v>
      </c>
      <c r="M113" t="s">
        <v>122</v>
      </c>
      <c r="O113" t="s">
        <v>28</v>
      </c>
      <c r="P113">
        <v>1</v>
      </c>
      <c r="Q113">
        <v>1</v>
      </c>
      <c r="R113">
        <v>18</v>
      </c>
      <c r="S113" s="2">
        <v>41404</v>
      </c>
      <c r="T113" s="2">
        <v>41597</v>
      </c>
      <c r="U113" s="2">
        <v>43488</v>
      </c>
      <c r="V113" s="2">
        <v>42961</v>
      </c>
    </row>
    <row r="114" spans="1:22" x14ac:dyDescent="0.2">
      <c r="A114" t="str">
        <f>"303.48 LIC"</f>
        <v>303.48 LIC</v>
      </c>
      <c r="B114" t="str">
        <f>"Becoming a citizen activist: stories, st"</f>
        <v>Becoming a citizen activist: stories, st</v>
      </c>
      <c r="C114">
        <v>334588</v>
      </c>
      <c r="D114" t="str">
        <f>"Licata, Nick,"</f>
        <v>Licata, Nick,</v>
      </c>
      <c r="F114" t="str">
        <f>"203 p."</f>
        <v>203 p.</v>
      </c>
      <c r="G114" s="1">
        <v>16</v>
      </c>
      <c r="H114">
        <v>2016</v>
      </c>
      <c r="I114" t="str">
        <f t="shared" si="2"/>
        <v>9: 300 - 399</v>
      </c>
      <c r="K114" t="str">
        <f>"LL - In"</f>
        <v>LL - In</v>
      </c>
      <c r="L114" s="1">
        <v>22</v>
      </c>
      <c r="O114" t="s">
        <v>28</v>
      </c>
      <c r="P114">
        <v>0</v>
      </c>
      <c r="Q114">
        <v>0</v>
      </c>
      <c r="R114">
        <v>4</v>
      </c>
      <c r="S114" s="2">
        <v>42478</v>
      </c>
      <c r="T114" s="2">
        <v>42655</v>
      </c>
      <c r="U114" s="2">
        <v>42632</v>
      </c>
    </row>
    <row r="115" spans="1:22" x14ac:dyDescent="0.2">
      <c r="A115" t="str">
        <f>"303.48 LUS"</f>
        <v>303.48 LUS</v>
      </c>
      <c r="B115" t="str">
        <f>"hacking of the American mind: the scienc"</f>
        <v>hacking of the American mind: the scienc</v>
      </c>
      <c r="C115">
        <v>343762</v>
      </c>
      <c r="D115" t="str">
        <f>"Lustig, Robert H."</f>
        <v>Lustig, Robert H.</v>
      </c>
      <c r="F115" t="str">
        <f>"344 pages, 24 cm, illustrations"</f>
        <v>344 pages, 24 cm, illustrations</v>
      </c>
      <c r="G115" s="1">
        <v>17</v>
      </c>
      <c r="H115">
        <v>2017</v>
      </c>
      <c r="I115" t="str">
        <f t="shared" si="2"/>
        <v>9: 300 - 399</v>
      </c>
      <c r="K115" t="str">
        <f>"WB - In"</f>
        <v>WB - In</v>
      </c>
      <c r="L115" s="1">
        <v>32</v>
      </c>
      <c r="M115" t="s">
        <v>123</v>
      </c>
      <c r="O115" t="s">
        <v>28</v>
      </c>
      <c r="P115">
        <v>12</v>
      </c>
      <c r="Q115">
        <v>1</v>
      </c>
      <c r="R115">
        <v>13</v>
      </c>
      <c r="S115" s="2">
        <v>43005</v>
      </c>
      <c r="T115" s="2">
        <v>43256</v>
      </c>
      <c r="U115" s="2">
        <v>43727</v>
      </c>
      <c r="V115" s="2">
        <v>43256</v>
      </c>
    </row>
    <row r="116" spans="1:22" x14ac:dyDescent="0.2">
      <c r="A116" t="str">
        <f>"303.48 MOR"</f>
        <v>303.48 MOR</v>
      </c>
      <c r="B116" t="str">
        <f>"1963: the year that rocked : how youth c"</f>
        <v>1963: the year that rocked : how youth c</v>
      </c>
      <c r="C116">
        <v>270424</v>
      </c>
      <c r="D116" t="str">
        <f>"Morgan, Robin"</f>
        <v>Morgan, Robin</v>
      </c>
      <c r="F116" t="str">
        <f>"240 p."</f>
        <v>240 p.</v>
      </c>
      <c r="G116" s="1">
        <v>13</v>
      </c>
      <c r="H116">
        <v>2013</v>
      </c>
      <c r="I116" t="str">
        <f t="shared" si="2"/>
        <v>9: 300 - 399</v>
      </c>
      <c r="K116" t="str">
        <f>"LL - In"</f>
        <v>LL - In</v>
      </c>
      <c r="L116" s="1">
        <v>31</v>
      </c>
      <c r="M116" t="s">
        <v>124</v>
      </c>
      <c r="O116" t="s">
        <v>28</v>
      </c>
      <c r="P116">
        <v>0</v>
      </c>
      <c r="Q116">
        <v>0</v>
      </c>
      <c r="R116">
        <v>6</v>
      </c>
      <c r="S116" s="2">
        <v>41613</v>
      </c>
      <c r="T116" s="2">
        <v>41703</v>
      </c>
      <c r="U116" s="2">
        <v>42052</v>
      </c>
      <c r="V116" s="2">
        <v>41699</v>
      </c>
    </row>
    <row r="117" spans="1:22" x14ac:dyDescent="0.2">
      <c r="A117" t="str">
        <f>"303.48 NEW"</f>
        <v>303.48 NEW</v>
      </c>
      <c r="B117" t="str">
        <f>"Digital minimalism: on living better wit"</f>
        <v>Digital minimalism: on living better wit</v>
      </c>
      <c r="C117">
        <v>352578</v>
      </c>
      <c r="D117" t="str">
        <f>"Newport, Cal."</f>
        <v>Newport, Cal.</v>
      </c>
      <c r="F117" t="str">
        <f>"pages cm"</f>
        <v>pages cm</v>
      </c>
      <c r="G117" s="1">
        <v>19</v>
      </c>
      <c r="H117">
        <v>2019</v>
      </c>
      <c r="I117" t="str">
        <f t="shared" si="2"/>
        <v>9: 300 - 399</v>
      </c>
      <c r="K117" t="str">
        <f>"WB - Out"</f>
        <v>WB - Out</v>
      </c>
      <c r="L117" s="1">
        <v>31</v>
      </c>
      <c r="M117" t="s">
        <v>125</v>
      </c>
      <c r="O117" t="s">
        <v>28</v>
      </c>
      <c r="P117">
        <v>11</v>
      </c>
      <c r="Q117">
        <v>1</v>
      </c>
      <c r="R117">
        <v>12</v>
      </c>
      <c r="S117" s="2">
        <v>43501</v>
      </c>
      <c r="T117" s="2">
        <v>43793</v>
      </c>
      <c r="U117" s="2">
        <v>43843</v>
      </c>
      <c r="V117" s="2">
        <v>43758</v>
      </c>
    </row>
    <row r="118" spans="1:22" x14ac:dyDescent="0.2">
      <c r="A118" t="str">
        <f>"303.48 NIC"</f>
        <v>303.48 NIC</v>
      </c>
      <c r="B118" t="str">
        <f>"death of expertise: the campaign against"</f>
        <v>death of expertise: the campaign against</v>
      </c>
      <c r="C118">
        <v>340241</v>
      </c>
      <c r="D118" t="str">
        <f>"Nichols, Tom,"</f>
        <v>Nichols, Tom,</v>
      </c>
      <c r="F118" t="str">
        <f>"xv, 252 pages, 22 cm"</f>
        <v>xv, 252 pages, 22 cm</v>
      </c>
      <c r="G118" s="1">
        <v>17</v>
      </c>
      <c r="H118">
        <v>2017</v>
      </c>
      <c r="I118" t="str">
        <f t="shared" si="2"/>
        <v>9: 300 - 399</v>
      </c>
      <c r="K118" t="str">
        <f>"LL - Out"</f>
        <v>LL - Out</v>
      </c>
      <c r="L118" s="1">
        <v>30</v>
      </c>
      <c r="M118" t="s">
        <v>126</v>
      </c>
      <c r="O118" t="s">
        <v>28</v>
      </c>
      <c r="P118">
        <v>16</v>
      </c>
      <c r="Q118">
        <v>1</v>
      </c>
      <c r="R118">
        <v>17</v>
      </c>
      <c r="S118" s="2">
        <v>42808</v>
      </c>
      <c r="T118" s="2">
        <v>43030</v>
      </c>
      <c r="U118" s="2">
        <v>43856</v>
      </c>
      <c r="V118" s="2">
        <v>42864</v>
      </c>
    </row>
    <row r="119" spans="1:22" x14ac:dyDescent="0.2">
      <c r="A119" t="str">
        <f>"303.48 PEN"</f>
        <v>303.48 PEN</v>
      </c>
      <c r="B119" t="str">
        <f>"Social physics: how good ideas spread-th"</f>
        <v>Social physics: how good ideas spread-th</v>
      </c>
      <c r="C119">
        <v>319659</v>
      </c>
      <c r="D119" t="str">
        <f>"Pentland, Alex,"</f>
        <v>Pentland, Alex,</v>
      </c>
      <c r="F119" t="str">
        <f>"x, 300 pages, 22 cm, illustrations"</f>
        <v>x, 300 pages, 22 cm, illustrations</v>
      </c>
      <c r="G119" s="1">
        <v>14</v>
      </c>
      <c r="H119">
        <v>2014</v>
      </c>
      <c r="I119" t="str">
        <f t="shared" si="2"/>
        <v>9: 300 - 399</v>
      </c>
      <c r="K119" t="str">
        <f>"WB - In"</f>
        <v>WB - In</v>
      </c>
      <c r="L119" s="1">
        <v>33</v>
      </c>
      <c r="M119" t="s">
        <v>127</v>
      </c>
      <c r="O119" t="s">
        <v>28</v>
      </c>
      <c r="P119">
        <v>2</v>
      </c>
      <c r="Q119">
        <v>0</v>
      </c>
      <c r="R119">
        <v>14</v>
      </c>
      <c r="S119" s="2">
        <v>41676</v>
      </c>
      <c r="T119" s="2">
        <v>41940</v>
      </c>
      <c r="U119" s="2">
        <v>43313</v>
      </c>
    </row>
    <row r="120" spans="1:22" x14ac:dyDescent="0.2">
      <c r="A120" t="str">
        <f>"303.48 POG"</f>
        <v>303.48 POG</v>
      </c>
      <c r="B120" t="str">
        <f>"Chosen country: a rebellion in the West"</f>
        <v>Chosen country: a rebellion in the West</v>
      </c>
      <c r="C120">
        <v>348353</v>
      </c>
      <c r="D120" t="str">
        <f>"Pogue, James"</f>
        <v>Pogue, James</v>
      </c>
      <c r="F120" t="str">
        <f>"289 pages, 22 cm"</f>
        <v>289 pages, 22 cm</v>
      </c>
      <c r="G120" s="1">
        <v>18</v>
      </c>
      <c r="H120">
        <v>2018</v>
      </c>
      <c r="I120" t="str">
        <f t="shared" si="2"/>
        <v>9: 300 - 399</v>
      </c>
      <c r="K120" t="str">
        <f>"WB - In"</f>
        <v>WB - In</v>
      </c>
      <c r="L120" s="1">
        <v>33</v>
      </c>
      <c r="M120" t="s">
        <v>128</v>
      </c>
      <c r="O120" t="s">
        <v>28</v>
      </c>
      <c r="P120">
        <v>2</v>
      </c>
      <c r="Q120">
        <v>0</v>
      </c>
      <c r="R120">
        <v>2</v>
      </c>
      <c r="S120" s="2">
        <v>43276</v>
      </c>
      <c r="T120" s="2">
        <v>43467</v>
      </c>
      <c r="U120" s="2">
        <v>43416</v>
      </c>
    </row>
    <row r="121" spans="1:22" x14ac:dyDescent="0.2">
      <c r="A121" t="str">
        <f>"303.48 POL"</f>
        <v>303.48 POL</v>
      </c>
      <c r="B121" t="str">
        <f>"AIQ: how people and machines are smarter"</f>
        <v>AIQ: how people and machines are smarter</v>
      </c>
      <c r="C121">
        <v>348104</v>
      </c>
      <c r="D121" t="str">
        <f>"Polson, Nicholas G.,"</f>
        <v>Polson, Nicholas G.,</v>
      </c>
      <c r="F121" t="str">
        <f>"262 pages, 25 cm, illustrations"</f>
        <v>262 pages, 25 cm, illustrations</v>
      </c>
      <c r="G121" s="1">
        <v>18</v>
      </c>
      <c r="H121">
        <v>2018</v>
      </c>
      <c r="I121" t="str">
        <f t="shared" si="2"/>
        <v>9: 300 - 399</v>
      </c>
      <c r="K121" t="str">
        <f>"WB - In"</f>
        <v>WB - In</v>
      </c>
      <c r="L121" s="1">
        <v>32</v>
      </c>
      <c r="M121" t="s">
        <v>129</v>
      </c>
      <c r="O121" t="s">
        <v>28</v>
      </c>
      <c r="P121">
        <v>7</v>
      </c>
      <c r="Q121">
        <v>0</v>
      </c>
      <c r="R121">
        <v>7</v>
      </c>
      <c r="S121" s="2">
        <v>43262</v>
      </c>
      <c r="T121" s="2">
        <v>43432</v>
      </c>
      <c r="U121" s="2">
        <v>43633</v>
      </c>
    </row>
    <row r="122" spans="1:22" x14ac:dyDescent="0.2">
      <c r="A122" t="str">
        <f>"303.48 POM"</f>
        <v>303.48 POM</v>
      </c>
      <c r="B122" t="str">
        <f>"This is not propaganda: adventures in th"</f>
        <v>This is not propaganda: adventures in th</v>
      </c>
      <c r="C122">
        <v>356994</v>
      </c>
      <c r="D122" t="str">
        <f>"Pomerantsev, Peter"</f>
        <v>Pomerantsev, Peter</v>
      </c>
      <c r="F122" t="str">
        <f>"xv, 236 pages, 25 cm"</f>
        <v>xv, 236 pages, 25 cm</v>
      </c>
      <c r="G122" s="1">
        <v>19</v>
      </c>
      <c r="H122">
        <v>2019</v>
      </c>
      <c r="I122" t="str">
        <f t="shared" si="2"/>
        <v>9: 300 - 399</v>
      </c>
      <c r="K122" t="str">
        <f>"LL - In"</f>
        <v>LL - In</v>
      </c>
      <c r="L122" s="1">
        <v>33</v>
      </c>
      <c r="M122" t="s">
        <v>130</v>
      </c>
      <c r="O122" t="s">
        <v>28</v>
      </c>
      <c r="P122">
        <v>1</v>
      </c>
      <c r="Q122">
        <v>0</v>
      </c>
      <c r="R122">
        <v>1</v>
      </c>
      <c r="S122" s="2">
        <v>43696</v>
      </c>
      <c r="T122" s="2">
        <v>43842</v>
      </c>
      <c r="U122" s="2">
        <v>43742</v>
      </c>
    </row>
    <row r="123" spans="1:22" x14ac:dyDescent="0.2">
      <c r="A123" t="str">
        <f>"303.48 REE"</f>
        <v>303.48 REE</v>
      </c>
      <c r="B123" t="str">
        <f>"On the future: prospects for humanity"</f>
        <v>On the future: prospects for humanity</v>
      </c>
      <c r="C123">
        <v>350680</v>
      </c>
      <c r="D123" t="str">
        <f>"Rees, Martin J."</f>
        <v>Rees, Martin J.</v>
      </c>
      <c r="F123" t="str">
        <f>"viii, 256 pages, 20 cm"</f>
        <v>viii, 256 pages, 20 cm</v>
      </c>
      <c r="G123" s="1">
        <v>18</v>
      </c>
      <c r="H123">
        <v>2018</v>
      </c>
      <c r="I123" t="str">
        <f t="shared" si="2"/>
        <v>9: 300 - 399</v>
      </c>
      <c r="K123" t="str">
        <f>"WB - In"</f>
        <v>WB - In</v>
      </c>
      <c r="L123" s="1">
        <v>24</v>
      </c>
      <c r="M123" t="s">
        <v>131</v>
      </c>
      <c r="O123" t="s">
        <v>28</v>
      </c>
      <c r="P123">
        <v>8</v>
      </c>
      <c r="Q123">
        <v>0</v>
      </c>
      <c r="R123">
        <v>8</v>
      </c>
      <c r="S123" s="2">
        <v>43389</v>
      </c>
      <c r="T123" s="2">
        <v>43551</v>
      </c>
      <c r="U123" s="2">
        <v>43518</v>
      </c>
    </row>
    <row r="124" spans="1:22" x14ac:dyDescent="0.2">
      <c r="A124" t="str">
        <f>"303.48 REE"</f>
        <v>303.48 REE</v>
      </c>
      <c r="B124" t="str">
        <f>"fourth age: smart robots, conscious comp"</f>
        <v>fourth age: smart robots, conscious comp</v>
      </c>
      <c r="C124">
        <v>400746</v>
      </c>
      <c r="D124" t="str">
        <f>"Reese, Byron"</f>
        <v>Reese, Byron</v>
      </c>
      <c r="F124" t="str">
        <f>"xi, 320 pages, 24 cm"</f>
        <v>xi, 320 pages, 24 cm</v>
      </c>
      <c r="G124" s="1">
        <v>18</v>
      </c>
      <c r="H124">
        <v>2018</v>
      </c>
      <c r="I124" t="str">
        <f t="shared" si="2"/>
        <v>9: 300 - 399</v>
      </c>
      <c r="K124" t="str">
        <f>"WB - In"</f>
        <v>WB - In</v>
      </c>
      <c r="L124" s="1">
        <v>32</v>
      </c>
      <c r="M124" t="s">
        <v>132</v>
      </c>
      <c r="O124" t="s">
        <v>28</v>
      </c>
      <c r="P124">
        <v>6</v>
      </c>
      <c r="Q124">
        <v>3</v>
      </c>
      <c r="R124">
        <v>9</v>
      </c>
      <c r="S124" s="2">
        <v>43216</v>
      </c>
      <c r="T124" s="2">
        <v>43432</v>
      </c>
      <c r="U124" s="2">
        <v>43389</v>
      </c>
      <c r="V124" s="2">
        <v>43431</v>
      </c>
    </row>
    <row r="125" spans="1:22" x14ac:dyDescent="0.2">
      <c r="A125" t="str">
        <f>"303.48 RIC"</f>
        <v>303.48 RIC</v>
      </c>
      <c r="B125" t="str">
        <f>"deadly wandering: a tale of tragedy and "</f>
        <v xml:space="preserve">deadly wandering: a tale of tragedy and </v>
      </c>
      <c r="C125">
        <v>324042</v>
      </c>
      <c r="D125" t="str">
        <f>"Richtel, Matt."</f>
        <v>Richtel, Matt.</v>
      </c>
      <c r="F125" t="str">
        <f>"viii, 403 pages, 24 cm"</f>
        <v>viii, 403 pages, 24 cm</v>
      </c>
      <c r="G125" s="1">
        <v>14</v>
      </c>
      <c r="H125">
        <v>2014</v>
      </c>
      <c r="I125" t="str">
        <f t="shared" si="2"/>
        <v>9: 300 - 399</v>
      </c>
      <c r="K125" t="str">
        <f>"LL - In"</f>
        <v>LL - In</v>
      </c>
      <c r="L125" s="1">
        <v>34</v>
      </c>
      <c r="M125" t="s">
        <v>133</v>
      </c>
      <c r="O125" t="s">
        <v>28</v>
      </c>
      <c r="P125">
        <v>1</v>
      </c>
      <c r="Q125">
        <v>0</v>
      </c>
      <c r="R125">
        <v>14</v>
      </c>
      <c r="S125" s="2">
        <v>41926</v>
      </c>
      <c r="T125" s="2">
        <v>42225</v>
      </c>
      <c r="U125" s="2">
        <v>43614</v>
      </c>
    </row>
    <row r="126" spans="1:22" x14ac:dyDescent="0.2">
      <c r="A126" t="str">
        <f>"303.48 ROR"</f>
        <v>303.48 ROR</v>
      </c>
      <c r="B126" t="str">
        <f>"Achieving our country: leftist thought i"</f>
        <v>Achieving our country: leftist thought i</v>
      </c>
      <c r="C126">
        <v>339205</v>
      </c>
      <c r="D126" t="str">
        <f>"Rorty, Richard"</f>
        <v>Rorty, Richard</v>
      </c>
      <c r="F126" t="str">
        <f>"159 pages, 21 cm"</f>
        <v>159 pages, 21 cm</v>
      </c>
      <c r="G126" s="1">
        <v>17</v>
      </c>
      <c r="H126">
        <v>1999</v>
      </c>
      <c r="I126" t="str">
        <f t="shared" si="2"/>
        <v>9: 300 - 399</v>
      </c>
      <c r="K126" t="str">
        <f t="shared" ref="K126:K131" si="3">"WB - In"</f>
        <v>WB - In</v>
      </c>
      <c r="L126" s="1">
        <v>25</v>
      </c>
      <c r="M126" t="s">
        <v>134</v>
      </c>
      <c r="O126" t="s">
        <v>28</v>
      </c>
      <c r="P126">
        <v>2</v>
      </c>
      <c r="Q126">
        <v>0</v>
      </c>
      <c r="R126">
        <v>2</v>
      </c>
      <c r="S126" s="2">
        <v>42754</v>
      </c>
      <c r="T126" s="2">
        <v>42766</v>
      </c>
      <c r="U126" s="2">
        <v>43577</v>
      </c>
    </row>
    <row r="127" spans="1:22" x14ac:dyDescent="0.2">
      <c r="A127" t="str">
        <f>"303.48 RUS"</f>
        <v>303.48 RUS</v>
      </c>
      <c r="B127" t="str">
        <f>"Throwing rocks at the Google bus: how gr"</f>
        <v>Throwing rocks at the Google bus: how gr</v>
      </c>
      <c r="C127">
        <v>335522</v>
      </c>
      <c r="D127" t="str">
        <f>"Rushkoff, Douglas."</f>
        <v>Rushkoff, Douglas.</v>
      </c>
      <c r="F127" t="str">
        <f>"viii, 278 pages, 24 cm"</f>
        <v>viii, 278 pages, 24 cm</v>
      </c>
      <c r="G127" s="1">
        <v>16</v>
      </c>
      <c r="H127">
        <v>2016</v>
      </c>
      <c r="I127" t="str">
        <f t="shared" si="2"/>
        <v>9: 300 - 399</v>
      </c>
      <c r="K127" t="str">
        <f t="shared" si="3"/>
        <v>WB - In</v>
      </c>
      <c r="L127" s="1">
        <v>33</v>
      </c>
      <c r="M127" t="s">
        <v>135</v>
      </c>
      <c r="O127" t="s">
        <v>28</v>
      </c>
      <c r="P127">
        <v>1</v>
      </c>
      <c r="Q127">
        <v>0</v>
      </c>
      <c r="R127">
        <v>5</v>
      </c>
      <c r="S127" s="2">
        <v>42528</v>
      </c>
      <c r="T127" s="2">
        <v>42704</v>
      </c>
      <c r="U127" s="2">
        <v>43643</v>
      </c>
    </row>
    <row r="128" spans="1:22" x14ac:dyDescent="0.2">
      <c r="A128" t="str">
        <f>"303.48 SCH"</f>
        <v>303.48 SCH</v>
      </c>
      <c r="B128" t="str">
        <f>"new digital age: reshaping the future of"</f>
        <v>new digital age: reshaping the future of</v>
      </c>
      <c r="C128">
        <v>314000</v>
      </c>
      <c r="D128" t="str">
        <f>"Schmidt, Erica Lyn"</f>
        <v>Schmidt, Erica Lyn</v>
      </c>
      <c r="F128" t="str">
        <f>"315 p., 25 cm."</f>
        <v>315 p., 25 cm.</v>
      </c>
      <c r="G128" s="1">
        <v>13</v>
      </c>
      <c r="H128">
        <v>2013</v>
      </c>
      <c r="I128" t="str">
        <f t="shared" si="2"/>
        <v>9: 300 - 399</v>
      </c>
      <c r="K128" t="str">
        <f t="shared" si="3"/>
        <v>WB - In</v>
      </c>
      <c r="L128" s="1">
        <v>32</v>
      </c>
      <c r="M128" t="s">
        <v>136</v>
      </c>
      <c r="O128" t="s">
        <v>28</v>
      </c>
      <c r="P128">
        <v>0</v>
      </c>
      <c r="Q128">
        <v>1</v>
      </c>
      <c r="R128">
        <v>10</v>
      </c>
      <c r="S128" s="2">
        <v>41404</v>
      </c>
      <c r="T128" s="2">
        <v>41492</v>
      </c>
      <c r="U128" s="2">
        <v>42515</v>
      </c>
      <c r="V128" s="2">
        <v>43179</v>
      </c>
    </row>
    <row r="129" spans="1:22" x14ac:dyDescent="0.2">
      <c r="A129" t="str">
        <f>"303.48 WAD"</f>
        <v>303.48 WAD</v>
      </c>
      <c r="B129" t="str">
        <f>"Your happiness was hacked: why tech is w"</f>
        <v>Your happiness was hacked: why tech is w</v>
      </c>
      <c r="C129">
        <v>348776</v>
      </c>
      <c r="D129" t="str">
        <f>"Wadhwa, Vivek"</f>
        <v>Wadhwa, Vivek</v>
      </c>
      <c r="F129" t="str">
        <f>"xv, 237 pages, 23 cm"</f>
        <v>xv, 237 pages, 23 cm</v>
      </c>
      <c r="G129" s="1">
        <v>18</v>
      </c>
      <c r="H129">
        <v>2018</v>
      </c>
      <c r="I129" t="str">
        <f t="shared" si="2"/>
        <v>9: 300 - 399</v>
      </c>
      <c r="K129" t="str">
        <f t="shared" si="3"/>
        <v>WB - In</v>
      </c>
      <c r="L129" s="1">
        <v>30</v>
      </c>
      <c r="M129" t="s">
        <v>137</v>
      </c>
      <c r="O129" t="s">
        <v>28</v>
      </c>
      <c r="P129">
        <v>6</v>
      </c>
      <c r="Q129">
        <v>0</v>
      </c>
      <c r="R129">
        <v>6</v>
      </c>
      <c r="S129" s="2">
        <v>43298</v>
      </c>
      <c r="T129" s="2">
        <v>43467</v>
      </c>
      <c r="U129" s="2">
        <v>43452</v>
      </c>
    </row>
    <row r="130" spans="1:22" x14ac:dyDescent="0.2">
      <c r="A130" t="str">
        <f>"303.48 WAD"</f>
        <v>303.48 WAD</v>
      </c>
      <c r="B130" t="str">
        <f>"driver in the driverless car: how our te"</f>
        <v>driver in the driverless car: how our te</v>
      </c>
      <c r="C130">
        <v>360022</v>
      </c>
      <c r="D130" t="str">
        <f>"Wadwha, Vivek"</f>
        <v>Wadwha, Vivek</v>
      </c>
      <c r="F130" t="str">
        <f>"xv, 217 pages, 23 cm"</f>
        <v>xv, 217 pages, 23 cm</v>
      </c>
      <c r="G130" s="1">
        <v>19</v>
      </c>
      <c r="H130">
        <v>2017</v>
      </c>
      <c r="I130" t="str">
        <f t="shared" si="2"/>
        <v>9: 300 - 399</v>
      </c>
      <c r="K130" t="str">
        <f t="shared" si="3"/>
        <v>WB - In</v>
      </c>
      <c r="L130" s="1">
        <v>30</v>
      </c>
      <c r="M130" t="s">
        <v>138</v>
      </c>
      <c r="O130" t="s">
        <v>28</v>
      </c>
      <c r="P130">
        <v>0</v>
      </c>
      <c r="Q130">
        <v>0</v>
      </c>
      <c r="R130">
        <v>0</v>
      </c>
      <c r="S130" s="2">
        <v>43826</v>
      </c>
      <c r="T130" s="2">
        <v>43844</v>
      </c>
    </row>
    <row r="131" spans="1:22" x14ac:dyDescent="0.2">
      <c r="A131" t="str">
        <f>"303.48 WHE"</f>
        <v>303.48 WHE</v>
      </c>
      <c r="B131" t="str">
        <f>"From Gutenberg to Google: the history of"</f>
        <v>From Gutenberg to Google: the history of</v>
      </c>
      <c r="C131">
        <v>353126</v>
      </c>
      <c r="D131" t="str">
        <f>"Wheeler, Tom"</f>
        <v>Wheeler, Tom</v>
      </c>
      <c r="F131" t="str">
        <f>"242 p."</f>
        <v>242 p.</v>
      </c>
      <c r="G131" s="1">
        <v>19</v>
      </c>
      <c r="H131">
        <v>2019</v>
      </c>
      <c r="I131" t="str">
        <f t="shared" si="2"/>
        <v>9: 300 - 399</v>
      </c>
      <c r="K131" t="str">
        <f t="shared" si="3"/>
        <v>WB - In</v>
      </c>
      <c r="L131" s="1">
        <v>30</v>
      </c>
      <c r="M131" t="s">
        <v>139</v>
      </c>
      <c r="O131" t="s">
        <v>28</v>
      </c>
      <c r="P131">
        <v>6</v>
      </c>
      <c r="Q131">
        <v>1</v>
      </c>
      <c r="R131">
        <v>7</v>
      </c>
      <c r="S131" s="2">
        <v>43522</v>
      </c>
      <c r="T131" s="2">
        <v>43740</v>
      </c>
      <c r="U131" s="2">
        <v>43699</v>
      </c>
      <c r="V131" s="2">
        <v>43652</v>
      </c>
    </row>
    <row r="132" spans="1:22" x14ac:dyDescent="0.2">
      <c r="A132" t="str">
        <f>"303.48 ZUC"</f>
        <v>303.48 ZUC</v>
      </c>
      <c r="B132" t="str">
        <f>"Dot complicated: untangling our wired li"</f>
        <v>Dot complicated: untangling our wired li</v>
      </c>
      <c r="C132">
        <v>318011</v>
      </c>
      <c r="D132" t="str">
        <f>"Zuckerberg, Randi."</f>
        <v>Zuckerberg, Randi.</v>
      </c>
      <c r="F132" t="str">
        <f>"241 p."</f>
        <v>241 p.</v>
      </c>
      <c r="G132" s="1">
        <v>13</v>
      </c>
      <c r="H132">
        <v>2013</v>
      </c>
      <c r="I132" t="str">
        <f t="shared" si="2"/>
        <v>9: 300 - 399</v>
      </c>
      <c r="K132" t="str">
        <f>"LL - In"</f>
        <v>LL - In</v>
      </c>
      <c r="L132" s="1">
        <v>33</v>
      </c>
      <c r="M132" t="s">
        <v>140</v>
      </c>
      <c r="O132" t="s">
        <v>28</v>
      </c>
      <c r="P132">
        <v>1</v>
      </c>
      <c r="Q132">
        <v>0</v>
      </c>
      <c r="R132">
        <v>8</v>
      </c>
      <c r="S132" s="2">
        <v>41597</v>
      </c>
      <c r="T132" s="2">
        <v>41787</v>
      </c>
      <c r="U132" s="2">
        <v>43197</v>
      </c>
    </row>
    <row r="133" spans="1:22" x14ac:dyDescent="0.2">
      <c r="A133" t="str">
        <f>"303.49 FRI"</f>
        <v>303.49 FRI</v>
      </c>
      <c r="B133" t="str">
        <f>"next 100 years: a forecast for the 21st "</f>
        <v xml:space="preserve">next 100 years: a forecast for the 21st </v>
      </c>
      <c r="C133">
        <v>134749</v>
      </c>
      <c r="D133" t="str">
        <f>"Friedman, George"</f>
        <v>Friedman, George</v>
      </c>
      <c r="F133" t="str">
        <f>"xii, 253 p., 25 cm., maps"</f>
        <v>xii, 253 p., 25 cm., maps</v>
      </c>
      <c r="G133" s="1">
        <v>9</v>
      </c>
      <c r="H133">
        <v>2009</v>
      </c>
      <c r="I133" t="str">
        <f t="shared" si="2"/>
        <v>9: 300 - 399</v>
      </c>
      <c r="K133" t="str">
        <f>"WB - In"</f>
        <v>WB - In</v>
      </c>
      <c r="L133" s="1">
        <v>31</v>
      </c>
      <c r="M133" t="s">
        <v>141</v>
      </c>
      <c r="O133" t="s">
        <v>28</v>
      </c>
      <c r="P133">
        <v>1</v>
      </c>
      <c r="Q133">
        <v>2</v>
      </c>
      <c r="R133">
        <v>47</v>
      </c>
      <c r="S133" s="2">
        <v>39864</v>
      </c>
      <c r="T133" s="2">
        <v>41053</v>
      </c>
      <c r="U133" s="2">
        <v>43571</v>
      </c>
      <c r="V133" s="2">
        <v>43609</v>
      </c>
    </row>
    <row r="134" spans="1:22" x14ac:dyDescent="0.2">
      <c r="A134" t="str">
        <f>"303.49 FRI"</f>
        <v>303.49 FRI</v>
      </c>
      <c r="B134" t="str">
        <f>"next 100 years: a forecast for the 21st "</f>
        <v xml:space="preserve">next 100 years: a forecast for the 21st </v>
      </c>
      <c r="C134">
        <v>327180</v>
      </c>
      <c r="D134" t="str">
        <f>"Friedman, George"</f>
        <v>Friedman, George</v>
      </c>
      <c r="F134" t="str">
        <f>"xii, 253 p., 25 cm., maps"</f>
        <v>xii, 253 p., 25 cm., maps</v>
      </c>
      <c r="G134" s="1">
        <v>15</v>
      </c>
      <c r="H134">
        <v>2009</v>
      </c>
      <c r="I134" t="str">
        <f t="shared" si="2"/>
        <v>9: 300 - 399</v>
      </c>
      <c r="K134" t="str">
        <f>"LL - In"</f>
        <v>LL - In</v>
      </c>
      <c r="L134" s="1">
        <v>22</v>
      </c>
      <c r="M134" t="s">
        <v>141</v>
      </c>
      <c r="O134" t="s">
        <v>28</v>
      </c>
      <c r="P134">
        <v>4</v>
      </c>
      <c r="Q134">
        <v>1</v>
      </c>
      <c r="R134">
        <v>11</v>
      </c>
      <c r="S134" s="2">
        <v>42124</v>
      </c>
      <c r="T134" s="2">
        <v>42177</v>
      </c>
      <c r="U134" s="2">
        <v>43411</v>
      </c>
      <c r="V134" s="2">
        <v>43337</v>
      </c>
    </row>
    <row r="135" spans="1:22" x14ac:dyDescent="0.2">
      <c r="A135" t="str">
        <f>"303.49 FRI"</f>
        <v>303.49 FRI</v>
      </c>
      <c r="B135" t="str">
        <f>"next decade: empire and republic in a ch"</f>
        <v>next decade: empire and republic in a ch</v>
      </c>
      <c r="C135">
        <v>343012</v>
      </c>
      <c r="D135" t="str">
        <f>"Friedman, George"</f>
        <v>Friedman, George</v>
      </c>
      <c r="F135" t="str">
        <f>"xxii, 243 p., 20 cm, maps"</f>
        <v>xxii, 243 p., 20 cm, maps</v>
      </c>
      <c r="G135" s="1">
        <v>17</v>
      </c>
      <c r="H135">
        <v>2012</v>
      </c>
      <c r="I135" t="str">
        <f t="shared" si="2"/>
        <v>9: 300 - 399</v>
      </c>
      <c r="K135" t="str">
        <f>"WB - In"</f>
        <v>WB - In</v>
      </c>
      <c r="L135" s="1">
        <v>22</v>
      </c>
      <c r="M135" t="s">
        <v>142</v>
      </c>
      <c r="O135" t="s">
        <v>28</v>
      </c>
      <c r="P135">
        <v>2</v>
      </c>
      <c r="Q135">
        <v>1</v>
      </c>
      <c r="R135">
        <v>3</v>
      </c>
      <c r="S135" s="2">
        <v>42955</v>
      </c>
      <c r="T135" s="2">
        <v>42961</v>
      </c>
      <c r="U135" s="2">
        <v>43571</v>
      </c>
      <c r="V135" s="2">
        <v>43609</v>
      </c>
    </row>
    <row r="136" spans="1:22" x14ac:dyDescent="0.2">
      <c r="A136" t="str">
        <f>"303.49 KHA"</f>
        <v>303.49 KHA</v>
      </c>
      <c r="B136" t="str">
        <f>"Connectography: mapping the future of gl"</f>
        <v>Connectography: mapping the future of gl</v>
      </c>
      <c r="C136">
        <v>335341</v>
      </c>
      <c r="D136" t="str">
        <f>"Khanna, Parag"</f>
        <v>Khanna, Parag</v>
      </c>
      <c r="F136" t="str">
        <f>"xxv, 466 pages, 32 unnumbered pages of plates, 25 cm, color illustrations, color maps"</f>
        <v>xxv, 466 pages, 32 unnumbered pages of plates, 25 cm, color illustrations, color maps</v>
      </c>
      <c r="G136" s="1">
        <v>16</v>
      </c>
      <c r="H136">
        <v>2016</v>
      </c>
      <c r="I136" t="str">
        <f t="shared" ref="I136:I199" si="4">"9: 300 - 399"</f>
        <v>9: 300 - 399</v>
      </c>
      <c r="K136" t="str">
        <f>"LL - In"</f>
        <v>LL - In</v>
      </c>
      <c r="L136" s="1">
        <v>35</v>
      </c>
      <c r="M136" t="s">
        <v>143</v>
      </c>
      <c r="O136" t="s">
        <v>28</v>
      </c>
      <c r="P136">
        <v>4</v>
      </c>
      <c r="Q136">
        <v>2</v>
      </c>
      <c r="R136">
        <v>9</v>
      </c>
      <c r="S136" s="2">
        <v>42522</v>
      </c>
      <c r="T136" s="2">
        <v>42701</v>
      </c>
      <c r="U136" s="2">
        <v>43571</v>
      </c>
      <c r="V136" s="2">
        <v>43640</v>
      </c>
    </row>
    <row r="137" spans="1:22" x14ac:dyDescent="0.2">
      <c r="A137" t="str">
        <f>"303.49 KLO"</f>
        <v>303.49 KLO</v>
      </c>
      <c r="B137" t="str">
        <f>"But what if we're wrong?: thinking about"</f>
        <v>But what if we're wrong?: thinking about</v>
      </c>
      <c r="C137">
        <v>336000</v>
      </c>
      <c r="D137" t="str">
        <f>"Klosterman, Chuck"</f>
        <v>Klosterman, Chuck</v>
      </c>
      <c r="F137" t="str">
        <f>"272 pages, 22 cm"</f>
        <v>272 pages, 22 cm</v>
      </c>
      <c r="G137" s="1">
        <v>16</v>
      </c>
      <c r="H137">
        <v>2016</v>
      </c>
      <c r="I137" t="str">
        <f t="shared" si="4"/>
        <v>9: 300 - 399</v>
      </c>
      <c r="K137" t="str">
        <f>"WB - In"</f>
        <v>WB - In</v>
      </c>
      <c r="L137" s="1">
        <v>31</v>
      </c>
      <c r="M137" t="s">
        <v>144</v>
      </c>
      <c r="O137" t="s">
        <v>28</v>
      </c>
      <c r="P137">
        <v>2</v>
      </c>
      <c r="Q137">
        <v>0</v>
      </c>
      <c r="R137">
        <v>8</v>
      </c>
      <c r="S137" s="2">
        <v>42557</v>
      </c>
      <c r="T137" s="2">
        <v>43586</v>
      </c>
      <c r="U137" s="2">
        <v>43264</v>
      </c>
    </row>
    <row r="138" spans="1:22" x14ac:dyDescent="0.2">
      <c r="A138" t="str">
        <f>"303.49 LEE"</f>
        <v>303.49 LEE</v>
      </c>
      <c r="B138" t="str">
        <f>"Lee Kuan Yew: the grand master's insight"</f>
        <v>Lee Kuan Yew: the grand master's insight</v>
      </c>
      <c r="C138">
        <v>266604</v>
      </c>
      <c r="D138" t="str">
        <f>"Lee, Kuan Yew,"</f>
        <v>Lee, Kuan Yew,</v>
      </c>
      <c r="F138" t="str">
        <f>"186 p., 21 cm."</f>
        <v>186 p., 21 cm.</v>
      </c>
      <c r="G138" s="1">
        <v>13</v>
      </c>
      <c r="H138">
        <v>2013</v>
      </c>
      <c r="I138" t="str">
        <f t="shared" si="4"/>
        <v>9: 300 - 399</v>
      </c>
      <c r="K138" t="str">
        <f>"LL - In"</f>
        <v>LL - In</v>
      </c>
      <c r="L138" s="1">
        <v>20</v>
      </c>
      <c r="M138" t="s">
        <v>145</v>
      </c>
      <c r="O138" t="s">
        <v>28</v>
      </c>
      <c r="P138">
        <v>3</v>
      </c>
      <c r="Q138">
        <v>0</v>
      </c>
      <c r="R138">
        <v>15</v>
      </c>
      <c r="S138" s="2">
        <v>41439</v>
      </c>
      <c r="T138" s="2">
        <v>41676</v>
      </c>
      <c r="U138" s="2">
        <v>43715</v>
      </c>
    </row>
    <row r="139" spans="1:22" x14ac:dyDescent="0.2">
      <c r="A139" t="str">
        <f>"303.49 PEN"</f>
        <v>303.49 PEN</v>
      </c>
      <c r="B139" t="str">
        <f>"Microtrends squared: the new small force"</f>
        <v>Microtrends squared: the new small force</v>
      </c>
      <c r="C139">
        <v>346812</v>
      </c>
      <c r="D139" t="str">
        <f>"Penn, Mark J."</f>
        <v>Penn, Mark J.</v>
      </c>
      <c r="F139" t="str">
        <f>"413 pages, 24 cm, illustrations"</f>
        <v>413 pages, 24 cm, illustrations</v>
      </c>
      <c r="G139" s="1">
        <v>18</v>
      </c>
      <c r="H139">
        <v>2018</v>
      </c>
      <c r="I139" t="str">
        <f t="shared" si="4"/>
        <v>9: 300 - 399</v>
      </c>
      <c r="K139" t="str">
        <f t="shared" ref="K139:K144" si="5">"WB - In"</f>
        <v>WB - In</v>
      </c>
      <c r="L139" s="1">
        <v>35</v>
      </c>
      <c r="M139" t="s">
        <v>146</v>
      </c>
      <c r="O139" t="s">
        <v>28</v>
      </c>
      <c r="P139">
        <v>6</v>
      </c>
      <c r="Q139">
        <v>1</v>
      </c>
      <c r="R139">
        <v>7</v>
      </c>
      <c r="S139" s="2">
        <v>43179</v>
      </c>
      <c r="T139" s="2">
        <v>43355</v>
      </c>
      <c r="U139" s="2">
        <v>43337</v>
      </c>
      <c r="V139" s="2">
        <v>43227</v>
      </c>
    </row>
    <row r="140" spans="1:22" x14ac:dyDescent="0.2">
      <c r="A140" t="str">
        <f>"303.49 ROT"</f>
        <v>303.49 ROT</v>
      </c>
      <c r="B140" t="str">
        <f>"great questions of tomorrow"</f>
        <v>great questions of tomorrow</v>
      </c>
      <c r="C140">
        <v>341109</v>
      </c>
      <c r="D140" t="str">
        <f>"Rothkopf, David J."</f>
        <v>Rothkopf, David J.</v>
      </c>
      <c r="F140" t="str">
        <f>"110 pages, 19 cm"</f>
        <v>110 pages, 19 cm</v>
      </c>
      <c r="G140" s="1">
        <v>17</v>
      </c>
      <c r="H140">
        <v>2017</v>
      </c>
      <c r="I140" t="str">
        <f t="shared" si="4"/>
        <v>9: 300 - 399</v>
      </c>
      <c r="K140" t="str">
        <f t="shared" si="5"/>
        <v>WB - In</v>
      </c>
      <c r="L140" s="1">
        <v>22</v>
      </c>
      <c r="M140" t="s">
        <v>147</v>
      </c>
      <c r="O140" t="s">
        <v>28</v>
      </c>
      <c r="P140">
        <v>7</v>
      </c>
      <c r="Q140">
        <v>1</v>
      </c>
      <c r="R140">
        <v>8</v>
      </c>
      <c r="S140" s="2">
        <v>42856</v>
      </c>
      <c r="T140" s="2">
        <v>43013</v>
      </c>
      <c r="U140" s="2">
        <v>43004</v>
      </c>
      <c r="V140" s="2">
        <v>42932</v>
      </c>
    </row>
    <row r="141" spans="1:22" x14ac:dyDescent="0.2">
      <c r="A141" t="str">
        <f>"303.49 TET"</f>
        <v>303.49 TET</v>
      </c>
      <c r="B141" t="str">
        <f>"Superforecasting: the art and science of"</f>
        <v>Superforecasting: the art and science of</v>
      </c>
      <c r="C141">
        <v>333695</v>
      </c>
      <c r="D141" t="str">
        <f>"Tetlock, Philip E."</f>
        <v>Tetlock, Philip E.</v>
      </c>
      <c r="F141" t="str">
        <f>"340 pages, 25 cm, illustrations"</f>
        <v>340 pages, 25 cm, illustrations</v>
      </c>
      <c r="G141" s="1">
        <v>16</v>
      </c>
      <c r="H141">
        <v>2015</v>
      </c>
      <c r="I141" t="str">
        <f t="shared" si="4"/>
        <v>9: 300 - 399</v>
      </c>
      <c r="K141" t="str">
        <f t="shared" si="5"/>
        <v>WB - In</v>
      </c>
      <c r="L141" s="1">
        <v>33</v>
      </c>
      <c r="M141" t="s">
        <v>148</v>
      </c>
      <c r="O141" t="s">
        <v>28</v>
      </c>
      <c r="P141">
        <v>2</v>
      </c>
      <c r="Q141">
        <v>0</v>
      </c>
      <c r="R141">
        <v>11</v>
      </c>
      <c r="S141" s="2">
        <v>42437</v>
      </c>
      <c r="T141" s="2">
        <v>42584</v>
      </c>
      <c r="U141" s="2">
        <v>43027</v>
      </c>
    </row>
    <row r="142" spans="1:22" x14ac:dyDescent="0.2">
      <c r="A142" t="str">
        <f>"303.49 TOF"</f>
        <v>303.49 TOF</v>
      </c>
      <c r="B142" t="str">
        <f>"Future shock"</f>
        <v>Future shock</v>
      </c>
      <c r="C142">
        <v>404528</v>
      </c>
      <c r="D142" t="str">
        <f>"Toffler, Alvin."</f>
        <v>Toffler, Alvin.</v>
      </c>
      <c r="F142" t="str">
        <f>"561 pages, 18 cm"</f>
        <v>561 pages, 18 cm</v>
      </c>
      <c r="G142" s="1">
        <v>19</v>
      </c>
      <c r="H142">
        <v>1990</v>
      </c>
      <c r="I142" t="str">
        <f t="shared" si="4"/>
        <v>9: 300 - 399</v>
      </c>
      <c r="K142" t="str">
        <f t="shared" si="5"/>
        <v>WB - In</v>
      </c>
      <c r="L142" s="1">
        <v>14</v>
      </c>
      <c r="M142" t="s">
        <v>149</v>
      </c>
      <c r="O142" t="s">
        <v>28</v>
      </c>
      <c r="P142">
        <v>1</v>
      </c>
      <c r="Q142">
        <v>0</v>
      </c>
      <c r="R142">
        <v>1</v>
      </c>
      <c r="S142" s="2">
        <v>43482</v>
      </c>
      <c r="T142" s="2">
        <v>43493</v>
      </c>
      <c r="U142" s="2">
        <v>43832</v>
      </c>
    </row>
    <row r="143" spans="1:22" x14ac:dyDescent="0.2">
      <c r="A143" t="str">
        <f>"303.6 ANA"</f>
        <v>303.6 ANA</v>
      </c>
      <c r="B143" t="str">
        <f>"anatomy of peace: resolving the heart of"</f>
        <v>anatomy of peace: resolving the heart of</v>
      </c>
      <c r="C143">
        <v>335889</v>
      </c>
      <c r="D143" t="str">
        <f>"Arbinger Institute."</f>
        <v>Arbinger Institute.</v>
      </c>
      <c r="F143" t="str">
        <f>"ix, 269 pages, 22 cm, illustrations"</f>
        <v>ix, 269 pages, 22 cm, illustrations</v>
      </c>
      <c r="G143" s="1">
        <v>16</v>
      </c>
      <c r="H143">
        <v>2015</v>
      </c>
      <c r="I143" t="str">
        <f t="shared" si="4"/>
        <v>9: 300 - 399</v>
      </c>
      <c r="K143" t="str">
        <f t="shared" si="5"/>
        <v>WB - In</v>
      </c>
      <c r="L143" s="1">
        <v>23</v>
      </c>
      <c r="M143" t="s">
        <v>150</v>
      </c>
      <c r="O143" t="s">
        <v>28</v>
      </c>
      <c r="P143">
        <v>2</v>
      </c>
      <c r="Q143">
        <v>0</v>
      </c>
      <c r="R143">
        <v>4</v>
      </c>
      <c r="S143" s="2">
        <v>42549</v>
      </c>
      <c r="T143" s="2">
        <v>42566</v>
      </c>
      <c r="U143" s="2">
        <v>43487</v>
      </c>
    </row>
    <row r="144" spans="1:22" x14ac:dyDescent="0.2">
      <c r="A144" t="str">
        <f>"303.6 BRA"</f>
        <v>303.6 BRA</v>
      </c>
      <c r="B144" t="str">
        <f>"All the dreams we've dreamed: a story of"</f>
        <v>All the dreams we've dreamed: a story of</v>
      </c>
      <c r="C144">
        <v>347877</v>
      </c>
      <c r="D144" t="str">
        <f>"Bradburd, Rus,"</f>
        <v>Bradburd, Rus,</v>
      </c>
      <c r="F144" t="str">
        <f>"265 pages, 24 cm, illustrations, maps"</f>
        <v>265 pages, 24 cm, illustrations, maps</v>
      </c>
      <c r="G144" s="1">
        <v>18</v>
      </c>
      <c r="H144">
        <v>2018</v>
      </c>
      <c r="I144" t="str">
        <f t="shared" si="4"/>
        <v>9: 300 - 399</v>
      </c>
      <c r="K144" t="str">
        <f t="shared" si="5"/>
        <v>WB - In</v>
      </c>
      <c r="L144" s="1">
        <v>32</v>
      </c>
      <c r="M144" t="s">
        <v>151</v>
      </c>
      <c r="O144" t="s">
        <v>28</v>
      </c>
      <c r="P144">
        <v>3</v>
      </c>
      <c r="Q144">
        <v>0</v>
      </c>
      <c r="R144">
        <v>3</v>
      </c>
      <c r="S144" s="2">
        <v>43249</v>
      </c>
      <c r="T144" s="2">
        <v>43411</v>
      </c>
      <c r="U144" s="2">
        <v>43338</v>
      </c>
    </row>
    <row r="145" spans="1:22" x14ac:dyDescent="0.2">
      <c r="A145" t="str">
        <f>"303.6 ENG"</f>
        <v>303.6 ENG</v>
      </c>
      <c r="B145" t="str">
        <f>"This is an uprising: how nonviolent revo"</f>
        <v>This is an uprising: how nonviolent revo</v>
      </c>
      <c r="C145">
        <v>340461</v>
      </c>
      <c r="D145" t="str">
        <f>"Engler, Mark"</f>
        <v>Engler, Mark</v>
      </c>
      <c r="F145" t="str">
        <f>"xix, 343 pages, 25 cm"</f>
        <v>xix, 343 pages, 25 cm</v>
      </c>
      <c r="G145" s="1">
        <v>17</v>
      </c>
      <c r="H145">
        <v>2016</v>
      </c>
      <c r="I145" t="str">
        <f t="shared" si="4"/>
        <v>9: 300 - 399</v>
      </c>
      <c r="K145" t="str">
        <f>"LL - In"</f>
        <v>LL - In</v>
      </c>
      <c r="L145" s="1">
        <v>32</v>
      </c>
      <c r="M145" t="s">
        <v>152</v>
      </c>
      <c r="O145" t="s">
        <v>28</v>
      </c>
      <c r="P145">
        <v>2</v>
      </c>
      <c r="Q145">
        <v>2</v>
      </c>
      <c r="R145">
        <v>4</v>
      </c>
      <c r="S145" s="2">
        <v>42821</v>
      </c>
      <c r="T145" s="2">
        <v>43270</v>
      </c>
      <c r="U145" s="2">
        <v>42911</v>
      </c>
      <c r="V145" s="2">
        <v>43337</v>
      </c>
    </row>
    <row r="146" spans="1:22" x14ac:dyDescent="0.2">
      <c r="A146" t="str">
        <f>"303.6 KLE"</f>
        <v>303.6 KLE</v>
      </c>
      <c r="B146" t="str">
        <f>"No is not enough: resisting Trump's shoc"</f>
        <v>No is not enough: resisting Trump's shoc</v>
      </c>
      <c r="C146">
        <v>342132</v>
      </c>
      <c r="D146" t="str">
        <f>"Klein, Naomi"</f>
        <v>Klein, Naomi</v>
      </c>
      <c r="F146" t="str">
        <f>"273 pages, 21 cm"</f>
        <v>273 pages, 21 cm</v>
      </c>
      <c r="G146" s="1">
        <v>17</v>
      </c>
      <c r="H146">
        <v>2017</v>
      </c>
      <c r="I146" t="str">
        <f t="shared" si="4"/>
        <v>9: 300 - 399</v>
      </c>
      <c r="K146" t="str">
        <f>"WB - In"</f>
        <v>WB - In</v>
      </c>
      <c r="L146" s="1">
        <v>22</v>
      </c>
      <c r="M146" t="s">
        <v>153</v>
      </c>
      <c r="O146" t="s">
        <v>28</v>
      </c>
      <c r="P146">
        <v>8</v>
      </c>
      <c r="Q146">
        <v>0</v>
      </c>
      <c r="R146">
        <v>8</v>
      </c>
      <c r="S146" s="2">
        <v>42912</v>
      </c>
      <c r="T146" s="2">
        <v>43159</v>
      </c>
      <c r="U146" s="2">
        <v>43152</v>
      </c>
    </row>
    <row r="147" spans="1:22" x14ac:dyDescent="0.2">
      <c r="A147" t="str">
        <f>"303.6 KLE"</f>
        <v>303.6 KLE</v>
      </c>
      <c r="B147" t="str">
        <f>"No is not enough: resisting Trump's shoc"</f>
        <v>No is not enough: resisting Trump's shoc</v>
      </c>
      <c r="C147">
        <v>342444</v>
      </c>
      <c r="D147" t="str">
        <f>"Klein, Naomi"</f>
        <v>Klein, Naomi</v>
      </c>
      <c r="F147" t="str">
        <f>"273 pages, 21 cm"</f>
        <v>273 pages, 21 cm</v>
      </c>
      <c r="G147" s="1">
        <v>17</v>
      </c>
      <c r="H147">
        <v>2017</v>
      </c>
      <c r="I147" t="str">
        <f t="shared" si="4"/>
        <v>9: 300 - 399</v>
      </c>
      <c r="K147" t="str">
        <f>"LL - In"</f>
        <v>LL - In</v>
      </c>
      <c r="L147" s="1">
        <v>22</v>
      </c>
      <c r="M147" t="s">
        <v>153</v>
      </c>
      <c r="O147" t="s">
        <v>28</v>
      </c>
      <c r="P147">
        <v>6</v>
      </c>
      <c r="Q147">
        <v>1</v>
      </c>
      <c r="R147">
        <v>7</v>
      </c>
      <c r="S147" s="2">
        <v>42929</v>
      </c>
      <c r="T147" s="2">
        <v>43102</v>
      </c>
      <c r="U147" s="2">
        <v>43356</v>
      </c>
      <c r="V147" s="2">
        <v>43337</v>
      </c>
    </row>
    <row r="148" spans="1:22" x14ac:dyDescent="0.2">
      <c r="A148" t="str">
        <f>"303.6 PIN"</f>
        <v>303.6 PIN</v>
      </c>
      <c r="B148" t="str">
        <f>"better angels of our nature: why violenc"</f>
        <v>better angels of our nature: why violenc</v>
      </c>
      <c r="C148">
        <v>303329</v>
      </c>
      <c r="D148" t="str">
        <f>"Pinker, Steven"</f>
        <v>Pinker, Steven</v>
      </c>
      <c r="F148" t="str">
        <f>"802 p."</f>
        <v>802 p.</v>
      </c>
      <c r="G148" s="1">
        <v>11</v>
      </c>
      <c r="H148">
        <v>2011</v>
      </c>
      <c r="I148" t="str">
        <f t="shared" si="4"/>
        <v>9: 300 - 399</v>
      </c>
      <c r="K148" t="str">
        <f>"LL - In"</f>
        <v>LL - In</v>
      </c>
      <c r="L148" s="1">
        <v>45</v>
      </c>
      <c r="M148" t="s">
        <v>154</v>
      </c>
      <c r="O148" t="s">
        <v>28</v>
      </c>
      <c r="P148">
        <v>10</v>
      </c>
      <c r="Q148">
        <v>0</v>
      </c>
      <c r="R148">
        <v>25</v>
      </c>
      <c r="S148" s="2">
        <v>40822</v>
      </c>
      <c r="T148" s="2">
        <v>41128</v>
      </c>
      <c r="U148" s="2">
        <v>43357</v>
      </c>
    </row>
    <row r="149" spans="1:22" x14ac:dyDescent="0.2">
      <c r="A149" t="str">
        <f>"303.6 PIN"</f>
        <v>303.6 PIN</v>
      </c>
      <c r="B149" t="str">
        <f>"better angels of our nature: why violenc"</f>
        <v>better angels of our nature: why violenc</v>
      </c>
      <c r="C149">
        <v>342045</v>
      </c>
      <c r="D149" t="str">
        <f>"Pinker, Steven"</f>
        <v>Pinker, Steven</v>
      </c>
      <c r="F149" t="str">
        <f>"802 p."</f>
        <v>802 p.</v>
      </c>
      <c r="G149" s="1">
        <v>17</v>
      </c>
      <c r="H149">
        <v>2011</v>
      </c>
      <c r="I149" t="str">
        <f t="shared" si="4"/>
        <v>9: 300 - 399</v>
      </c>
      <c r="K149" t="str">
        <f>"WB - In"</f>
        <v>WB - In</v>
      </c>
      <c r="L149" s="1">
        <v>25</v>
      </c>
      <c r="M149" t="s">
        <v>154</v>
      </c>
      <c r="O149" t="s">
        <v>28</v>
      </c>
      <c r="P149">
        <v>7</v>
      </c>
      <c r="Q149">
        <v>1</v>
      </c>
      <c r="R149">
        <v>8</v>
      </c>
      <c r="S149" s="2">
        <v>42908</v>
      </c>
      <c r="T149" s="2">
        <v>42913</v>
      </c>
      <c r="U149" s="2">
        <v>43314</v>
      </c>
      <c r="V149" s="2">
        <v>43137</v>
      </c>
    </row>
    <row r="150" spans="1:22" x14ac:dyDescent="0.2">
      <c r="A150" t="str">
        <f>"303.6 SCH"</f>
        <v>303.6 SCH</v>
      </c>
      <c r="B150" t="str">
        <f>"Conflict is not abuse: overstating harm,"</f>
        <v>Conflict is not abuse: overstating harm,</v>
      </c>
      <c r="C150">
        <v>339902</v>
      </c>
      <c r="D150" t="str">
        <f>"Schulman, Sarah,"</f>
        <v>Schulman, Sarah,</v>
      </c>
      <c r="F150" t="str">
        <f>"299 pages, 23 cm"</f>
        <v>299 pages, 23 cm</v>
      </c>
      <c r="G150" s="1">
        <v>17</v>
      </c>
      <c r="H150">
        <v>2016</v>
      </c>
      <c r="I150" t="str">
        <f t="shared" si="4"/>
        <v>9: 300 - 399</v>
      </c>
      <c r="K150" t="str">
        <f>"WB - In"</f>
        <v>WB - In</v>
      </c>
      <c r="L150" s="1">
        <v>25</v>
      </c>
      <c r="M150" t="s">
        <v>155</v>
      </c>
      <c r="O150" t="s">
        <v>28</v>
      </c>
      <c r="P150">
        <v>2</v>
      </c>
      <c r="Q150">
        <v>1</v>
      </c>
      <c r="R150">
        <v>3</v>
      </c>
      <c r="S150" s="2">
        <v>42789</v>
      </c>
      <c r="T150" s="2">
        <v>42942</v>
      </c>
      <c r="U150" s="2">
        <v>43235</v>
      </c>
      <c r="V150" s="2">
        <v>43678</v>
      </c>
    </row>
    <row r="151" spans="1:22" x14ac:dyDescent="0.2">
      <c r="A151" t="str">
        <f>"303.6 YOU"</f>
        <v>303.6 YOU</v>
      </c>
      <c r="B151" t="str">
        <f>"Another day in the death of America: a c"</f>
        <v>Another day in the death of America: a c</v>
      </c>
      <c r="C151">
        <v>338125</v>
      </c>
      <c r="D151" t="str">
        <f>"Younge, Gary"</f>
        <v>Younge, Gary</v>
      </c>
      <c r="F151" t="str">
        <f>"xxii, 267 pages, 25 cm, map"</f>
        <v>xxii, 267 pages, 25 cm, map</v>
      </c>
      <c r="G151" s="1">
        <v>16</v>
      </c>
      <c r="H151">
        <v>2016</v>
      </c>
      <c r="I151" t="str">
        <f t="shared" si="4"/>
        <v>9: 300 - 399</v>
      </c>
      <c r="K151" t="str">
        <f>"LL - In"</f>
        <v>LL - In</v>
      </c>
      <c r="L151" s="1">
        <v>31</v>
      </c>
      <c r="M151" t="s">
        <v>156</v>
      </c>
      <c r="O151" t="s">
        <v>28</v>
      </c>
      <c r="P151">
        <v>4</v>
      </c>
      <c r="Q151">
        <v>0</v>
      </c>
      <c r="R151">
        <v>8</v>
      </c>
      <c r="S151" s="2">
        <v>42675</v>
      </c>
      <c r="T151" s="2">
        <v>42837</v>
      </c>
      <c r="U151" s="2">
        <v>43417</v>
      </c>
      <c r="V151" s="2">
        <v>42708</v>
      </c>
    </row>
    <row r="152" spans="1:22" x14ac:dyDescent="0.2">
      <c r="A152" t="str">
        <f>"304 DAV"</f>
        <v>304 DAV</v>
      </c>
      <c r="B152" t="str">
        <f>"happiness industry: how the government a"</f>
        <v>happiness industry: how the government a</v>
      </c>
      <c r="C152">
        <v>402009</v>
      </c>
      <c r="D152" t="str">
        <f>"Davies, William,"</f>
        <v>Davies, William,</v>
      </c>
      <c r="F152" t="str">
        <f>"314 pages, 22 cm"</f>
        <v>314 pages, 22 cm</v>
      </c>
      <c r="G152" s="1">
        <v>18</v>
      </c>
      <c r="H152">
        <v>2015</v>
      </c>
      <c r="I152" t="str">
        <f t="shared" si="4"/>
        <v>9: 300 - 399</v>
      </c>
      <c r="K152" t="str">
        <f>"WB - In"</f>
        <v>WB - In</v>
      </c>
      <c r="L152" s="1">
        <v>22</v>
      </c>
      <c r="M152" t="s">
        <v>157</v>
      </c>
      <c r="O152" t="s">
        <v>28</v>
      </c>
      <c r="P152">
        <v>1</v>
      </c>
      <c r="Q152">
        <v>1</v>
      </c>
      <c r="R152">
        <v>2</v>
      </c>
      <c r="S152" s="2">
        <v>43271</v>
      </c>
      <c r="T152" s="2">
        <v>43277</v>
      </c>
      <c r="U152" s="2">
        <v>43307</v>
      </c>
      <c r="V152" s="2">
        <v>43352</v>
      </c>
    </row>
    <row r="153" spans="1:22" x14ac:dyDescent="0.2">
      <c r="A153" t="str">
        <f>"304.2 ART"</f>
        <v>304.2 ART</v>
      </c>
      <c r="B153" t="str">
        <f>"Arts of living on a damaged planet"</f>
        <v>Arts of living on a damaged planet</v>
      </c>
      <c r="C153">
        <v>345303</v>
      </c>
      <c r="F153" t="str">
        <f>"var pagings"</f>
        <v>var pagings</v>
      </c>
      <c r="G153" s="1">
        <v>17</v>
      </c>
      <c r="H153">
        <v>2017</v>
      </c>
      <c r="I153" t="str">
        <f t="shared" si="4"/>
        <v>9: 300 - 399</v>
      </c>
      <c r="K153" t="str">
        <f>"WB - In"</f>
        <v>WB - In</v>
      </c>
      <c r="L153" s="1">
        <v>33</v>
      </c>
      <c r="M153" t="s">
        <v>158</v>
      </c>
      <c r="O153" t="s">
        <v>28</v>
      </c>
      <c r="P153">
        <v>4</v>
      </c>
      <c r="Q153">
        <v>0</v>
      </c>
      <c r="R153">
        <v>4</v>
      </c>
      <c r="S153" s="2">
        <v>43097</v>
      </c>
      <c r="T153" s="2">
        <v>43312</v>
      </c>
      <c r="U153" s="2">
        <v>43667</v>
      </c>
    </row>
    <row r="154" spans="1:22" x14ac:dyDescent="0.2">
      <c r="A154" t="str">
        <f>"304.2 BUS"</f>
        <v>304.2 BUS</v>
      </c>
      <c r="B154" t="str">
        <f>"How to disappear: notes on invisibility "</f>
        <v xml:space="preserve">How to disappear: notes on invisibility </v>
      </c>
      <c r="C154">
        <v>352978</v>
      </c>
      <c r="D154" t="str">
        <f>"Busch, Akiko"</f>
        <v>Busch, Akiko</v>
      </c>
      <c r="F154" t="str">
        <f>"207 pages, 22 cm"</f>
        <v>207 pages, 22 cm</v>
      </c>
      <c r="G154" s="1">
        <v>19</v>
      </c>
      <c r="H154">
        <v>2019</v>
      </c>
      <c r="I154" t="str">
        <f t="shared" si="4"/>
        <v>9: 300 - 399</v>
      </c>
      <c r="K154" t="str">
        <f>"LL - In"</f>
        <v>LL - In</v>
      </c>
      <c r="L154" s="1">
        <v>31</v>
      </c>
      <c r="M154" t="s">
        <v>159</v>
      </c>
      <c r="O154" t="s">
        <v>28</v>
      </c>
      <c r="P154">
        <v>5</v>
      </c>
      <c r="Q154">
        <v>0</v>
      </c>
      <c r="R154">
        <v>5</v>
      </c>
      <c r="S154" s="2">
        <v>43515</v>
      </c>
      <c r="T154" s="2">
        <v>43682</v>
      </c>
      <c r="U154" s="2">
        <v>43666</v>
      </c>
    </row>
    <row r="155" spans="1:22" x14ac:dyDescent="0.2">
      <c r="A155" t="str">
        <f>"304.2 JEN"</f>
        <v>304.2 JEN</v>
      </c>
      <c r="B155" t="str">
        <f>"myth of human supremacy"</f>
        <v>myth of human supremacy</v>
      </c>
      <c r="C155">
        <v>337381</v>
      </c>
      <c r="D155" t="str">
        <f>"Jensen, Derrick,"</f>
        <v>Jensen, Derrick,</v>
      </c>
      <c r="F155" t="str">
        <f>"349 pages, 23 cm"</f>
        <v>349 pages, 23 cm</v>
      </c>
      <c r="G155" s="1">
        <v>16</v>
      </c>
      <c r="H155">
        <v>2016</v>
      </c>
      <c r="I155" t="str">
        <f t="shared" si="4"/>
        <v>9: 300 - 399</v>
      </c>
      <c r="K155" t="str">
        <f>"WB - In"</f>
        <v>WB - In</v>
      </c>
      <c r="L155" s="1">
        <v>30</v>
      </c>
      <c r="M155" t="s">
        <v>160</v>
      </c>
      <c r="O155" t="s">
        <v>28</v>
      </c>
      <c r="P155">
        <v>5</v>
      </c>
      <c r="Q155">
        <v>1</v>
      </c>
      <c r="R155">
        <v>12</v>
      </c>
      <c r="S155" s="2">
        <v>42628</v>
      </c>
      <c r="T155" s="2">
        <v>42830</v>
      </c>
      <c r="U155" s="2">
        <v>43561</v>
      </c>
      <c r="V155" s="2">
        <v>43104</v>
      </c>
    </row>
    <row r="156" spans="1:22" x14ac:dyDescent="0.2">
      <c r="A156" t="str">
        <f>"304.2 MCC"</f>
        <v>304.2 MCC</v>
      </c>
      <c r="B156" t="str">
        <f>"moth snowstorm: nature and joy"</f>
        <v>moth snowstorm: nature and joy</v>
      </c>
      <c r="C156">
        <v>401519</v>
      </c>
      <c r="D156" t="str">
        <f>"McCarthy, Michael"</f>
        <v>McCarthy, Michael</v>
      </c>
      <c r="F156" t="str">
        <f>"262 pages, 24 cm"</f>
        <v>262 pages, 24 cm</v>
      </c>
      <c r="G156" s="1">
        <v>18</v>
      </c>
      <c r="H156">
        <v>2015</v>
      </c>
      <c r="I156" t="str">
        <f t="shared" si="4"/>
        <v>9: 300 - 399</v>
      </c>
      <c r="K156" t="str">
        <f>"WB - In"</f>
        <v>WB - In</v>
      </c>
      <c r="L156" s="1">
        <v>24</v>
      </c>
      <c r="M156" t="s">
        <v>161</v>
      </c>
      <c r="O156" t="s">
        <v>28</v>
      </c>
      <c r="P156">
        <v>0</v>
      </c>
      <c r="Q156">
        <v>0</v>
      </c>
      <c r="R156">
        <v>0</v>
      </c>
      <c r="S156" s="2">
        <v>43249</v>
      </c>
      <c r="T156" s="2">
        <v>43287</v>
      </c>
    </row>
    <row r="157" spans="1:22" x14ac:dyDescent="0.2">
      <c r="A157" t="str">
        <f>"304.2 MON"</f>
        <v>304.2 MON</v>
      </c>
      <c r="B157" t="str">
        <f>"How did we get into this mess?: politics"</f>
        <v>How did we get into this mess?: politics</v>
      </c>
      <c r="C157">
        <v>294823</v>
      </c>
      <c r="D157" t="str">
        <f>"Monbiot, George"</f>
        <v>Monbiot, George</v>
      </c>
      <c r="F157" t="str">
        <f>"x, 342 pages, 20 cm"</f>
        <v>x, 342 pages, 20 cm</v>
      </c>
      <c r="G157" s="1">
        <v>17</v>
      </c>
      <c r="H157">
        <v>2017</v>
      </c>
      <c r="I157" t="str">
        <f t="shared" si="4"/>
        <v>9: 300 - 399</v>
      </c>
      <c r="K157" t="str">
        <f>"WB - In"</f>
        <v>WB - In</v>
      </c>
      <c r="L157" s="1">
        <v>22</v>
      </c>
      <c r="M157" t="s">
        <v>162</v>
      </c>
      <c r="O157" t="s">
        <v>28</v>
      </c>
      <c r="P157">
        <v>7</v>
      </c>
      <c r="Q157">
        <v>1</v>
      </c>
      <c r="R157">
        <v>9</v>
      </c>
      <c r="S157" s="2">
        <v>42866</v>
      </c>
      <c r="T157" s="2">
        <v>43075</v>
      </c>
      <c r="U157" s="2">
        <v>43489</v>
      </c>
      <c r="V157" s="2">
        <v>43011</v>
      </c>
    </row>
    <row r="158" spans="1:22" x14ac:dyDescent="0.2">
      <c r="A158" t="str">
        <f>"304.2 OPH"</f>
        <v>304.2 OPH</v>
      </c>
      <c r="B158" t="str">
        <f>"Immoderate greatness: why civilizations "</f>
        <v xml:space="preserve">Immoderate greatness: why civilizations </v>
      </c>
      <c r="C158">
        <v>265869</v>
      </c>
      <c r="D158" t="str">
        <f>"Ophuls, William"</f>
        <v>Ophuls, William</v>
      </c>
      <c r="F158" t="str">
        <f>"106 p."</f>
        <v>106 p.</v>
      </c>
      <c r="G158" s="1">
        <v>13</v>
      </c>
      <c r="H158">
        <v>2012</v>
      </c>
      <c r="I158" t="str">
        <f t="shared" si="4"/>
        <v>9: 300 - 399</v>
      </c>
      <c r="K158" t="str">
        <f>"WB - In"</f>
        <v>WB - In</v>
      </c>
      <c r="L158" s="1">
        <v>20</v>
      </c>
      <c r="M158" t="s">
        <v>163</v>
      </c>
      <c r="O158" t="s">
        <v>28</v>
      </c>
      <c r="P158">
        <v>1</v>
      </c>
      <c r="Q158">
        <v>1</v>
      </c>
      <c r="R158">
        <v>12</v>
      </c>
      <c r="S158" s="2">
        <v>41409</v>
      </c>
      <c r="T158" s="2">
        <v>41682</v>
      </c>
      <c r="U158" s="2">
        <v>42974</v>
      </c>
      <c r="V158" s="2">
        <v>42818</v>
      </c>
    </row>
    <row r="159" spans="1:22" x14ac:dyDescent="0.2">
      <c r="A159" t="str">
        <f>"304.2 WAL"</f>
        <v>304.2 WAL</v>
      </c>
      <c r="B159" t="str">
        <f>"uninhabitable earth: life after warming"</f>
        <v>uninhabitable earth: life after warming</v>
      </c>
      <c r="C159">
        <v>353322</v>
      </c>
      <c r="D159" t="str">
        <f>"Wallace-Wells, David"</f>
        <v>Wallace-Wells, David</v>
      </c>
      <c r="F159" t="str">
        <f>"310 pages, 25 cm"</f>
        <v>310 pages, 25 cm</v>
      </c>
      <c r="G159" s="1">
        <v>19</v>
      </c>
      <c r="H159">
        <v>2019</v>
      </c>
      <c r="I159" t="str">
        <f t="shared" si="4"/>
        <v>9: 300 - 399</v>
      </c>
      <c r="K159" t="str">
        <f>"WB - In"</f>
        <v>WB - In</v>
      </c>
      <c r="L159" s="1">
        <v>32</v>
      </c>
      <c r="M159" t="s">
        <v>164</v>
      </c>
      <c r="O159" t="s">
        <v>28</v>
      </c>
      <c r="P159">
        <v>8</v>
      </c>
      <c r="Q159">
        <v>1</v>
      </c>
      <c r="R159">
        <v>9</v>
      </c>
      <c r="S159" s="2">
        <v>43529</v>
      </c>
      <c r="T159" s="2">
        <v>43698</v>
      </c>
      <c r="U159" s="2">
        <v>43717</v>
      </c>
      <c r="V159" s="2">
        <v>43614</v>
      </c>
    </row>
    <row r="160" spans="1:22" x14ac:dyDescent="0.2">
      <c r="A160" t="str">
        <f>"304.2 WAL"</f>
        <v>304.2 WAL</v>
      </c>
      <c r="B160" t="str">
        <f>"uninhabitable earth: life after warming"</f>
        <v>uninhabitable earth: life after warming</v>
      </c>
      <c r="C160">
        <v>354016</v>
      </c>
      <c r="D160" t="str">
        <f>"Wallace-Wells, David"</f>
        <v>Wallace-Wells, David</v>
      </c>
      <c r="F160" t="str">
        <f>"310 pages, 25 cm"</f>
        <v>310 pages, 25 cm</v>
      </c>
      <c r="G160" s="1">
        <v>19</v>
      </c>
      <c r="H160">
        <v>2019</v>
      </c>
      <c r="I160" t="str">
        <f t="shared" si="4"/>
        <v>9: 300 - 399</v>
      </c>
      <c r="K160" t="str">
        <f>"LL - In"</f>
        <v>LL - In</v>
      </c>
      <c r="L160" s="1">
        <v>32</v>
      </c>
      <c r="M160" t="s">
        <v>164</v>
      </c>
      <c r="O160" t="s">
        <v>28</v>
      </c>
      <c r="P160">
        <v>7</v>
      </c>
      <c r="Q160">
        <v>0</v>
      </c>
      <c r="R160">
        <v>7</v>
      </c>
      <c r="S160" s="2">
        <v>43564</v>
      </c>
      <c r="T160" s="2">
        <v>43766</v>
      </c>
      <c r="U160" s="2">
        <v>43851</v>
      </c>
    </row>
    <row r="161" spans="1:22" x14ac:dyDescent="0.2">
      <c r="A161" t="str">
        <f>"304.6 BRI"</f>
        <v>304.6 BRI</v>
      </c>
      <c r="B161" t="str">
        <f>"Empty planet: the shock of global popula"</f>
        <v>Empty planet: the shock of global popula</v>
      </c>
      <c r="C161">
        <v>353119</v>
      </c>
      <c r="D161" t="str">
        <f>"Bricker, Darrell Jay,"</f>
        <v>Bricker, Darrell Jay,</v>
      </c>
      <c r="F161" t="str">
        <f>"288 pages, 24 cm"</f>
        <v>288 pages, 24 cm</v>
      </c>
      <c r="G161" s="1">
        <v>19</v>
      </c>
      <c r="H161">
        <v>2019</v>
      </c>
      <c r="I161" t="str">
        <f t="shared" si="4"/>
        <v>9: 300 - 399</v>
      </c>
      <c r="K161" t="str">
        <f>"LL - In"</f>
        <v>LL - In</v>
      </c>
      <c r="L161" s="1">
        <v>31</v>
      </c>
      <c r="M161" t="s">
        <v>165</v>
      </c>
      <c r="O161" t="s">
        <v>28</v>
      </c>
      <c r="P161">
        <v>4</v>
      </c>
      <c r="Q161">
        <v>0</v>
      </c>
      <c r="R161">
        <v>4</v>
      </c>
      <c r="S161" s="2">
        <v>43522</v>
      </c>
      <c r="T161" s="2">
        <v>43685</v>
      </c>
      <c r="U161" s="2">
        <v>43720</v>
      </c>
    </row>
    <row r="162" spans="1:22" x14ac:dyDescent="0.2">
      <c r="A162" t="str">
        <f>"304.6 PEA"</f>
        <v>304.6 PEA</v>
      </c>
      <c r="B162" t="str">
        <f>"life project: the extraordinary story of"</f>
        <v>life project: the extraordinary story of</v>
      </c>
      <c r="C162">
        <v>335789</v>
      </c>
      <c r="D162" t="str">
        <f>"Pearson, Helen"</f>
        <v>Pearson, Helen</v>
      </c>
      <c r="F162" t="str">
        <f>"x, 399 pages, 23 cm"</f>
        <v>x, 399 pages, 23 cm</v>
      </c>
      <c r="G162" s="1">
        <v>16</v>
      </c>
      <c r="H162">
        <v>2016</v>
      </c>
      <c r="I162" t="str">
        <f t="shared" si="4"/>
        <v>9: 300 - 399</v>
      </c>
      <c r="K162" t="str">
        <f>"WB - In"</f>
        <v>WB - In</v>
      </c>
      <c r="L162" s="1">
        <v>23</v>
      </c>
      <c r="M162" t="s">
        <v>166</v>
      </c>
      <c r="O162" t="s">
        <v>28</v>
      </c>
      <c r="P162">
        <v>1</v>
      </c>
      <c r="Q162">
        <v>1</v>
      </c>
      <c r="R162">
        <v>8</v>
      </c>
      <c r="S162" s="2">
        <v>42541</v>
      </c>
      <c r="T162" s="2">
        <v>42710</v>
      </c>
      <c r="U162" s="2">
        <v>43752</v>
      </c>
      <c r="V162" s="2">
        <v>43337</v>
      </c>
    </row>
    <row r="163" spans="1:22" x14ac:dyDescent="0.2">
      <c r="A163" t="str">
        <f>"304.6 POW"</f>
        <v>304.6 POW</v>
      </c>
      <c r="B163" t="str">
        <f>"problem from hell"": America and the age "</f>
        <v xml:space="preserve">problem from hell": America and the age </v>
      </c>
      <c r="C163">
        <v>358089</v>
      </c>
      <c r="D163" t="str">
        <f>"Power, Samantha"</f>
        <v>Power, Samantha</v>
      </c>
      <c r="F163" t="str">
        <f>"xxi, 620 pages, 24 cm, illustrations"</f>
        <v>xxi, 620 pages, 24 cm, illustrations</v>
      </c>
      <c r="G163" s="1">
        <v>19</v>
      </c>
      <c r="H163">
        <v>2013</v>
      </c>
      <c r="I163" t="str">
        <f t="shared" si="4"/>
        <v>9: 300 - 399</v>
      </c>
      <c r="K163" t="str">
        <f>"LL - In"</f>
        <v>LL - In</v>
      </c>
      <c r="L163" s="1">
        <v>28</v>
      </c>
      <c r="M163" t="s">
        <v>167</v>
      </c>
      <c r="O163" t="s">
        <v>28</v>
      </c>
      <c r="P163">
        <v>1</v>
      </c>
      <c r="Q163">
        <v>0</v>
      </c>
      <c r="R163">
        <v>1</v>
      </c>
      <c r="S163" s="2">
        <v>43740</v>
      </c>
      <c r="T163" s="2">
        <v>43748</v>
      </c>
      <c r="U163" s="2">
        <v>43752</v>
      </c>
    </row>
    <row r="164" spans="1:22" x14ac:dyDescent="0.2">
      <c r="A164" t="str">
        <f>"305.2 FUR"</f>
        <v>305.2 FUR</v>
      </c>
      <c r="B164" t="str">
        <f>"Disinherited: how Washington is betrayin"</f>
        <v>Disinherited: how Washington is betrayin</v>
      </c>
      <c r="C164">
        <v>331261</v>
      </c>
      <c r="D164" t="str">
        <f>"Furchtgott-Roth, Diana."</f>
        <v>Furchtgott-Roth, Diana.</v>
      </c>
      <c r="F164" t="str">
        <f>"152 pages, 24 cm, illustrations"</f>
        <v>152 pages, 24 cm, illustrations</v>
      </c>
      <c r="G164" s="1">
        <v>15</v>
      </c>
      <c r="H164">
        <v>2015</v>
      </c>
      <c r="I164" t="str">
        <f t="shared" si="4"/>
        <v>9: 300 - 399</v>
      </c>
      <c r="K164" t="str">
        <f>"LL - In"</f>
        <v>LL - In</v>
      </c>
      <c r="L164" s="1">
        <v>29</v>
      </c>
      <c r="M164" t="s">
        <v>168</v>
      </c>
      <c r="O164" t="s">
        <v>28</v>
      </c>
      <c r="P164">
        <v>2</v>
      </c>
      <c r="Q164">
        <v>0</v>
      </c>
      <c r="R164">
        <v>6</v>
      </c>
      <c r="S164" s="2">
        <v>42318</v>
      </c>
      <c r="T164" s="2">
        <v>42470</v>
      </c>
      <c r="U164" s="2">
        <v>43669</v>
      </c>
    </row>
    <row r="165" spans="1:22" x14ac:dyDescent="0.2">
      <c r="A165" t="str">
        <f>"305.2 PIP"</f>
        <v>305.2 PIP</v>
      </c>
      <c r="B165" t="str">
        <f>"Women rowing north: navigating life's cu"</f>
        <v>Women rowing north: navigating life's cu</v>
      </c>
      <c r="C165">
        <v>352284</v>
      </c>
      <c r="D165" t="str">
        <f>"Pipher, Mary Bray"</f>
        <v>Pipher, Mary Bray</v>
      </c>
      <c r="F165" t="str">
        <f>"262 pages, 25 cm"</f>
        <v>262 pages, 25 cm</v>
      </c>
      <c r="G165" s="1">
        <v>19</v>
      </c>
      <c r="H165">
        <v>2019</v>
      </c>
      <c r="I165" t="str">
        <f t="shared" si="4"/>
        <v>9: 300 - 399</v>
      </c>
      <c r="K165" t="str">
        <f>"WB - Out"</f>
        <v>WB - Out</v>
      </c>
      <c r="L165" s="1">
        <v>32</v>
      </c>
      <c r="M165" t="s">
        <v>169</v>
      </c>
      <c r="O165" t="s">
        <v>28</v>
      </c>
      <c r="P165">
        <v>15</v>
      </c>
      <c r="Q165">
        <v>0</v>
      </c>
      <c r="R165">
        <v>15</v>
      </c>
      <c r="S165" s="2">
        <v>43479</v>
      </c>
      <c r="T165" s="2">
        <v>43705</v>
      </c>
      <c r="U165" s="2">
        <v>43859</v>
      </c>
    </row>
    <row r="166" spans="1:22" x14ac:dyDescent="0.2">
      <c r="A166" t="str">
        <f>"305.2 PIP"</f>
        <v>305.2 PIP</v>
      </c>
      <c r="B166" t="str">
        <f>"Women rowing north: navigating life's cu"</f>
        <v>Women rowing north: navigating life's cu</v>
      </c>
      <c r="C166">
        <v>353008</v>
      </c>
      <c r="D166" t="str">
        <f>"Pipher, Mary Bray"</f>
        <v>Pipher, Mary Bray</v>
      </c>
      <c r="F166" t="str">
        <f>"262 pages, 25 cm"</f>
        <v>262 pages, 25 cm</v>
      </c>
      <c r="G166" s="1">
        <v>19</v>
      </c>
      <c r="H166">
        <v>2019</v>
      </c>
      <c r="I166" t="str">
        <f t="shared" si="4"/>
        <v>9: 300 - 399</v>
      </c>
      <c r="K166" t="str">
        <f>"LL - Out"</f>
        <v>LL - Out</v>
      </c>
      <c r="L166" s="1">
        <v>32</v>
      </c>
      <c r="M166" t="s">
        <v>169</v>
      </c>
      <c r="O166" t="s">
        <v>28</v>
      </c>
      <c r="P166">
        <v>14</v>
      </c>
      <c r="Q166">
        <v>0</v>
      </c>
      <c r="R166">
        <v>14</v>
      </c>
      <c r="S166" s="2">
        <v>43515</v>
      </c>
      <c r="T166" s="2">
        <v>43685</v>
      </c>
      <c r="U166" s="2">
        <v>43836</v>
      </c>
    </row>
    <row r="167" spans="1:22" x14ac:dyDescent="0.2">
      <c r="A167" t="str">
        <f>"305.21 BRA"</f>
        <v>305.21 BRA</v>
      </c>
      <c r="B167" t="str">
        <f>"Silent tears: a journey of hope in a Chi"</f>
        <v>Silent tears: a journey of hope in a Chi</v>
      </c>
      <c r="C167">
        <v>405085</v>
      </c>
      <c r="D167" t="str">
        <f>"Bratt, Kay."</f>
        <v>Bratt, Kay.</v>
      </c>
      <c r="F167" t="str">
        <f>"xi, 335 pages, 21 cm"</f>
        <v>xi, 335 pages, 21 cm</v>
      </c>
      <c r="G167" s="1">
        <v>19</v>
      </c>
      <c r="H167">
        <v>2011</v>
      </c>
      <c r="I167" t="str">
        <f t="shared" si="4"/>
        <v>9: 300 - 399</v>
      </c>
      <c r="K167" t="str">
        <f>"WB - In"</f>
        <v>WB - In</v>
      </c>
      <c r="L167" s="1">
        <v>21</v>
      </c>
      <c r="M167" t="s">
        <v>170</v>
      </c>
      <c r="O167" t="s">
        <v>28</v>
      </c>
      <c r="P167">
        <v>1</v>
      </c>
      <c r="Q167">
        <v>0</v>
      </c>
      <c r="R167">
        <v>1</v>
      </c>
      <c r="S167" s="2">
        <v>43523</v>
      </c>
      <c r="T167" s="2">
        <v>43532</v>
      </c>
      <c r="U167" s="2">
        <v>43566</v>
      </c>
    </row>
    <row r="168" spans="1:22" x14ac:dyDescent="0.2">
      <c r="A168" t="str">
        <f>"305.21 CAU"</f>
        <v>305.21 CAU</v>
      </c>
      <c r="B168" t="str">
        <f>"You can adopt: an adoptive families guid"</f>
        <v>You can adopt: an adoptive families guid</v>
      </c>
      <c r="C168">
        <v>288294</v>
      </c>
      <c r="D168" t="str">
        <f>"Caughman, Susan."</f>
        <v>Caughman, Susan.</v>
      </c>
      <c r="F168" t="str">
        <f>"xi, 296 p., 24 cm, ill."</f>
        <v>xi, 296 p., 24 cm, ill.</v>
      </c>
      <c r="G168" s="1">
        <v>16</v>
      </c>
      <c r="H168">
        <v>2009</v>
      </c>
      <c r="I168" t="str">
        <f t="shared" si="4"/>
        <v>9: 300 - 399</v>
      </c>
      <c r="K168" t="str">
        <f>"WB - In"</f>
        <v>WB - In</v>
      </c>
      <c r="L168" s="1">
        <v>21</v>
      </c>
      <c r="M168" t="s">
        <v>171</v>
      </c>
      <c r="O168" t="s">
        <v>28</v>
      </c>
      <c r="P168">
        <v>0</v>
      </c>
      <c r="Q168">
        <v>0</v>
      </c>
      <c r="R168">
        <v>0</v>
      </c>
      <c r="S168" s="2">
        <v>42516</v>
      </c>
      <c r="T168" s="2">
        <v>42531</v>
      </c>
    </row>
    <row r="169" spans="1:22" x14ac:dyDescent="0.2">
      <c r="A169" t="str">
        <f>"305.21 CRO"</f>
        <v>305.21 CRO</v>
      </c>
      <c r="B169" t="str">
        <f>"Thicker than blood: adoptive parenting i"</f>
        <v>Thicker than blood: adoptive parenting i</v>
      </c>
      <c r="C169">
        <v>288935</v>
      </c>
      <c r="D169" t="str">
        <f>"Crook, Marion."</f>
        <v>Crook, Marion.</v>
      </c>
      <c r="G169" s="1">
        <v>16</v>
      </c>
      <c r="I169" t="str">
        <f t="shared" si="4"/>
        <v>9: 300 - 399</v>
      </c>
      <c r="K169" t="str">
        <f>"WB - In"</f>
        <v>WB - In</v>
      </c>
      <c r="L169" s="1">
        <v>24</v>
      </c>
      <c r="M169" t="s">
        <v>172</v>
      </c>
      <c r="O169" t="s">
        <v>28</v>
      </c>
      <c r="P169">
        <v>0</v>
      </c>
      <c r="Q169">
        <v>0</v>
      </c>
      <c r="R169">
        <v>0</v>
      </c>
      <c r="S169" s="2">
        <v>42544</v>
      </c>
      <c r="T169" s="2">
        <v>42639</v>
      </c>
    </row>
    <row r="170" spans="1:22" x14ac:dyDescent="0.2">
      <c r="A170" t="str">
        <f>"305.21 MAY"</f>
        <v>305.21 MAY</v>
      </c>
      <c r="B170" t="str">
        <f>"Mine in China: your comprehensive guide "</f>
        <v xml:space="preserve">Mine in China: your comprehensive guide </v>
      </c>
      <c r="C170">
        <v>293400</v>
      </c>
      <c r="D170" t="str">
        <f>"Mayfield, Kelly"</f>
        <v>Mayfield, Kelly</v>
      </c>
      <c r="F170" t="str">
        <f>"392 p."</f>
        <v>392 p.</v>
      </c>
      <c r="G170" s="1">
        <v>17</v>
      </c>
      <c r="H170">
        <v>2016</v>
      </c>
      <c r="I170" t="str">
        <f t="shared" si="4"/>
        <v>9: 300 - 399</v>
      </c>
      <c r="K170" t="str">
        <f>"WB - In"</f>
        <v>WB - In</v>
      </c>
      <c r="L170" s="1">
        <v>20</v>
      </c>
      <c r="M170" t="s">
        <v>173</v>
      </c>
      <c r="O170" t="s">
        <v>28</v>
      </c>
      <c r="P170">
        <v>0</v>
      </c>
      <c r="Q170">
        <v>0</v>
      </c>
      <c r="R170">
        <v>0</v>
      </c>
      <c r="S170" s="2">
        <v>42782</v>
      </c>
      <c r="T170" s="2">
        <v>42790</v>
      </c>
    </row>
    <row r="171" spans="1:22" x14ac:dyDescent="0.2">
      <c r="A171" t="str">
        <f>"305.21 VER"</f>
        <v>305.21 VER</v>
      </c>
      <c r="B171" t="str">
        <f>"primal wound: understanding the adopted "</f>
        <v xml:space="preserve">primal wound: understanding the adopted </v>
      </c>
      <c r="C171">
        <v>323462</v>
      </c>
      <c r="D171" t="str">
        <f>"Verrier, Nancy Newton."</f>
        <v>Verrier, Nancy Newton.</v>
      </c>
      <c r="F171" t="str">
        <f>"xvii, 231 p., 23 cm"</f>
        <v>xvii, 231 p., 23 cm</v>
      </c>
      <c r="G171" s="1">
        <v>14</v>
      </c>
      <c r="H171">
        <v>2009</v>
      </c>
      <c r="I171" t="str">
        <f t="shared" si="4"/>
        <v>9: 300 - 399</v>
      </c>
      <c r="K171" t="str">
        <f>"WB - In"</f>
        <v>WB - In</v>
      </c>
      <c r="L171" s="1">
        <v>20</v>
      </c>
      <c r="M171" t="s">
        <v>174</v>
      </c>
      <c r="O171" t="s">
        <v>28</v>
      </c>
      <c r="P171">
        <v>1</v>
      </c>
      <c r="Q171">
        <v>1</v>
      </c>
      <c r="R171">
        <v>6</v>
      </c>
      <c r="S171" s="2">
        <v>41891</v>
      </c>
      <c r="T171" s="2">
        <v>41894</v>
      </c>
      <c r="U171" s="2">
        <v>42830</v>
      </c>
      <c r="V171" s="2">
        <v>42873</v>
      </c>
    </row>
    <row r="172" spans="1:22" x14ac:dyDescent="0.2">
      <c r="A172" t="str">
        <f>"305.23 BID"</f>
        <v>305.23 BID</v>
      </c>
      <c r="B172" t="str">
        <f>"Raising girls: how to help your daughter"</f>
        <v>Raising girls: how to help your daughter</v>
      </c>
      <c r="C172">
        <v>320117</v>
      </c>
      <c r="D172" t="str">
        <f>"Biddulph, Steve."</f>
        <v>Biddulph, Steve.</v>
      </c>
      <c r="F172" t="str">
        <f>"216 p."</f>
        <v>216 p.</v>
      </c>
      <c r="G172" s="1">
        <v>14</v>
      </c>
      <c r="H172">
        <v>2014</v>
      </c>
      <c r="I172" t="str">
        <f t="shared" si="4"/>
        <v>9: 300 - 399</v>
      </c>
      <c r="K172" t="str">
        <f>"LL - In"</f>
        <v>LL - In</v>
      </c>
      <c r="L172" s="1">
        <v>20</v>
      </c>
      <c r="M172" t="s">
        <v>175</v>
      </c>
      <c r="O172" t="s">
        <v>28</v>
      </c>
      <c r="P172">
        <v>1</v>
      </c>
      <c r="Q172">
        <v>3</v>
      </c>
      <c r="R172">
        <v>10</v>
      </c>
      <c r="S172" s="2">
        <v>41702</v>
      </c>
      <c r="T172" s="2">
        <v>41793</v>
      </c>
      <c r="U172" s="2">
        <v>43495</v>
      </c>
      <c r="V172" s="2">
        <v>43774</v>
      </c>
    </row>
    <row r="173" spans="1:22" x14ac:dyDescent="0.2">
      <c r="A173" t="str">
        <f>"305.23 BRO"</f>
        <v>305.23 BRO</v>
      </c>
      <c r="B173" t="str">
        <f>"NurtureShock: new thinking about childre"</f>
        <v>NurtureShock: new thinking about childre</v>
      </c>
      <c r="C173">
        <v>351294</v>
      </c>
      <c r="D173" t="str">
        <f>"Bronson, Po"</f>
        <v>Bronson, Po</v>
      </c>
      <c r="F173" t="str">
        <f>"xv, 336 p., 21 cm"</f>
        <v>xv, 336 p., 21 cm</v>
      </c>
      <c r="G173" s="1">
        <v>18</v>
      </c>
      <c r="H173">
        <v>2011</v>
      </c>
      <c r="I173" t="str">
        <f t="shared" si="4"/>
        <v>9: 300 - 399</v>
      </c>
      <c r="K173" t="str">
        <f>"LL - In"</f>
        <v>LL - In</v>
      </c>
      <c r="L173" s="1">
        <v>21</v>
      </c>
      <c r="M173" t="s">
        <v>176</v>
      </c>
      <c r="O173" t="s">
        <v>28</v>
      </c>
      <c r="P173">
        <v>6</v>
      </c>
      <c r="Q173">
        <v>0</v>
      </c>
      <c r="R173">
        <v>6</v>
      </c>
      <c r="S173" s="2">
        <v>43418</v>
      </c>
      <c r="T173" s="2">
        <v>43437</v>
      </c>
      <c r="U173" s="2">
        <v>43669</v>
      </c>
    </row>
    <row r="174" spans="1:22" x14ac:dyDescent="0.2">
      <c r="A174" t="str">
        <f>"305.23 CLA"</f>
        <v>305.23 CLA</v>
      </c>
      <c r="B174" t="str">
        <f>"Hurt 2.0: inside the world of today's te"</f>
        <v>Hurt 2.0: inside the world of today's te</v>
      </c>
      <c r="C174">
        <v>317929</v>
      </c>
      <c r="D174" t="str">
        <f>"Clark, Chap,"</f>
        <v>Clark, Chap,</v>
      </c>
      <c r="F174" t="str">
        <f>"xxiii, 264 p., 23 cm"</f>
        <v>xxiii, 264 p., 23 cm</v>
      </c>
      <c r="G174" s="1">
        <v>13</v>
      </c>
      <c r="H174">
        <v>2011</v>
      </c>
      <c r="I174" t="str">
        <f t="shared" si="4"/>
        <v>9: 300 - 399</v>
      </c>
      <c r="K174" t="str">
        <f>"WB - In"</f>
        <v>WB - In</v>
      </c>
      <c r="L174" s="1">
        <v>24</v>
      </c>
      <c r="M174" t="s">
        <v>177</v>
      </c>
      <c r="O174" t="s">
        <v>28</v>
      </c>
      <c r="P174">
        <v>1</v>
      </c>
      <c r="Q174">
        <v>0</v>
      </c>
      <c r="R174">
        <v>4</v>
      </c>
      <c r="S174" s="2">
        <v>41591</v>
      </c>
      <c r="T174" s="2">
        <v>41604</v>
      </c>
      <c r="U174" s="2">
        <v>42842</v>
      </c>
    </row>
    <row r="175" spans="1:22" x14ac:dyDescent="0.2">
      <c r="A175" t="str">
        <f>"305.23 ERW"</f>
        <v>305.23 ERW</v>
      </c>
      <c r="B175" t="str">
        <f>"conscious parent's guide to raising boys"</f>
        <v>conscious parent's guide to raising boys</v>
      </c>
      <c r="C175">
        <v>350063</v>
      </c>
      <c r="D175" t="str">
        <f>"Erwin, Cheryl"</f>
        <v>Erwin, Cheryl</v>
      </c>
      <c r="F175" t="str">
        <f>"223 p., 22 cm"</f>
        <v>223 p., 22 cm</v>
      </c>
      <c r="G175" s="1">
        <v>18</v>
      </c>
      <c r="H175">
        <v>2017</v>
      </c>
      <c r="I175" t="str">
        <f t="shared" si="4"/>
        <v>9: 300 - 399</v>
      </c>
      <c r="K175" t="str">
        <f>"WB - In"</f>
        <v>WB - In</v>
      </c>
      <c r="L175" s="1">
        <v>20</v>
      </c>
      <c r="M175" t="s">
        <v>178</v>
      </c>
      <c r="O175" t="s">
        <v>28</v>
      </c>
      <c r="P175">
        <v>0</v>
      </c>
      <c r="Q175">
        <v>0</v>
      </c>
      <c r="R175">
        <v>0</v>
      </c>
      <c r="S175" s="2">
        <v>43360</v>
      </c>
      <c r="T175" s="2">
        <v>43395</v>
      </c>
    </row>
    <row r="176" spans="1:22" x14ac:dyDescent="0.2">
      <c r="A176" t="str">
        <f>"305.23 GAL"</f>
        <v>305.23 GAL</v>
      </c>
      <c r="B176" t="str">
        <f>"Mind in the making: the seven essential "</f>
        <v xml:space="preserve">Mind in the making: the seven essential </v>
      </c>
      <c r="C176">
        <v>321092</v>
      </c>
      <c r="D176" t="str">
        <f>"Galinsky, Ellen."</f>
        <v>Galinsky, Ellen.</v>
      </c>
      <c r="F176" t="str">
        <f>"xv, 385 p., 23 cm, ill."</f>
        <v>xv, 385 p., 23 cm, ill.</v>
      </c>
      <c r="G176" s="1">
        <v>14</v>
      </c>
      <c r="H176">
        <v>2010</v>
      </c>
      <c r="I176" t="str">
        <f t="shared" si="4"/>
        <v>9: 300 - 399</v>
      </c>
      <c r="K176" t="str">
        <f>"LL - In"</f>
        <v>LL - In</v>
      </c>
      <c r="L176" s="1">
        <v>22</v>
      </c>
      <c r="M176" t="s">
        <v>179</v>
      </c>
      <c r="O176" t="s">
        <v>28</v>
      </c>
      <c r="P176">
        <v>3</v>
      </c>
      <c r="Q176">
        <v>0</v>
      </c>
      <c r="R176">
        <v>10</v>
      </c>
      <c r="S176" s="2">
        <v>41760</v>
      </c>
      <c r="T176" s="2">
        <v>41765</v>
      </c>
      <c r="U176" s="2">
        <v>43635</v>
      </c>
    </row>
    <row r="177" spans="1:22" x14ac:dyDescent="0.2">
      <c r="A177" t="str">
        <f>"305.23 GUR"</f>
        <v>305.23 GUR</v>
      </c>
      <c r="B177" t="str">
        <f>"purpose of boys: helping our sons find m"</f>
        <v>purpose of boys: helping our sons find m</v>
      </c>
      <c r="C177">
        <v>135918</v>
      </c>
      <c r="D177" t="str">
        <f>"Gurian, Michael"</f>
        <v>Gurian, Michael</v>
      </c>
      <c r="F177" t="str">
        <f>"248 p."</f>
        <v>248 p.</v>
      </c>
      <c r="G177" s="1">
        <v>9</v>
      </c>
      <c r="H177">
        <v>2009</v>
      </c>
      <c r="I177" t="str">
        <f t="shared" si="4"/>
        <v>9: 300 - 399</v>
      </c>
      <c r="K177" t="str">
        <f>"LL - In"</f>
        <v>LL - In</v>
      </c>
      <c r="L177" s="1">
        <v>32</v>
      </c>
      <c r="M177" t="s">
        <v>180</v>
      </c>
      <c r="O177" t="s">
        <v>28</v>
      </c>
      <c r="P177">
        <v>3</v>
      </c>
      <c r="Q177">
        <v>1</v>
      </c>
      <c r="R177">
        <v>31</v>
      </c>
      <c r="S177" s="2">
        <v>39923</v>
      </c>
      <c r="T177" s="2">
        <v>41053</v>
      </c>
      <c r="U177" s="2">
        <v>43382</v>
      </c>
      <c r="V177" s="2">
        <v>43432</v>
      </c>
    </row>
    <row r="178" spans="1:22" x14ac:dyDescent="0.2">
      <c r="A178" t="str">
        <f>"305.23 GUR"</f>
        <v>305.23 GUR</v>
      </c>
      <c r="B178" t="str">
        <f>"Saving our sons: a new path for raising "</f>
        <v xml:space="preserve">Saving our sons: a new path for raising </v>
      </c>
      <c r="C178">
        <v>343684</v>
      </c>
      <c r="D178" t="str">
        <f>"Gurian, Michael"</f>
        <v>Gurian, Michael</v>
      </c>
      <c r="F178" t="str">
        <f>"x, 328 pages, 23 cm"</f>
        <v>x, 328 pages, 23 cm</v>
      </c>
      <c r="G178" s="1">
        <v>17</v>
      </c>
      <c r="H178">
        <v>2017</v>
      </c>
      <c r="I178" t="str">
        <f t="shared" si="4"/>
        <v>9: 300 - 399</v>
      </c>
      <c r="K178" t="str">
        <f>"LL - Out"</f>
        <v>LL - Out</v>
      </c>
      <c r="L178" s="1">
        <v>25</v>
      </c>
      <c r="M178" t="s">
        <v>181</v>
      </c>
      <c r="O178" t="s">
        <v>28</v>
      </c>
      <c r="P178">
        <v>4</v>
      </c>
      <c r="Q178">
        <v>1</v>
      </c>
      <c r="R178">
        <v>5</v>
      </c>
      <c r="S178" s="2">
        <v>43004</v>
      </c>
      <c r="T178" s="2">
        <v>43011</v>
      </c>
      <c r="U178" s="2">
        <v>43829</v>
      </c>
      <c r="V178" s="2">
        <v>43781</v>
      </c>
    </row>
    <row r="179" spans="1:22" x14ac:dyDescent="0.2">
      <c r="A179" t="str">
        <f>"305.23 HAW"</f>
        <v>305.23 HAW</v>
      </c>
      <c r="B179" t="str">
        <f>"Ten conversations you must have with you"</f>
        <v>Ten conversations you must have with you</v>
      </c>
      <c r="C179">
        <v>338497</v>
      </c>
      <c r="D179" t="str">
        <f>"Hawkes, Tim"</f>
        <v>Hawkes, Tim</v>
      </c>
      <c r="F179" t="str">
        <f>"323 pages, 23 cm"</f>
        <v>323 pages, 23 cm</v>
      </c>
      <c r="G179" s="1">
        <v>16</v>
      </c>
      <c r="H179">
        <v>2016</v>
      </c>
      <c r="I179" t="str">
        <f t="shared" si="4"/>
        <v>9: 300 - 399</v>
      </c>
      <c r="K179" t="str">
        <f>"WB - In"</f>
        <v>WB - In</v>
      </c>
      <c r="L179" s="1">
        <v>20</v>
      </c>
      <c r="M179" t="s">
        <v>182</v>
      </c>
      <c r="O179" t="s">
        <v>28</v>
      </c>
      <c r="P179">
        <v>10</v>
      </c>
      <c r="Q179">
        <v>2</v>
      </c>
      <c r="R179">
        <v>14</v>
      </c>
      <c r="S179" s="2">
        <v>42695</v>
      </c>
      <c r="T179" s="2">
        <v>42963</v>
      </c>
      <c r="U179" s="2">
        <v>43617</v>
      </c>
      <c r="V179" s="2">
        <v>42970</v>
      </c>
    </row>
    <row r="180" spans="1:22" x14ac:dyDescent="0.2">
      <c r="A180" t="str">
        <f>"305.23 HOF"</f>
        <v>305.23 HOF</v>
      </c>
      <c r="B180" t="str">
        <f>"iRules: what every tech-healthy family n"</f>
        <v>iRules: what every tech-healthy family n</v>
      </c>
      <c r="C180">
        <v>408203</v>
      </c>
      <c r="D180" t="str">
        <f>"Hofmann, Janell Burley"</f>
        <v>Hofmann, Janell Burley</v>
      </c>
      <c r="F180" t="str">
        <f>"xxvi, 261 pages, 22 cm"</f>
        <v>xxvi, 261 pages, 22 cm</v>
      </c>
      <c r="G180" s="1">
        <v>19</v>
      </c>
      <c r="H180">
        <v>2014</v>
      </c>
      <c r="I180" t="str">
        <f t="shared" si="4"/>
        <v>9: 300 - 399</v>
      </c>
      <c r="K180" t="str">
        <f>"WB - In"</f>
        <v>WB - In</v>
      </c>
      <c r="L180" s="1">
        <v>23</v>
      </c>
      <c r="M180" t="s">
        <v>183</v>
      </c>
      <c r="O180" t="s">
        <v>28</v>
      </c>
      <c r="P180">
        <v>1</v>
      </c>
      <c r="Q180">
        <v>0</v>
      </c>
      <c r="R180">
        <v>1</v>
      </c>
      <c r="S180" s="2">
        <v>43756</v>
      </c>
      <c r="T180" s="2">
        <v>43767</v>
      </c>
      <c r="U180" s="2">
        <v>43773</v>
      </c>
    </row>
    <row r="181" spans="1:22" x14ac:dyDescent="0.2">
      <c r="A181" t="str">
        <f>"305.23 HOF"</f>
        <v>305.23 HOF</v>
      </c>
      <c r="B181" t="str">
        <f>"iRules: what every tech-healthy family n"</f>
        <v>iRules: what every tech-healthy family n</v>
      </c>
      <c r="C181">
        <v>358744</v>
      </c>
      <c r="D181" t="str">
        <f>"Hofmann, Janell Burley"</f>
        <v>Hofmann, Janell Burley</v>
      </c>
      <c r="F181" t="str">
        <f>"xxvi, 261 pages, 22 cm"</f>
        <v>xxvi, 261 pages, 22 cm</v>
      </c>
      <c r="G181" s="1">
        <v>19</v>
      </c>
      <c r="H181">
        <v>2014</v>
      </c>
      <c r="I181" t="str">
        <f t="shared" si="4"/>
        <v>9: 300 - 399</v>
      </c>
      <c r="K181" t="str">
        <f>"LL - In"</f>
        <v>LL - In</v>
      </c>
      <c r="L181" s="1">
        <v>23</v>
      </c>
      <c r="M181" t="s">
        <v>183</v>
      </c>
      <c r="O181" t="s">
        <v>28</v>
      </c>
      <c r="P181">
        <v>1</v>
      </c>
      <c r="Q181">
        <v>0</v>
      </c>
      <c r="R181">
        <v>1</v>
      </c>
      <c r="S181" s="2">
        <v>43760</v>
      </c>
      <c r="T181" s="2">
        <v>43766</v>
      </c>
      <c r="U181" s="2">
        <v>43768</v>
      </c>
    </row>
    <row r="182" spans="1:22" x14ac:dyDescent="0.2">
      <c r="A182" t="str">
        <f>"305.23 JAN"</f>
        <v>305.23 JAN</v>
      </c>
      <c r="B182" t="str">
        <f>"Calmer, easier, happier screen time: for"</f>
        <v>Calmer, easier, happier screen time: for</v>
      </c>
      <c r="C182">
        <v>346049</v>
      </c>
      <c r="D182" t="str">
        <f>"Janis-Norton, No�l"</f>
        <v>Janis-Norton, No�l</v>
      </c>
      <c r="F182" t="str">
        <f>"xiv, 257 pages, 20 cm"</f>
        <v>xiv, 257 pages, 20 cm</v>
      </c>
      <c r="G182" s="1">
        <v>18</v>
      </c>
      <c r="H182">
        <v>2017</v>
      </c>
      <c r="I182" t="str">
        <f t="shared" si="4"/>
        <v>9: 300 - 399</v>
      </c>
      <c r="K182" t="str">
        <f>"WB - In"</f>
        <v>WB - In</v>
      </c>
      <c r="L182" s="1">
        <v>21</v>
      </c>
      <c r="M182" t="s">
        <v>184</v>
      </c>
      <c r="O182" t="s">
        <v>28</v>
      </c>
      <c r="P182">
        <v>1</v>
      </c>
      <c r="Q182">
        <v>0</v>
      </c>
      <c r="R182">
        <v>1</v>
      </c>
      <c r="S182" s="2">
        <v>43143</v>
      </c>
      <c r="T182" s="2">
        <v>43179</v>
      </c>
      <c r="U182" s="2">
        <v>43399</v>
      </c>
    </row>
    <row r="183" spans="1:22" x14ac:dyDescent="0.2">
      <c r="A183" t="str">
        <f>"305.23 KAR"</f>
        <v>305.23 KAR</v>
      </c>
      <c r="B183" t="str">
        <f>"conscious parent's guide to raising girl"</f>
        <v>conscious parent's guide to raising girl</v>
      </c>
      <c r="C183">
        <v>353859</v>
      </c>
      <c r="D183" t="str">
        <f>"Karres, Erika V. Shearin"</f>
        <v>Karres, Erika V. Shearin</v>
      </c>
      <c r="F183" t="str">
        <f>"239 pages, 22 cm"</f>
        <v>239 pages, 22 cm</v>
      </c>
      <c r="G183" s="1">
        <v>19</v>
      </c>
      <c r="H183">
        <v>2017</v>
      </c>
      <c r="I183" t="str">
        <f t="shared" si="4"/>
        <v>9: 300 - 399</v>
      </c>
      <c r="K183" t="str">
        <f>"WB - Out"</f>
        <v>WB - Out</v>
      </c>
      <c r="L183" s="1">
        <v>20</v>
      </c>
      <c r="M183" t="s">
        <v>185</v>
      </c>
      <c r="O183" t="s">
        <v>28</v>
      </c>
      <c r="P183">
        <v>2</v>
      </c>
      <c r="Q183">
        <v>0</v>
      </c>
      <c r="R183">
        <v>2</v>
      </c>
      <c r="S183" s="2">
        <v>43556</v>
      </c>
      <c r="T183" s="2">
        <v>43626</v>
      </c>
      <c r="U183" s="2">
        <v>43859</v>
      </c>
    </row>
    <row r="184" spans="1:22" x14ac:dyDescent="0.2">
      <c r="A184" t="str">
        <f>"305.23 KIN"</f>
        <v>305.23 KIN</v>
      </c>
      <c r="B184" t="str">
        <f>"Raising Cain: protecting the emotional l"</f>
        <v>Raising Cain: protecting the emotional l</v>
      </c>
      <c r="C184">
        <v>132491</v>
      </c>
      <c r="D184" t="str">
        <f>"Kindlon, Dan"</f>
        <v>Kindlon, Dan</v>
      </c>
      <c r="F184" t="str">
        <f>"298 p."</f>
        <v>298 p.</v>
      </c>
      <c r="G184" s="1">
        <v>8</v>
      </c>
      <c r="H184">
        <v>2000</v>
      </c>
      <c r="I184" t="str">
        <f t="shared" si="4"/>
        <v>9: 300 - 399</v>
      </c>
      <c r="K184" t="str">
        <f>"LL - In"</f>
        <v>LL - In</v>
      </c>
      <c r="L184" s="1">
        <v>20</v>
      </c>
      <c r="M184" t="s">
        <v>186</v>
      </c>
      <c r="O184" t="s">
        <v>28</v>
      </c>
      <c r="P184">
        <v>3</v>
      </c>
      <c r="Q184">
        <v>1</v>
      </c>
      <c r="R184">
        <v>31</v>
      </c>
      <c r="S184" s="2">
        <v>39728</v>
      </c>
      <c r="T184" s="2">
        <v>41053</v>
      </c>
      <c r="U184" s="2">
        <v>43501</v>
      </c>
      <c r="V184" s="2">
        <v>43649</v>
      </c>
    </row>
    <row r="185" spans="1:22" x14ac:dyDescent="0.2">
      <c r="A185" t="str">
        <f>"305.23 KLE"</f>
        <v>305.23 KLE</v>
      </c>
      <c r="B185" t="str">
        <f>"How toddlers thrive: what parents can do"</f>
        <v>How toddlers thrive: what parents can do</v>
      </c>
      <c r="C185">
        <v>319930</v>
      </c>
      <c r="D185" t="str">
        <f>"Klein, Tovah P."</f>
        <v>Klein, Tovah P.</v>
      </c>
      <c r="F185" t="str">
        <f>"280 pages cm"</f>
        <v>280 pages cm</v>
      </c>
      <c r="G185" s="1">
        <v>14</v>
      </c>
      <c r="H185">
        <v>2014</v>
      </c>
      <c r="I185" t="str">
        <f t="shared" si="4"/>
        <v>9: 300 - 399</v>
      </c>
      <c r="K185" t="str">
        <f>"LL - Out"</f>
        <v>LL - Out</v>
      </c>
      <c r="L185" s="1">
        <v>30</v>
      </c>
      <c r="M185" t="s">
        <v>187</v>
      </c>
      <c r="O185" t="s">
        <v>28</v>
      </c>
      <c r="P185">
        <v>2</v>
      </c>
      <c r="Q185">
        <v>0</v>
      </c>
      <c r="R185">
        <v>9</v>
      </c>
      <c r="S185" s="2">
        <v>41694</v>
      </c>
      <c r="T185" s="2">
        <v>43586</v>
      </c>
      <c r="U185" s="2">
        <v>43853</v>
      </c>
      <c r="V185" s="2">
        <v>42527</v>
      </c>
    </row>
    <row r="186" spans="1:22" x14ac:dyDescent="0.2">
      <c r="A186" t="str">
        <f>"305.23 KLE"</f>
        <v>305.23 KLE</v>
      </c>
      <c r="B186" t="str">
        <f>"How toddlers thrive: what parents can do"</f>
        <v>How toddlers thrive: what parents can do</v>
      </c>
      <c r="C186">
        <v>322176</v>
      </c>
      <c r="D186" t="str">
        <f>"Klein, Tovah P."</f>
        <v>Klein, Tovah P.</v>
      </c>
      <c r="F186" t="str">
        <f>"280 pages cm"</f>
        <v>280 pages cm</v>
      </c>
      <c r="G186" s="1">
        <v>14</v>
      </c>
      <c r="H186">
        <v>2014</v>
      </c>
      <c r="I186" t="str">
        <f t="shared" si="4"/>
        <v>9: 300 - 399</v>
      </c>
      <c r="K186" t="str">
        <f>"WB - In"</f>
        <v>WB - In</v>
      </c>
      <c r="L186" s="1">
        <v>30</v>
      </c>
      <c r="M186" t="s">
        <v>187</v>
      </c>
      <c r="O186" t="s">
        <v>28</v>
      </c>
      <c r="P186">
        <v>1</v>
      </c>
      <c r="Q186">
        <v>0</v>
      </c>
      <c r="R186">
        <v>8</v>
      </c>
      <c r="S186" s="2">
        <v>41821</v>
      </c>
      <c r="T186" s="2">
        <v>42025</v>
      </c>
      <c r="U186" s="2">
        <v>43687</v>
      </c>
      <c r="V186" s="2">
        <v>41955</v>
      </c>
    </row>
    <row r="187" spans="1:22" x14ac:dyDescent="0.2">
      <c r="A187" t="str">
        <f>"305.23 MEE"</f>
        <v>305.23 MEE</v>
      </c>
      <c r="B187" t="str">
        <f>"Boys should be boys: 7 secrets to raisin"</f>
        <v>Boys should be boys: 7 secrets to raisin</v>
      </c>
      <c r="C187">
        <v>130582</v>
      </c>
      <c r="D187" t="str">
        <f>"Meeker, Meg"</f>
        <v>Meeker, Meg</v>
      </c>
      <c r="F187" t="str">
        <f>"287 p."</f>
        <v>287 p.</v>
      </c>
      <c r="G187" s="1">
        <v>8</v>
      </c>
      <c r="H187">
        <v>2008</v>
      </c>
      <c r="I187" t="str">
        <f t="shared" si="4"/>
        <v>9: 300 - 399</v>
      </c>
      <c r="K187" t="str">
        <f>"LL - In"</f>
        <v>LL - In</v>
      </c>
      <c r="L187" s="1">
        <v>30</v>
      </c>
      <c r="M187" t="s">
        <v>188</v>
      </c>
      <c r="O187" t="s">
        <v>28</v>
      </c>
      <c r="P187">
        <v>4</v>
      </c>
      <c r="Q187">
        <v>1</v>
      </c>
      <c r="R187">
        <v>46</v>
      </c>
      <c r="S187" s="2">
        <v>39583</v>
      </c>
      <c r="T187" s="2">
        <v>41053</v>
      </c>
      <c r="U187" s="2">
        <v>43564</v>
      </c>
      <c r="V187" s="2">
        <v>43118</v>
      </c>
    </row>
    <row r="188" spans="1:22" x14ac:dyDescent="0.2">
      <c r="A188" t="str">
        <f>"305.23 MIN"</f>
        <v>305.23 MIN</v>
      </c>
      <c r="B188" t="str">
        <f>"Raising a screen-smart kid: embrace the "</f>
        <v xml:space="preserve">Raising a screen-smart kid: embrace the </v>
      </c>
      <c r="C188">
        <v>359210</v>
      </c>
      <c r="D188" t="str">
        <f>"Miner, Julianna"</f>
        <v>Miner, Julianna</v>
      </c>
      <c r="F188" t="str">
        <f>"276 pages, 21 cm, illustrations"</f>
        <v>276 pages, 21 cm, illustrations</v>
      </c>
      <c r="G188" s="1">
        <v>19</v>
      </c>
      <c r="H188">
        <v>2019</v>
      </c>
      <c r="I188" t="str">
        <f t="shared" si="4"/>
        <v>9: 300 - 399</v>
      </c>
      <c r="K188" t="str">
        <f>"LL - In"</f>
        <v>LL - In</v>
      </c>
      <c r="L188" s="1">
        <v>21</v>
      </c>
      <c r="M188" t="s">
        <v>189</v>
      </c>
      <c r="O188" t="s">
        <v>28</v>
      </c>
      <c r="P188">
        <v>1</v>
      </c>
      <c r="Q188">
        <v>0</v>
      </c>
      <c r="R188">
        <v>1</v>
      </c>
      <c r="S188" s="2">
        <v>43782</v>
      </c>
      <c r="T188" s="2">
        <v>43791</v>
      </c>
      <c r="U188" s="2">
        <v>43805</v>
      </c>
    </row>
    <row r="189" spans="1:22" x14ac:dyDescent="0.2">
      <c r="A189" t="str">
        <f>"305.23 MIN"</f>
        <v>305.23 MIN</v>
      </c>
      <c r="B189" t="str">
        <f>"Raising a screen-smart kid: embrace the "</f>
        <v xml:space="preserve">Raising a screen-smart kid: embrace the </v>
      </c>
      <c r="C189">
        <v>359211</v>
      </c>
      <c r="D189" t="str">
        <f>"Miner, Julianna"</f>
        <v>Miner, Julianna</v>
      </c>
      <c r="F189" t="str">
        <f>"276 pages, 21 cm, illustrations"</f>
        <v>276 pages, 21 cm, illustrations</v>
      </c>
      <c r="G189" s="1">
        <v>19</v>
      </c>
      <c r="H189">
        <v>2019</v>
      </c>
      <c r="I189" t="str">
        <f t="shared" si="4"/>
        <v>9: 300 - 399</v>
      </c>
      <c r="K189" t="str">
        <f>"WB - In"</f>
        <v>WB - In</v>
      </c>
      <c r="L189" s="1">
        <v>21</v>
      </c>
      <c r="M189" t="s">
        <v>189</v>
      </c>
      <c r="O189" t="s">
        <v>28</v>
      </c>
      <c r="P189">
        <v>1</v>
      </c>
      <c r="Q189">
        <v>0</v>
      </c>
      <c r="R189">
        <v>1</v>
      </c>
      <c r="S189" s="2">
        <v>43782</v>
      </c>
      <c r="T189" s="2">
        <v>43791</v>
      </c>
      <c r="U189" s="2">
        <v>43799</v>
      </c>
    </row>
    <row r="190" spans="1:22" x14ac:dyDescent="0.2">
      <c r="A190" t="str">
        <f>"305.23 MOO"</f>
        <v>305.23 MOO</v>
      </c>
      <c r="B190" t="str">
        <f>"Theories of childhood: an introduction t"</f>
        <v>Theories of childhood: an introduction t</v>
      </c>
      <c r="C190">
        <v>330619</v>
      </c>
      <c r="D190" t="str">
        <f>"Mooney, Carol Garhart."</f>
        <v>Mooney, Carol Garhart.</v>
      </c>
      <c r="F190" t="str">
        <f>"x, 134 p., 26 cm"</f>
        <v>x, 134 p., 26 cm</v>
      </c>
      <c r="G190" s="1">
        <v>15</v>
      </c>
      <c r="H190">
        <v>2013</v>
      </c>
      <c r="I190" t="str">
        <f t="shared" si="4"/>
        <v>9: 300 - 399</v>
      </c>
      <c r="K190" t="str">
        <f>"WB - In"</f>
        <v>WB - In</v>
      </c>
      <c r="L190" s="1">
        <v>30</v>
      </c>
      <c r="M190" t="s">
        <v>190</v>
      </c>
      <c r="O190" t="s">
        <v>28</v>
      </c>
      <c r="P190">
        <v>4</v>
      </c>
      <c r="Q190">
        <v>0</v>
      </c>
      <c r="R190">
        <v>7</v>
      </c>
      <c r="S190" s="2">
        <v>42292</v>
      </c>
      <c r="T190" s="2">
        <v>42297</v>
      </c>
      <c r="U190" s="2">
        <v>43768</v>
      </c>
    </row>
    <row r="191" spans="1:22" x14ac:dyDescent="0.2">
      <c r="A191" t="str">
        <f>"305.23 NOR"</f>
        <v>305.23 NOR</v>
      </c>
      <c r="B191" t="str">
        <f>"underground girls of Kabul: in search of"</f>
        <v>underground girls of Kabul: in search of</v>
      </c>
      <c r="C191">
        <v>332083</v>
      </c>
      <c r="D191" t="str">
        <f>"Nordberg, Jenny."</f>
        <v>Nordberg, Jenny.</v>
      </c>
      <c r="F191" t="str">
        <f>"xi, 366 pages, 21 cm"</f>
        <v>xi, 366 pages, 21 cm</v>
      </c>
      <c r="G191" s="1">
        <v>15</v>
      </c>
      <c r="H191">
        <v>2015</v>
      </c>
      <c r="I191" t="str">
        <f t="shared" si="4"/>
        <v>9: 300 - 399</v>
      </c>
      <c r="K191" t="str">
        <f>"LL - In"</f>
        <v>LL - In</v>
      </c>
      <c r="L191" s="1">
        <v>20</v>
      </c>
      <c r="O191" t="s">
        <v>28</v>
      </c>
      <c r="P191">
        <v>3</v>
      </c>
      <c r="Q191">
        <v>0</v>
      </c>
      <c r="R191">
        <v>8</v>
      </c>
      <c r="S191" s="2">
        <v>42359</v>
      </c>
      <c r="T191" s="2">
        <v>42515</v>
      </c>
      <c r="U191" s="2">
        <v>43445</v>
      </c>
      <c r="V191" s="2">
        <v>42467</v>
      </c>
    </row>
    <row r="192" spans="1:22" x14ac:dyDescent="0.2">
      <c r="A192" t="str">
        <f>"305.23 ORE"</f>
        <v>305.23 ORE</v>
      </c>
      <c r="B192" t="str">
        <f>"Girls &amp; sex: navigating the complicated "</f>
        <v xml:space="preserve">Girls &amp; sex: navigating the complicated </v>
      </c>
      <c r="C192">
        <v>287063</v>
      </c>
      <c r="D192" t="str">
        <f>"Orenstein, Peggy."</f>
        <v>Orenstein, Peggy.</v>
      </c>
      <c r="F192" t="str">
        <f>"x, 303 pages, 24 cm"</f>
        <v>x, 303 pages, 24 cm</v>
      </c>
      <c r="G192" s="1">
        <v>16</v>
      </c>
      <c r="H192">
        <v>2016</v>
      </c>
      <c r="I192" t="str">
        <f t="shared" si="4"/>
        <v>9: 300 - 399</v>
      </c>
      <c r="K192" t="str">
        <f>"LL - In"</f>
        <v>LL - In</v>
      </c>
      <c r="L192" s="1">
        <v>0</v>
      </c>
      <c r="M192" t="s">
        <v>191</v>
      </c>
      <c r="O192" t="s">
        <v>28</v>
      </c>
      <c r="P192">
        <v>3</v>
      </c>
      <c r="Q192">
        <v>1</v>
      </c>
      <c r="R192">
        <v>13</v>
      </c>
      <c r="S192" s="2">
        <v>42460</v>
      </c>
      <c r="T192" s="2">
        <v>42654</v>
      </c>
      <c r="U192" s="2">
        <v>43247</v>
      </c>
      <c r="V192" s="2">
        <v>43274</v>
      </c>
    </row>
    <row r="193" spans="1:22" x14ac:dyDescent="0.2">
      <c r="A193" t="str">
        <f>"305.23 ORE"</f>
        <v>305.23 ORE</v>
      </c>
      <c r="B193" t="str">
        <f>"Girls &amp; sex: navigating the complicated "</f>
        <v xml:space="preserve">Girls &amp; sex: navigating the complicated </v>
      </c>
      <c r="C193">
        <v>340953</v>
      </c>
      <c r="D193" t="str">
        <f>"Orenstein, Peggy."</f>
        <v>Orenstein, Peggy.</v>
      </c>
      <c r="F193" t="str">
        <f>"x, 303 pages, 24 cm"</f>
        <v>x, 303 pages, 24 cm</v>
      </c>
      <c r="G193" s="1">
        <v>17</v>
      </c>
      <c r="H193">
        <v>2016</v>
      </c>
      <c r="I193" t="str">
        <f t="shared" si="4"/>
        <v>9: 300 - 399</v>
      </c>
      <c r="K193" t="str">
        <f>"WB - In"</f>
        <v>WB - In</v>
      </c>
      <c r="L193" s="1">
        <v>21</v>
      </c>
      <c r="M193" t="s">
        <v>191</v>
      </c>
      <c r="O193" t="s">
        <v>28</v>
      </c>
      <c r="P193">
        <v>4</v>
      </c>
      <c r="Q193">
        <v>2</v>
      </c>
      <c r="R193">
        <v>6</v>
      </c>
      <c r="S193" s="2">
        <v>42849</v>
      </c>
      <c r="T193" s="2">
        <v>42850</v>
      </c>
      <c r="U193" s="2">
        <v>43264</v>
      </c>
      <c r="V193" s="2">
        <v>43025</v>
      </c>
    </row>
    <row r="194" spans="1:22" x14ac:dyDescent="0.2">
      <c r="A194" t="str">
        <f>"305.23 PAL"</f>
        <v>305.23 PAL</v>
      </c>
      <c r="B194" t="str">
        <f>"Parenting in the age of attention snatch"</f>
        <v>Parenting in the age of attention snatch</v>
      </c>
      <c r="C194">
        <v>327379</v>
      </c>
      <c r="D194" t="str">
        <f>"Palladino, Lucy Jo."</f>
        <v>Palladino, Lucy Jo.</v>
      </c>
      <c r="F194" t="str">
        <f>"239 p."</f>
        <v>239 p.</v>
      </c>
      <c r="G194" s="1">
        <v>15</v>
      </c>
      <c r="H194">
        <v>2015</v>
      </c>
      <c r="I194" t="str">
        <f t="shared" si="4"/>
        <v>9: 300 - 399</v>
      </c>
      <c r="K194" t="str">
        <f>"LL - In"</f>
        <v>LL - In</v>
      </c>
      <c r="L194" s="1">
        <v>21</v>
      </c>
      <c r="M194" t="s">
        <v>192</v>
      </c>
      <c r="O194" t="s">
        <v>28</v>
      </c>
      <c r="P194">
        <v>2</v>
      </c>
      <c r="Q194">
        <v>0</v>
      </c>
      <c r="R194">
        <v>14</v>
      </c>
      <c r="S194" s="2">
        <v>42140</v>
      </c>
      <c r="T194" s="2">
        <v>42407</v>
      </c>
      <c r="U194" s="2">
        <v>43586</v>
      </c>
      <c r="V194" s="2">
        <v>42407</v>
      </c>
    </row>
    <row r="195" spans="1:22" x14ac:dyDescent="0.2">
      <c r="A195" t="str">
        <f>"305.23 PRI"</f>
        <v>305.23 PRI</v>
      </c>
      <c r="B195" t="str">
        <f>"He's not lazy: empowering your son to be"</f>
        <v>He's not lazy: empowering your son to be</v>
      </c>
      <c r="C195">
        <v>342950</v>
      </c>
      <c r="D195" t="str">
        <f>"Price, Adam,"</f>
        <v>Price, Adam,</v>
      </c>
      <c r="F195" t="str">
        <f>"xvi, 272 pages, 24 cm"</f>
        <v>xvi, 272 pages, 24 cm</v>
      </c>
      <c r="G195" s="1">
        <v>17</v>
      </c>
      <c r="H195">
        <v>2017</v>
      </c>
      <c r="I195" t="str">
        <f t="shared" si="4"/>
        <v>9: 300 - 399</v>
      </c>
      <c r="K195" t="str">
        <f>"WB - In"</f>
        <v>WB - In</v>
      </c>
      <c r="L195" s="1">
        <v>25</v>
      </c>
      <c r="O195" t="s">
        <v>28</v>
      </c>
      <c r="P195">
        <v>9</v>
      </c>
      <c r="Q195">
        <v>2</v>
      </c>
      <c r="R195">
        <v>11</v>
      </c>
      <c r="S195" s="2">
        <v>42954</v>
      </c>
      <c r="T195" s="2">
        <v>42963</v>
      </c>
      <c r="U195" s="2">
        <v>43396</v>
      </c>
      <c r="V195" s="2">
        <v>43164</v>
      </c>
    </row>
    <row r="196" spans="1:22" x14ac:dyDescent="0.2">
      <c r="A196" t="str">
        <f>"305.23 SAN"</f>
        <v>305.23 SAN</v>
      </c>
      <c r="B196" t="str">
        <f>"Preschool clues: raising smart, inspired"</f>
        <v>Preschool clues: raising smart, inspired</v>
      </c>
      <c r="C196">
        <v>346997</v>
      </c>
      <c r="D196" t="str">
        <f>"Santomero, Angela C."</f>
        <v>Santomero, Angela C.</v>
      </c>
      <c r="F196" t="str">
        <f>"xviii, 298 pages, 23 cm"</f>
        <v>xviii, 298 pages, 23 cm</v>
      </c>
      <c r="G196" s="1">
        <v>18</v>
      </c>
      <c r="H196">
        <v>2018</v>
      </c>
      <c r="I196" t="str">
        <f t="shared" si="4"/>
        <v>9: 300 - 399</v>
      </c>
      <c r="K196" t="str">
        <f>"WB - In"</f>
        <v>WB - In</v>
      </c>
      <c r="L196" s="1">
        <v>22</v>
      </c>
      <c r="M196" t="s">
        <v>193</v>
      </c>
      <c r="O196" t="s">
        <v>28</v>
      </c>
      <c r="P196">
        <v>1</v>
      </c>
      <c r="Q196">
        <v>0</v>
      </c>
      <c r="R196">
        <v>1</v>
      </c>
      <c r="S196" s="2">
        <v>43192</v>
      </c>
      <c r="T196" s="2">
        <v>43244</v>
      </c>
      <c r="U196" s="2">
        <v>43655</v>
      </c>
    </row>
    <row r="197" spans="1:22" x14ac:dyDescent="0.2">
      <c r="A197" t="str">
        <f>"305.23 SAX"</f>
        <v>305.23 SAX</v>
      </c>
      <c r="B197" t="str">
        <f>"Girls on the edge: the four factors driv"</f>
        <v>Girls on the edge: the four factors driv</v>
      </c>
      <c r="C197">
        <v>236498</v>
      </c>
      <c r="D197" t="str">
        <f>"Sax, Leonard"</f>
        <v>Sax, Leonard</v>
      </c>
      <c r="F197" t="str">
        <f>"258 p."</f>
        <v>258 p.</v>
      </c>
      <c r="G197" s="1">
        <v>10</v>
      </c>
      <c r="H197">
        <v>2010</v>
      </c>
      <c r="I197" t="str">
        <f t="shared" si="4"/>
        <v>9: 300 - 399</v>
      </c>
      <c r="K197" t="str">
        <f>"WB - In"</f>
        <v>WB - In</v>
      </c>
      <c r="L197" s="1">
        <v>31</v>
      </c>
      <c r="M197" t="s">
        <v>194</v>
      </c>
      <c r="O197" t="s">
        <v>28</v>
      </c>
      <c r="P197">
        <v>5</v>
      </c>
      <c r="Q197">
        <v>2</v>
      </c>
      <c r="R197">
        <v>32</v>
      </c>
      <c r="S197" s="2">
        <v>40289</v>
      </c>
      <c r="T197" s="2">
        <v>41053</v>
      </c>
      <c r="U197" s="2">
        <v>43473</v>
      </c>
      <c r="V197" s="2">
        <v>43164</v>
      </c>
    </row>
    <row r="198" spans="1:22" x14ac:dyDescent="0.2">
      <c r="A198" t="str">
        <f>"305.23 SAX"</f>
        <v>305.23 SAX</v>
      </c>
      <c r="B198" t="str">
        <f>"Why gender matters: what parents and tea"</f>
        <v>Why gender matters: what parents and tea</v>
      </c>
      <c r="C198">
        <v>346667</v>
      </c>
      <c r="D198" t="str">
        <f>"Sax, Leonard"</f>
        <v>Sax, Leonard</v>
      </c>
      <c r="F198" t="str">
        <f>"xiv, 383 pages, 21 cm, illustrations"</f>
        <v>xiv, 383 pages, 21 cm, illustrations</v>
      </c>
      <c r="G198" s="1">
        <v>18</v>
      </c>
      <c r="H198">
        <v>2017</v>
      </c>
      <c r="I198" t="str">
        <f t="shared" si="4"/>
        <v>9: 300 - 399</v>
      </c>
      <c r="K198" t="str">
        <f>"WB - In"</f>
        <v>WB - In</v>
      </c>
      <c r="L198" s="1">
        <v>22</v>
      </c>
      <c r="M198" t="s">
        <v>195</v>
      </c>
      <c r="O198" t="s">
        <v>28</v>
      </c>
      <c r="P198">
        <v>3</v>
      </c>
      <c r="Q198">
        <v>0</v>
      </c>
      <c r="R198">
        <v>3</v>
      </c>
      <c r="S198" s="2">
        <v>43172</v>
      </c>
      <c r="T198" s="2">
        <v>43203</v>
      </c>
      <c r="U198" s="2">
        <v>43725</v>
      </c>
    </row>
    <row r="199" spans="1:22" x14ac:dyDescent="0.2">
      <c r="A199" t="str">
        <f>"305.23 SHA"</f>
        <v>305.23 SHA</v>
      </c>
      <c r="B199" t="str">
        <f>"new childhood: raising kids to thrive in"</f>
        <v>new childhood: raising kids to thrive in</v>
      </c>
      <c r="C199">
        <v>352079</v>
      </c>
      <c r="D199" t="str">
        <f>"Shapiro, Jordan."</f>
        <v>Shapiro, Jordan.</v>
      </c>
      <c r="F199" t="str">
        <f>"290 p."</f>
        <v>290 p.</v>
      </c>
      <c r="G199" s="1">
        <v>19</v>
      </c>
      <c r="H199">
        <v>2018</v>
      </c>
      <c r="I199" t="str">
        <f t="shared" si="4"/>
        <v>9: 300 - 399</v>
      </c>
      <c r="K199" t="str">
        <f>"LL - In"</f>
        <v>LL - In</v>
      </c>
      <c r="L199" s="1">
        <v>33</v>
      </c>
      <c r="M199" t="s">
        <v>196</v>
      </c>
      <c r="O199" t="s">
        <v>28</v>
      </c>
      <c r="P199">
        <v>6</v>
      </c>
      <c r="Q199">
        <v>0</v>
      </c>
      <c r="R199">
        <v>6</v>
      </c>
      <c r="S199" s="2">
        <v>43467</v>
      </c>
      <c r="T199" s="2">
        <v>43719</v>
      </c>
      <c r="U199" s="2">
        <v>43681</v>
      </c>
    </row>
    <row r="200" spans="1:22" x14ac:dyDescent="0.2">
      <c r="A200" t="str">
        <f>"305.23 TWE"</f>
        <v>305.23 TWE</v>
      </c>
      <c r="B200" t="str">
        <f>"iGEN: why today's super-connected kids a"</f>
        <v>iGEN: why today's super-connected kids a</v>
      </c>
      <c r="C200">
        <v>343612</v>
      </c>
      <c r="D200" t="str">
        <f>"Twenge, Jean M.,"</f>
        <v>Twenge, Jean M.,</v>
      </c>
      <c r="F200" t="str">
        <f>"342 p."</f>
        <v>342 p.</v>
      </c>
      <c r="G200" s="1">
        <v>17</v>
      </c>
      <c r="H200">
        <v>2017</v>
      </c>
      <c r="I200" t="str">
        <f t="shared" ref="I200:I263" si="6">"9: 300 - 399"</f>
        <v>9: 300 - 399</v>
      </c>
      <c r="K200" t="str">
        <f>"WB - In"</f>
        <v>WB - In</v>
      </c>
      <c r="L200" s="1">
        <v>32</v>
      </c>
      <c r="M200" t="s">
        <v>197</v>
      </c>
      <c r="O200" t="s">
        <v>28</v>
      </c>
      <c r="P200">
        <v>12</v>
      </c>
      <c r="Q200">
        <v>0</v>
      </c>
      <c r="R200">
        <v>12</v>
      </c>
      <c r="S200" s="2">
        <v>42991</v>
      </c>
      <c r="T200" s="2">
        <v>43194</v>
      </c>
      <c r="U200" s="2">
        <v>43843</v>
      </c>
    </row>
    <row r="201" spans="1:22" x14ac:dyDescent="0.2">
      <c r="A201" t="str">
        <f>"305.23 TWE"</f>
        <v>305.23 TWE</v>
      </c>
      <c r="B201" t="str">
        <f>"iGEN: why today's super-connected kids a"</f>
        <v>iGEN: why today's super-connected kids a</v>
      </c>
      <c r="C201">
        <v>352285</v>
      </c>
      <c r="D201" t="str">
        <f>"Twenge, Jean M.,"</f>
        <v>Twenge, Jean M.,</v>
      </c>
      <c r="F201" t="str">
        <f>"342 p."</f>
        <v>342 p.</v>
      </c>
      <c r="G201" s="1">
        <v>19</v>
      </c>
      <c r="H201">
        <v>2017</v>
      </c>
      <c r="I201" t="str">
        <f t="shared" si="6"/>
        <v>9: 300 - 399</v>
      </c>
      <c r="K201" t="str">
        <f>"LL - In"</f>
        <v>LL - In</v>
      </c>
      <c r="L201" s="1">
        <v>23</v>
      </c>
      <c r="M201" t="s">
        <v>197</v>
      </c>
      <c r="O201" t="s">
        <v>28</v>
      </c>
      <c r="P201">
        <v>2</v>
      </c>
      <c r="Q201">
        <v>1</v>
      </c>
      <c r="R201">
        <v>3</v>
      </c>
      <c r="S201" s="2">
        <v>43479</v>
      </c>
      <c r="T201" s="2">
        <v>43489</v>
      </c>
      <c r="U201" s="2">
        <v>43774</v>
      </c>
      <c r="V201" s="2">
        <v>43523</v>
      </c>
    </row>
    <row r="202" spans="1:22" x14ac:dyDescent="0.2">
      <c r="A202" t="str">
        <f>"305.23 TWO"</f>
        <v>305.23 TWO</v>
      </c>
      <c r="B202" t="str">
        <f>"2 billion under 20: how millennials are "</f>
        <v xml:space="preserve">2 billion under 20: how millennials are </v>
      </c>
      <c r="C202">
        <v>329362</v>
      </c>
      <c r="F202" t="str">
        <f>"xviii, 334 pages, 25 cm"</f>
        <v>xviii, 334 pages, 25 cm</v>
      </c>
      <c r="G202" s="1">
        <v>15</v>
      </c>
      <c r="H202">
        <v>2015</v>
      </c>
      <c r="I202" t="str">
        <f t="shared" si="6"/>
        <v>9: 300 - 399</v>
      </c>
      <c r="K202" t="str">
        <f>"LL - In"</f>
        <v>LL - In</v>
      </c>
      <c r="L202" s="1">
        <v>31</v>
      </c>
      <c r="M202" t="s">
        <v>198</v>
      </c>
      <c r="O202" t="s">
        <v>28</v>
      </c>
      <c r="P202">
        <v>3</v>
      </c>
      <c r="Q202">
        <v>0</v>
      </c>
      <c r="R202">
        <v>13</v>
      </c>
      <c r="S202" s="2">
        <v>42233</v>
      </c>
      <c r="T202" s="2">
        <v>42491</v>
      </c>
      <c r="U202" s="2">
        <v>43698</v>
      </c>
      <c r="V202" s="2">
        <v>42339</v>
      </c>
    </row>
    <row r="203" spans="1:22" x14ac:dyDescent="0.2">
      <c r="A203" t="str">
        <f>"305.23 WHI"</f>
        <v>305.23 WHI</v>
      </c>
      <c r="B203" t="str">
        <f>"8 keys to end bullying: strategies for p"</f>
        <v>8 keys to end bullying: strategies for p</v>
      </c>
      <c r="C203">
        <v>323450</v>
      </c>
      <c r="D203" t="str">
        <f>"Whitson, Signe."</f>
        <v>Whitson, Signe.</v>
      </c>
      <c r="F203" t="str">
        <f>"xvii, 218 pages, 24 cm"</f>
        <v>xvii, 218 pages, 24 cm</v>
      </c>
      <c r="G203" s="1">
        <v>14</v>
      </c>
      <c r="H203">
        <v>2014</v>
      </c>
      <c r="I203" t="str">
        <f t="shared" si="6"/>
        <v>9: 300 - 399</v>
      </c>
      <c r="K203" t="str">
        <f>"LL - In"</f>
        <v>LL - In</v>
      </c>
      <c r="L203" s="1">
        <v>25</v>
      </c>
      <c r="M203" t="s">
        <v>199</v>
      </c>
      <c r="O203" t="s">
        <v>28</v>
      </c>
      <c r="P203">
        <v>2</v>
      </c>
      <c r="Q203">
        <v>0</v>
      </c>
      <c r="R203">
        <v>10</v>
      </c>
      <c r="S203" s="2">
        <v>41891</v>
      </c>
      <c r="T203" s="2">
        <v>42107</v>
      </c>
      <c r="U203" s="2">
        <v>42983</v>
      </c>
    </row>
    <row r="204" spans="1:22" x14ac:dyDescent="0.2">
      <c r="A204" t="str">
        <f>"305.234 ANT"</f>
        <v>305.234 ANT</v>
      </c>
      <c r="B204" t="str">
        <f>"Little girls can be mean: four steps to "</f>
        <v xml:space="preserve">Little girls can be mean: four steps to </v>
      </c>
      <c r="C204">
        <v>148106</v>
      </c>
      <c r="D204" t="str">
        <f>"Anthony, Michelle."</f>
        <v>Anthony, Michelle.</v>
      </c>
      <c r="F204" t="str">
        <f>"xxii, 282 p., 21 cm., ill."</f>
        <v>xxii, 282 p., 21 cm., ill.</v>
      </c>
      <c r="G204" s="1">
        <v>11</v>
      </c>
      <c r="H204">
        <v>2010</v>
      </c>
      <c r="I204" t="str">
        <f t="shared" si="6"/>
        <v>9: 300 - 399</v>
      </c>
      <c r="K204" t="str">
        <f>"WB - In"</f>
        <v>WB - In</v>
      </c>
      <c r="L204" s="1">
        <v>20</v>
      </c>
      <c r="M204" t="s">
        <v>200</v>
      </c>
      <c r="O204" t="s">
        <v>28</v>
      </c>
      <c r="P204">
        <v>6</v>
      </c>
      <c r="Q204">
        <v>0</v>
      </c>
      <c r="R204">
        <v>16</v>
      </c>
      <c r="S204" s="2">
        <v>40585</v>
      </c>
      <c r="T204" s="2">
        <v>41053</v>
      </c>
      <c r="U204" s="2">
        <v>43555</v>
      </c>
      <c r="V204" s="2">
        <v>42594</v>
      </c>
    </row>
    <row r="205" spans="1:22" x14ac:dyDescent="0.2">
      <c r="A205" t="str">
        <f>"305.235 DAM"</f>
        <v>305.235 DAM</v>
      </c>
      <c r="B205" t="str">
        <f>"Untangled: guiding teenage girls through"</f>
        <v>Untangled: guiding teenage girls through</v>
      </c>
      <c r="C205">
        <v>333093</v>
      </c>
      <c r="D205" t="str">
        <f>"Damour, Lisa,"</f>
        <v>Damour, Lisa,</v>
      </c>
      <c r="F205" t="str">
        <f>"326 p."</f>
        <v>326 p.</v>
      </c>
      <c r="G205" s="1">
        <v>16</v>
      </c>
      <c r="H205">
        <v>2016</v>
      </c>
      <c r="I205" t="str">
        <f t="shared" si="6"/>
        <v>9: 300 - 399</v>
      </c>
      <c r="K205" t="str">
        <f>"LL - Out"</f>
        <v>LL - Out</v>
      </c>
      <c r="L205" s="1">
        <v>32</v>
      </c>
      <c r="M205" t="s">
        <v>201</v>
      </c>
      <c r="O205" t="s">
        <v>28</v>
      </c>
      <c r="P205">
        <v>19</v>
      </c>
      <c r="Q205">
        <v>5</v>
      </c>
      <c r="R205">
        <v>33</v>
      </c>
      <c r="S205" s="2">
        <v>42411</v>
      </c>
      <c r="T205" s="2">
        <v>42600</v>
      </c>
      <c r="U205" s="2">
        <v>43842</v>
      </c>
      <c r="V205" s="2">
        <v>43815</v>
      </c>
    </row>
    <row r="206" spans="1:22" x14ac:dyDescent="0.2">
      <c r="A206" t="str">
        <f>"305.235 DAM"</f>
        <v>305.235 DAM</v>
      </c>
      <c r="B206" t="str">
        <f>"Untangled: guiding teenage girls through"</f>
        <v>Untangled: guiding teenage girls through</v>
      </c>
      <c r="C206">
        <v>341379</v>
      </c>
      <c r="D206" t="str">
        <f>"Damour, Lisa,"</f>
        <v>Damour, Lisa,</v>
      </c>
      <c r="F206" t="str">
        <f>"326 p."</f>
        <v>326 p.</v>
      </c>
      <c r="G206" s="1">
        <v>17</v>
      </c>
      <c r="H206">
        <v>2016</v>
      </c>
      <c r="I206" t="str">
        <f t="shared" si="6"/>
        <v>9: 300 - 399</v>
      </c>
      <c r="K206" t="str">
        <f>"WB - Out"</f>
        <v>WB - Out</v>
      </c>
      <c r="L206" s="1">
        <v>32</v>
      </c>
      <c r="M206" t="s">
        <v>201</v>
      </c>
      <c r="O206" t="s">
        <v>28</v>
      </c>
      <c r="P206">
        <v>15</v>
      </c>
      <c r="Q206">
        <v>0</v>
      </c>
      <c r="R206">
        <v>15</v>
      </c>
      <c r="S206" s="2">
        <v>42873</v>
      </c>
      <c r="T206" s="2">
        <v>42879</v>
      </c>
      <c r="U206" s="2">
        <v>43859</v>
      </c>
    </row>
    <row r="207" spans="1:22" x14ac:dyDescent="0.2">
      <c r="A207" t="str">
        <f>"305.235 DOB"</f>
        <v>305.235 DOB</v>
      </c>
      <c r="B207" t="str">
        <f>"Bringing up boys: shaping the next gener"</f>
        <v>Bringing up boys: shaping the next gener</v>
      </c>
      <c r="C207">
        <v>351358</v>
      </c>
      <c r="D207" t="str">
        <f>"Dobson, James C."</f>
        <v>Dobson, James C.</v>
      </c>
      <c r="F207" t="str">
        <f>"x, 269 p., 21 cm"</f>
        <v>x, 269 p., 21 cm</v>
      </c>
      <c r="G207" s="1">
        <v>18</v>
      </c>
      <c r="H207">
        <v>2014</v>
      </c>
      <c r="I207" t="str">
        <f t="shared" si="6"/>
        <v>9: 300 - 399</v>
      </c>
      <c r="K207" t="str">
        <f>"WB - In"</f>
        <v>WB - In</v>
      </c>
      <c r="L207" s="1">
        <v>22</v>
      </c>
      <c r="M207" t="s">
        <v>202</v>
      </c>
      <c r="O207" t="s">
        <v>28</v>
      </c>
      <c r="P207">
        <v>2</v>
      </c>
      <c r="Q207">
        <v>0</v>
      </c>
      <c r="R207">
        <v>2</v>
      </c>
      <c r="S207" s="2">
        <v>43424</v>
      </c>
      <c r="T207" s="2">
        <v>43437</v>
      </c>
      <c r="U207" s="2">
        <v>43623</v>
      </c>
    </row>
    <row r="208" spans="1:22" x14ac:dyDescent="0.2">
      <c r="A208" t="str">
        <f>"305.235 DOB"</f>
        <v>305.235 DOB</v>
      </c>
      <c r="B208" t="str">
        <f>"Bringing up girls"</f>
        <v>Bringing up girls</v>
      </c>
      <c r="C208">
        <v>236217</v>
      </c>
      <c r="D208" t="str">
        <f>"Dobson, James C."</f>
        <v>Dobson, James C.</v>
      </c>
      <c r="F208" t="str">
        <f>"xi, 285 p."</f>
        <v>xi, 285 p.</v>
      </c>
      <c r="G208" s="1">
        <v>10</v>
      </c>
      <c r="H208">
        <v>2010</v>
      </c>
      <c r="I208" t="str">
        <f t="shared" si="6"/>
        <v>9: 300 - 399</v>
      </c>
      <c r="K208" t="str">
        <f>"WB - In"</f>
        <v>WB - In</v>
      </c>
      <c r="L208" s="1">
        <v>31</v>
      </c>
      <c r="M208" t="s">
        <v>203</v>
      </c>
      <c r="O208" t="s">
        <v>28</v>
      </c>
      <c r="P208">
        <v>1</v>
      </c>
      <c r="Q208">
        <v>0</v>
      </c>
      <c r="R208">
        <v>31</v>
      </c>
      <c r="S208" s="2">
        <v>40289</v>
      </c>
      <c r="T208" s="2">
        <v>41053</v>
      </c>
      <c r="U208" s="2">
        <v>43153</v>
      </c>
    </row>
    <row r="209" spans="1:22" x14ac:dyDescent="0.2">
      <c r="A209" t="str">
        <f>"305.235 MAN"</f>
        <v>305.235 MAN</v>
      </c>
      <c r="B209" t="str">
        <f>"How to feel good: 20 things teens can do"</f>
        <v>How to feel good: 20 things teens can do</v>
      </c>
      <c r="C209">
        <v>307038</v>
      </c>
      <c r="D209" t="str">
        <f>"Mangan, Tricia."</f>
        <v>Mangan, Tricia.</v>
      </c>
      <c r="F209" t="str">
        <f>"125 p., 22 cm."</f>
        <v>125 p., 22 cm.</v>
      </c>
      <c r="G209" s="1">
        <v>12</v>
      </c>
      <c r="H209">
        <v>2012</v>
      </c>
      <c r="I209" t="str">
        <f t="shared" si="6"/>
        <v>9: 300 - 399</v>
      </c>
      <c r="K209" t="str">
        <f>"WB - In"</f>
        <v>WB - In</v>
      </c>
      <c r="L209" s="1">
        <v>18</v>
      </c>
      <c r="M209" t="s">
        <v>204</v>
      </c>
      <c r="O209" t="s">
        <v>28</v>
      </c>
      <c r="P209">
        <v>2</v>
      </c>
      <c r="Q209">
        <v>0</v>
      </c>
      <c r="R209">
        <v>16</v>
      </c>
      <c r="S209" s="2">
        <v>41017</v>
      </c>
      <c r="T209" s="2">
        <v>41053</v>
      </c>
      <c r="U209" s="2">
        <v>42824</v>
      </c>
      <c r="V209" s="2">
        <v>41961</v>
      </c>
    </row>
    <row r="210" spans="1:22" x14ac:dyDescent="0.2">
      <c r="A210" t="str">
        <f>"305.235 ODD"</f>
        <v>305.235 ODD</v>
      </c>
      <c r="B210" t="str">
        <f>"Odd girl speaks out: girls write about b"</f>
        <v>Odd girl speaks out: girls write about b</v>
      </c>
      <c r="C210">
        <v>313018</v>
      </c>
      <c r="F210" t="str">
        <f>"199 p."</f>
        <v>199 p.</v>
      </c>
      <c r="G210" s="1">
        <v>13</v>
      </c>
      <c r="H210">
        <v>2004</v>
      </c>
      <c r="I210" t="str">
        <f t="shared" si="6"/>
        <v>9: 300 - 399</v>
      </c>
      <c r="K210" t="str">
        <f>"WB - In"</f>
        <v>WB - In</v>
      </c>
      <c r="L210" s="1">
        <v>18</v>
      </c>
      <c r="M210" t="s">
        <v>205</v>
      </c>
      <c r="O210" t="s">
        <v>28</v>
      </c>
      <c r="P210">
        <v>2</v>
      </c>
      <c r="Q210">
        <v>0</v>
      </c>
      <c r="R210">
        <v>7</v>
      </c>
      <c r="S210" s="2">
        <v>41348</v>
      </c>
      <c r="T210" s="2">
        <v>41351</v>
      </c>
      <c r="U210" s="2">
        <v>43231</v>
      </c>
    </row>
    <row r="211" spans="1:22" x14ac:dyDescent="0.2">
      <c r="A211" t="str">
        <f>"305.235 PAR"</f>
        <v>305.235 PAR</v>
      </c>
      <c r="B211" t="str">
        <f>"heart of a boy: celebrating the strength"</f>
        <v>heart of a boy: celebrating the strength</v>
      </c>
      <c r="C211">
        <v>353876</v>
      </c>
      <c r="D211" t="str">
        <f>"Parker, Kate T."</f>
        <v>Parker, Kate T.</v>
      </c>
      <c r="F211" t="str">
        <f>"249 p."</f>
        <v>249 p.</v>
      </c>
      <c r="G211" s="1">
        <v>19</v>
      </c>
      <c r="H211">
        <v>2019</v>
      </c>
      <c r="I211" t="str">
        <f t="shared" si="6"/>
        <v>9: 300 - 399</v>
      </c>
      <c r="K211" t="str">
        <f>"LL - In"</f>
        <v>LL - In</v>
      </c>
      <c r="L211" s="1">
        <v>24</v>
      </c>
      <c r="M211" t="s">
        <v>206</v>
      </c>
      <c r="O211" t="s">
        <v>28</v>
      </c>
      <c r="P211">
        <v>3</v>
      </c>
      <c r="Q211">
        <v>1</v>
      </c>
      <c r="R211">
        <v>4</v>
      </c>
      <c r="S211" s="2">
        <v>43556</v>
      </c>
      <c r="T211" s="2">
        <v>43649</v>
      </c>
      <c r="U211" s="2">
        <v>43635</v>
      </c>
      <c r="V211" s="2">
        <v>43655</v>
      </c>
    </row>
    <row r="212" spans="1:22" x14ac:dyDescent="0.2">
      <c r="A212" t="str">
        <f>"305.235 PAR"</f>
        <v>305.235 PAR</v>
      </c>
      <c r="B212" t="str">
        <f>"Strong is the new pretty: a celebration "</f>
        <v xml:space="preserve">Strong is the new pretty: a celebration </v>
      </c>
      <c r="C212">
        <v>293885</v>
      </c>
      <c r="D212" t="str">
        <f>"Parker, Kate T."</f>
        <v>Parker, Kate T.</v>
      </c>
      <c r="F212" t="str">
        <f>"250 pages, 24 cm, color illustrations"</f>
        <v>250 pages, 24 cm, color illustrations</v>
      </c>
      <c r="G212" s="1">
        <v>17</v>
      </c>
      <c r="H212">
        <v>2017</v>
      </c>
      <c r="I212" t="str">
        <f t="shared" si="6"/>
        <v>9: 300 - 399</v>
      </c>
      <c r="K212" t="str">
        <f>"LL - In"</f>
        <v>LL - In</v>
      </c>
      <c r="L212" s="1">
        <v>23</v>
      </c>
      <c r="M212" t="s">
        <v>207</v>
      </c>
      <c r="O212" t="s">
        <v>28</v>
      </c>
      <c r="P212">
        <v>6</v>
      </c>
      <c r="Q212">
        <v>0</v>
      </c>
      <c r="R212">
        <v>6</v>
      </c>
      <c r="S212" s="2">
        <v>42810</v>
      </c>
      <c r="T212" s="2">
        <v>43060</v>
      </c>
      <c r="U212" s="2">
        <v>43207</v>
      </c>
    </row>
    <row r="213" spans="1:22" x14ac:dyDescent="0.2">
      <c r="A213" t="str">
        <f>"305.235 PAR"</f>
        <v>305.235 PAR</v>
      </c>
      <c r="B213" t="str">
        <f>"Strong is the new pretty: a celebration "</f>
        <v xml:space="preserve">Strong is the new pretty: a celebration </v>
      </c>
      <c r="C213">
        <v>344340</v>
      </c>
      <c r="D213" t="str">
        <f>"Parker, Kate T."</f>
        <v>Parker, Kate T.</v>
      </c>
      <c r="F213" t="str">
        <f>"250 pages, 24 cm, color illustrations"</f>
        <v>250 pages, 24 cm, color illustrations</v>
      </c>
      <c r="G213" s="1">
        <v>17</v>
      </c>
      <c r="H213">
        <v>2017</v>
      </c>
      <c r="I213" t="str">
        <f t="shared" si="6"/>
        <v>9: 300 - 399</v>
      </c>
      <c r="K213" t="str">
        <f>"WB - In"</f>
        <v>WB - In</v>
      </c>
      <c r="L213" s="1">
        <v>23</v>
      </c>
      <c r="M213" t="s">
        <v>207</v>
      </c>
      <c r="O213" t="s">
        <v>28</v>
      </c>
      <c r="P213">
        <v>13</v>
      </c>
      <c r="Q213">
        <v>2</v>
      </c>
      <c r="R213">
        <v>15</v>
      </c>
      <c r="S213" s="2">
        <v>43032</v>
      </c>
      <c r="T213" s="2">
        <v>43229</v>
      </c>
      <c r="U213" s="2">
        <v>43213</v>
      </c>
      <c r="V213" s="2">
        <v>43376</v>
      </c>
    </row>
    <row r="214" spans="1:22" x14ac:dyDescent="0.2">
      <c r="A214" t="str">
        <f>"305.235 PIP"</f>
        <v>305.235 PIP</v>
      </c>
      <c r="B214" t="str">
        <f>"Reviving Ophelia: saving the selves of a"</f>
        <v>Reviving Ophelia: saving the selves of a</v>
      </c>
      <c r="C214">
        <v>307216</v>
      </c>
      <c r="D214" t="str">
        <f>"Pipher, Mary Bray"</f>
        <v>Pipher, Mary Bray</v>
      </c>
      <c r="F214" t="str">
        <f>"303 p., 21 cm."</f>
        <v>303 p., 21 cm.</v>
      </c>
      <c r="G214" s="1">
        <v>12</v>
      </c>
      <c r="H214">
        <v>2005</v>
      </c>
      <c r="I214" t="str">
        <f t="shared" si="6"/>
        <v>9: 300 - 399</v>
      </c>
      <c r="K214" t="str">
        <f>"WB - Out"</f>
        <v>WB - Out</v>
      </c>
      <c r="L214" s="1">
        <v>21</v>
      </c>
      <c r="M214" t="s">
        <v>208</v>
      </c>
      <c r="O214" t="s">
        <v>28</v>
      </c>
      <c r="P214">
        <v>10</v>
      </c>
      <c r="Q214">
        <v>1</v>
      </c>
      <c r="R214">
        <v>25</v>
      </c>
      <c r="S214" s="2">
        <v>41030</v>
      </c>
      <c r="T214" s="2">
        <v>41053</v>
      </c>
      <c r="U214" s="2">
        <v>43859</v>
      </c>
      <c r="V214" s="2">
        <v>43399</v>
      </c>
    </row>
    <row r="215" spans="1:22" x14ac:dyDescent="0.2">
      <c r="A215" t="str">
        <f>"305.235 SIM"</f>
        <v>305.235 SIM</v>
      </c>
      <c r="B215" t="str">
        <f>"Enough as she is: how to help girls move"</f>
        <v>Enough as she is: how to help girls move</v>
      </c>
      <c r="C215">
        <v>346539</v>
      </c>
      <c r="D215" t="str">
        <f>"Simmons, Rachel"</f>
        <v>Simmons, Rachel</v>
      </c>
      <c r="F215" t="str">
        <f>"xxiv, 270 pages, 24 cm"</f>
        <v>xxiv, 270 pages, 24 cm</v>
      </c>
      <c r="G215" s="1">
        <v>18</v>
      </c>
      <c r="H215">
        <v>2018</v>
      </c>
      <c r="I215" t="str">
        <f t="shared" si="6"/>
        <v>9: 300 - 399</v>
      </c>
      <c r="K215" t="str">
        <f>"WB - In"</f>
        <v>WB - In</v>
      </c>
      <c r="L215" s="1">
        <v>33</v>
      </c>
      <c r="M215" t="s">
        <v>209</v>
      </c>
      <c r="O215" t="s">
        <v>28</v>
      </c>
      <c r="P215">
        <v>8</v>
      </c>
      <c r="Q215">
        <v>3</v>
      </c>
      <c r="R215">
        <v>11</v>
      </c>
      <c r="S215" s="2">
        <v>43165</v>
      </c>
      <c r="T215" s="2">
        <v>43404</v>
      </c>
      <c r="U215" s="2">
        <v>43366</v>
      </c>
      <c r="V215" s="2">
        <v>43207</v>
      </c>
    </row>
    <row r="216" spans="1:22" x14ac:dyDescent="0.2">
      <c r="A216" t="str">
        <f>"305.235 SIM"</f>
        <v>305.235 SIM</v>
      </c>
      <c r="B216" t="str">
        <f>"Odd girl out: the hidden culture of aggr"</f>
        <v>Odd girl out: the hidden culture of aggr</v>
      </c>
      <c r="C216">
        <v>335563</v>
      </c>
      <c r="D216" t="str">
        <f>"Simmons, Rachel"</f>
        <v>Simmons, Rachel</v>
      </c>
      <c r="F216" t="str">
        <f>"xix, 412 p., 21 cm"</f>
        <v>xix, 412 p., 21 cm</v>
      </c>
      <c r="G216" s="1">
        <v>16</v>
      </c>
      <c r="H216">
        <v>2011</v>
      </c>
      <c r="I216" t="str">
        <f t="shared" si="6"/>
        <v>9: 300 - 399</v>
      </c>
      <c r="K216" t="str">
        <f>"WB - In"</f>
        <v>WB - In</v>
      </c>
      <c r="L216" s="1">
        <v>20</v>
      </c>
      <c r="M216" t="s">
        <v>210</v>
      </c>
      <c r="O216" t="s">
        <v>28</v>
      </c>
      <c r="P216">
        <v>5</v>
      </c>
      <c r="Q216">
        <v>0</v>
      </c>
      <c r="R216">
        <v>9</v>
      </c>
      <c r="S216" s="2">
        <v>42528</v>
      </c>
      <c r="T216" s="2">
        <v>42538</v>
      </c>
      <c r="U216" s="2">
        <v>43413</v>
      </c>
    </row>
    <row r="217" spans="1:22" x14ac:dyDescent="0.2">
      <c r="A217" t="str">
        <f>"305.235 WIL"</f>
        <v>305.235 WIL</v>
      </c>
      <c r="B217" t="str">
        <f>"How to hug a hedgehog: 12 keys for conne"</f>
        <v>How to hug a hedgehog: 12 keys for conne</v>
      </c>
      <c r="C217">
        <v>342489</v>
      </c>
      <c r="D217" t="str">
        <f>"Wilcox, Brad"</f>
        <v>Wilcox, Brad</v>
      </c>
      <c r="F217" t="str">
        <f>"159 pages, 23 cm"</f>
        <v>159 pages, 23 cm</v>
      </c>
      <c r="G217" s="1">
        <v>17</v>
      </c>
      <c r="H217">
        <v>2014</v>
      </c>
      <c r="I217" t="str">
        <f t="shared" si="6"/>
        <v>9: 300 - 399</v>
      </c>
      <c r="K217" t="str">
        <f>"LL - In"</f>
        <v>LL - In</v>
      </c>
      <c r="L217" s="1">
        <v>20</v>
      </c>
      <c r="M217" t="s">
        <v>211</v>
      </c>
      <c r="O217" t="s">
        <v>28</v>
      </c>
      <c r="P217">
        <v>2</v>
      </c>
      <c r="Q217">
        <v>0</v>
      </c>
      <c r="R217">
        <v>2</v>
      </c>
      <c r="S217" s="2">
        <v>42928</v>
      </c>
      <c r="T217" s="2">
        <v>42941</v>
      </c>
      <c r="U217" s="2">
        <v>43506</v>
      </c>
    </row>
    <row r="218" spans="1:22" x14ac:dyDescent="0.2">
      <c r="A218" t="str">
        <f>"305.24 BLA"</f>
        <v>305.24 BLA</v>
      </c>
      <c r="B218" t="str">
        <f>"Life after college: the complete guide t"</f>
        <v>Life after college: the complete guide t</v>
      </c>
      <c r="C218">
        <v>322690</v>
      </c>
      <c r="D218" t="str">
        <f>"Blake, Jenny."</f>
        <v>Blake, Jenny.</v>
      </c>
      <c r="F218" t="str">
        <f>"293 p., 23 cm"</f>
        <v>293 p., 23 cm</v>
      </c>
      <c r="G218" s="1">
        <v>14</v>
      </c>
      <c r="H218">
        <v>2011</v>
      </c>
      <c r="I218" t="str">
        <f t="shared" si="6"/>
        <v>9: 300 - 399</v>
      </c>
      <c r="K218" t="str">
        <f>"WB - In"</f>
        <v>WB - In</v>
      </c>
      <c r="L218" s="1">
        <v>22</v>
      </c>
      <c r="M218" t="s">
        <v>212</v>
      </c>
      <c r="O218" t="s">
        <v>28</v>
      </c>
      <c r="P218">
        <v>1</v>
      </c>
      <c r="Q218">
        <v>0</v>
      </c>
      <c r="R218">
        <v>4</v>
      </c>
      <c r="S218" s="2">
        <v>41848</v>
      </c>
      <c r="T218" s="2">
        <v>41891</v>
      </c>
      <c r="U218" s="2">
        <v>43670</v>
      </c>
      <c r="V218" s="2">
        <v>42071</v>
      </c>
    </row>
    <row r="219" spans="1:22" x14ac:dyDescent="0.2">
      <c r="A219" t="str">
        <f>"305.24 FRA"</f>
        <v>305.24 FRA</v>
      </c>
      <c r="B219" t="str">
        <f>"What should I do with the rest of my lif"</f>
        <v>What should I do with the rest of my lif</v>
      </c>
      <c r="C219">
        <v>145682</v>
      </c>
      <c r="D219" t="str">
        <f>"Frankel, Bruce,"</f>
        <v>Frankel, Bruce,</v>
      </c>
      <c r="F219" t="str">
        <f>"ix, 290 p., 24 cm."</f>
        <v>ix, 290 p., 24 cm.</v>
      </c>
      <c r="G219" s="1">
        <v>10</v>
      </c>
      <c r="H219">
        <v>2010</v>
      </c>
      <c r="I219" t="str">
        <f t="shared" si="6"/>
        <v>9: 300 - 399</v>
      </c>
      <c r="K219" t="str">
        <f>"WB - In"</f>
        <v>WB - In</v>
      </c>
      <c r="L219" s="1">
        <v>31</v>
      </c>
      <c r="M219" t="s">
        <v>213</v>
      </c>
      <c r="O219" t="s">
        <v>28</v>
      </c>
      <c r="P219">
        <v>3</v>
      </c>
      <c r="Q219">
        <v>0</v>
      </c>
      <c r="R219">
        <v>30</v>
      </c>
      <c r="S219" s="2">
        <v>40459</v>
      </c>
      <c r="T219" s="2">
        <v>41053</v>
      </c>
      <c r="U219" s="2">
        <v>43743</v>
      </c>
      <c r="V219" s="2">
        <v>42137</v>
      </c>
    </row>
    <row r="220" spans="1:22" x14ac:dyDescent="0.2">
      <c r="A220" t="str">
        <f>"305.24 JAY"</f>
        <v>305.24 JAY</v>
      </c>
      <c r="B220" t="str">
        <f>"defining decade: why your twenties matte"</f>
        <v>defining decade: why your twenties matte</v>
      </c>
      <c r="C220">
        <v>307177</v>
      </c>
      <c r="D220" t="str">
        <f>"Jay, Meg."</f>
        <v>Jay, Meg.</v>
      </c>
      <c r="F220" t="str">
        <f>"236 p."</f>
        <v>236 p.</v>
      </c>
      <c r="G220" s="1">
        <v>12</v>
      </c>
      <c r="H220">
        <v>2012</v>
      </c>
      <c r="I220" t="str">
        <f t="shared" si="6"/>
        <v>9: 300 - 399</v>
      </c>
      <c r="K220" t="str">
        <f>"WB - Out"</f>
        <v>WB - Out</v>
      </c>
      <c r="L220" s="1">
        <v>28</v>
      </c>
      <c r="M220" t="s">
        <v>214</v>
      </c>
      <c r="O220" t="s">
        <v>28</v>
      </c>
      <c r="P220">
        <v>6</v>
      </c>
      <c r="Q220">
        <v>1</v>
      </c>
      <c r="R220">
        <v>27</v>
      </c>
      <c r="S220" s="2">
        <v>41030</v>
      </c>
      <c r="T220" s="2">
        <v>41213</v>
      </c>
      <c r="U220" s="2">
        <v>43837</v>
      </c>
      <c r="V220" s="2">
        <v>43168</v>
      </c>
    </row>
    <row r="221" spans="1:22" x14ac:dyDescent="0.2">
      <c r="A221" t="str">
        <f>"305.24 JAY"</f>
        <v>305.24 JAY</v>
      </c>
      <c r="B221" t="str">
        <f>"defining decade: why your twenties matte"</f>
        <v>defining decade: why your twenties matte</v>
      </c>
      <c r="C221">
        <v>357280</v>
      </c>
      <c r="D221" t="str">
        <f>"Jay, Meg."</f>
        <v>Jay, Meg.</v>
      </c>
      <c r="F221" t="str">
        <f>"236 p."</f>
        <v>236 p.</v>
      </c>
      <c r="G221" s="1">
        <v>19</v>
      </c>
      <c r="H221">
        <v>2012</v>
      </c>
      <c r="I221" t="str">
        <f t="shared" si="6"/>
        <v>9: 300 - 399</v>
      </c>
      <c r="K221" t="str">
        <f>"LL - In"</f>
        <v>LL - In</v>
      </c>
      <c r="L221" s="1">
        <v>22</v>
      </c>
      <c r="M221" t="s">
        <v>214</v>
      </c>
      <c r="O221" t="s">
        <v>28</v>
      </c>
      <c r="P221">
        <v>0</v>
      </c>
      <c r="Q221">
        <v>0</v>
      </c>
      <c r="R221">
        <v>0</v>
      </c>
      <c r="S221" s="2">
        <v>43711</v>
      </c>
      <c r="T221" s="2">
        <v>43726</v>
      </c>
    </row>
    <row r="222" spans="1:22" x14ac:dyDescent="0.2">
      <c r="A222" t="str">
        <f>"305.24 LEI"</f>
        <v>305.24 LEI</v>
      </c>
      <c r="B222" t="str">
        <f>"Life reimagined: discovering your new li"</f>
        <v>Life reimagined: discovering your new li</v>
      </c>
      <c r="C222">
        <v>317182</v>
      </c>
      <c r="D222" t="str">
        <f>"Leider, Richard."</f>
        <v>Leider, Richard.</v>
      </c>
      <c r="F222" t="str">
        <f>"ix, 173 pages, 23 cm, illustrations"</f>
        <v>ix, 173 pages, 23 cm, illustrations</v>
      </c>
      <c r="G222" s="1">
        <v>13</v>
      </c>
      <c r="H222">
        <v>2013</v>
      </c>
      <c r="I222" t="str">
        <f t="shared" si="6"/>
        <v>9: 300 - 399</v>
      </c>
      <c r="K222" t="str">
        <f>"WB - In"</f>
        <v>WB - In</v>
      </c>
      <c r="L222" s="1">
        <v>22</v>
      </c>
      <c r="M222" t="s">
        <v>215</v>
      </c>
      <c r="O222" t="s">
        <v>28</v>
      </c>
      <c r="P222">
        <v>7</v>
      </c>
      <c r="Q222">
        <v>0</v>
      </c>
      <c r="R222">
        <v>26</v>
      </c>
      <c r="S222" s="2">
        <v>41557</v>
      </c>
      <c r="T222" s="2">
        <v>42039</v>
      </c>
      <c r="U222" s="2">
        <v>43771</v>
      </c>
      <c r="V222" s="2">
        <v>42484</v>
      </c>
    </row>
    <row r="223" spans="1:22" x14ac:dyDescent="0.2">
      <c r="A223" t="str">
        <f>"305.24 LEI"</f>
        <v>305.24 LEI</v>
      </c>
      <c r="B223" t="str">
        <f>"Life reimagined: discovering your new li"</f>
        <v>Life reimagined: discovering your new li</v>
      </c>
      <c r="C223">
        <v>319437</v>
      </c>
      <c r="D223" t="str">
        <f>"Leider, Richard."</f>
        <v>Leider, Richard.</v>
      </c>
      <c r="F223" t="str">
        <f>"ix, 173 pages, 23 cm, illustrations"</f>
        <v>ix, 173 pages, 23 cm, illustrations</v>
      </c>
      <c r="G223" s="1">
        <v>14</v>
      </c>
      <c r="H223">
        <v>2013</v>
      </c>
      <c r="I223" t="str">
        <f t="shared" si="6"/>
        <v>9: 300 - 399</v>
      </c>
      <c r="K223" t="str">
        <f>"LL - In"</f>
        <v>LL - In</v>
      </c>
      <c r="L223" s="1">
        <v>22</v>
      </c>
      <c r="M223" t="s">
        <v>215</v>
      </c>
      <c r="O223" t="s">
        <v>28</v>
      </c>
      <c r="P223">
        <v>3</v>
      </c>
      <c r="Q223">
        <v>0</v>
      </c>
      <c r="R223">
        <v>7</v>
      </c>
      <c r="S223" s="2">
        <v>41662</v>
      </c>
      <c r="T223" s="2">
        <v>41674</v>
      </c>
      <c r="U223" s="2">
        <v>43643</v>
      </c>
      <c r="V223" s="2">
        <v>42436</v>
      </c>
    </row>
    <row r="224" spans="1:22" x14ac:dyDescent="0.2">
      <c r="A224" t="str">
        <f>"305.24 RUN"</f>
        <v>305.24 RUN</v>
      </c>
      <c r="B224" t="str">
        <f>"Choose your own adulthood: a small book "</f>
        <v xml:space="preserve">Choose your own adulthood: a small book </v>
      </c>
      <c r="C224">
        <v>347552</v>
      </c>
      <c r="D224" t="str">
        <f>"Runkel, Hal Edward"</f>
        <v>Runkel, Hal Edward</v>
      </c>
      <c r="F224" t="str">
        <f>"xii, 146 pages, 19 cm, illustrations"</f>
        <v>xii, 146 pages, 19 cm, illustrations</v>
      </c>
      <c r="G224" s="1">
        <v>18</v>
      </c>
      <c r="H224">
        <v>2016</v>
      </c>
      <c r="I224" t="str">
        <f t="shared" si="6"/>
        <v>9: 300 - 399</v>
      </c>
      <c r="K224" t="str">
        <f>"WB - In"</f>
        <v>WB - In</v>
      </c>
      <c r="L224" s="1">
        <v>21</v>
      </c>
      <c r="M224" t="s">
        <v>216</v>
      </c>
      <c r="O224" t="s">
        <v>28</v>
      </c>
      <c r="P224">
        <v>0</v>
      </c>
      <c r="Q224">
        <v>0</v>
      </c>
      <c r="R224">
        <v>0</v>
      </c>
      <c r="S224" s="2">
        <v>43228</v>
      </c>
      <c r="T224" s="2">
        <v>43237</v>
      </c>
    </row>
    <row r="225" spans="1:22" x14ac:dyDescent="0.2">
      <c r="A225" t="str">
        <f>"305.24 SAS"</f>
        <v>305.24 SAS</v>
      </c>
      <c r="B225" t="str">
        <f>"vanishing American adult: our coming-of-"</f>
        <v>vanishing American adult: our coming-of-</v>
      </c>
      <c r="C225">
        <v>341634</v>
      </c>
      <c r="D225" t="str">
        <f>"Sasse, Benjamin E."</f>
        <v>Sasse, Benjamin E.</v>
      </c>
      <c r="F225" t="str">
        <f>"306 pages, 25 cm, illustrations"</f>
        <v>306 pages, 25 cm, illustrations</v>
      </c>
      <c r="G225" s="1">
        <v>17</v>
      </c>
      <c r="H225">
        <v>2017</v>
      </c>
      <c r="I225" t="str">
        <f t="shared" si="6"/>
        <v>9: 300 - 399</v>
      </c>
      <c r="K225" t="str">
        <f>"LL - In"</f>
        <v>LL - In</v>
      </c>
      <c r="L225" s="1">
        <v>33</v>
      </c>
      <c r="M225" t="s">
        <v>217</v>
      </c>
      <c r="O225" t="s">
        <v>28</v>
      </c>
      <c r="P225">
        <v>15</v>
      </c>
      <c r="Q225">
        <v>0</v>
      </c>
      <c r="R225">
        <v>15</v>
      </c>
      <c r="S225" s="2">
        <v>42886</v>
      </c>
      <c r="T225" s="2">
        <v>43096</v>
      </c>
      <c r="U225" s="2">
        <v>43636</v>
      </c>
    </row>
    <row r="226" spans="1:22" x14ac:dyDescent="0.2">
      <c r="A226" t="str">
        <f>"305.24 WIL"</f>
        <v>305.24 WIL</v>
      </c>
      <c r="B226" t="str">
        <f>"age of miracles: embracing the new midli"</f>
        <v>age of miracles: embracing the new midli</v>
      </c>
      <c r="C226">
        <v>223074</v>
      </c>
      <c r="D226" t="str">
        <f>"Williamson, Marianne"</f>
        <v>Williamson, Marianne</v>
      </c>
      <c r="F226" t="str">
        <f>"185 p."</f>
        <v>185 p.</v>
      </c>
      <c r="G226" s="1">
        <v>9</v>
      </c>
      <c r="H226">
        <v>2008</v>
      </c>
      <c r="I226" t="str">
        <f t="shared" si="6"/>
        <v>9: 300 - 399</v>
      </c>
      <c r="K226" t="str">
        <f>"WB - In"</f>
        <v>WB - In</v>
      </c>
      <c r="L226" s="1">
        <v>20</v>
      </c>
      <c r="M226" t="s">
        <v>218</v>
      </c>
      <c r="O226" t="s">
        <v>28</v>
      </c>
      <c r="P226">
        <v>3</v>
      </c>
      <c r="Q226">
        <v>0</v>
      </c>
      <c r="R226">
        <v>10</v>
      </c>
      <c r="S226" s="2">
        <v>39910</v>
      </c>
      <c r="T226" s="2">
        <v>41053</v>
      </c>
      <c r="U226" s="2">
        <v>43418</v>
      </c>
      <c r="V226" s="2">
        <v>42562</v>
      </c>
    </row>
    <row r="227" spans="1:22" x14ac:dyDescent="0.2">
      <c r="A227" t="str">
        <f>"305.26 FRE"</f>
        <v>305.26 FRE</v>
      </c>
      <c r="B227" t="str">
        <f>"How to live forever: the enduring power "</f>
        <v xml:space="preserve">How to live forever: the enduring power </v>
      </c>
      <c r="C227">
        <v>352113</v>
      </c>
      <c r="D227" t="str">
        <f>"Freedman, Marc"</f>
        <v>Freedman, Marc</v>
      </c>
      <c r="F227" t="str">
        <f>"xii, 202 pages, 22 cm"</f>
        <v>xii, 202 pages, 22 cm</v>
      </c>
      <c r="G227" s="1">
        <v>19</v>
      </c>
      <c r="H227">
        <v>2018</v>
      </c>
      <c r="I227" t="str">
        <f t="shared" si="6"/>
        <v>9: 300 - 399</v>
      </c>
      <c r="K227" t="str">
        <f>"WB - In"</f>
        <v>WB - In</v>
      </c>
      <c r="L227" s="1">
        <v>32</v>
      </c>
      <c r="M227" t="s">
        <v>219</v>
      </c>
      <c r="O227" t="s">
        <v>28</v>
      </c>
      <c r="P227">
        <v>5</v>
      </c>
      <c r="Q227">
        <v>1</v>
      </c>
      <c r="R227">
        <v>6</v>
      </c>
      <c r="S227" s="2">
        <v>43468</v>
      </c>
      <c r="T227" s="2">
        <v>43656</v>
      </c>
      <c r="U227" s="2">
        <v>43647</v>
      </c>
      <c r="V227" s="2">
        <v>43607</v>
      </c>
    </row>
    <row r="228" spans="1:22" x14ac:dyDescent="0.2">
      <c r="A228" t="str">
        <f>"305.26 JEN"</f>
        <v>305.26 JEN</v>
      </c>
      <c r="B228" t="str">
        <f>"Disrupt aging: a bold new path to living"</f>
        <v>Disrupt aging: a bold new path to living</v>
      </c>
      <c r="C228">
        <v>335127</v>
      </c>
      <c r="D228" t="str">
        <f>"Jenkins, Jo Ann"</f>
        <v>Jenkins, Jo Ann</v>
      </c>
      <c r="F228" t="str">
        <f>"vi, 265 pages, 22 cm, illustrations"</f>
        <v>vi, 265 pages, 22 cm, illustrations</v>
      </c>
      <c r="G228" s="1">
        <v>16</v>
      </c>
      <c r="H228">
        <v>2016</v>
      </c>
      <c r="I228" t="str">
        <f t="shared" si="6"/>
        <v>9: 300 - 399</v>
      </c>
      <c r="K228" t="str">
        <f>"WB - In"</f>
        <v>WB - In</v>
      </c>
      <c r="L228" s="1">
        <v>32</v>
      </c>
      <c r="M228" t="s">
        <v>220</v>
      </c>
      <c r="O228" t="s">
        <v>28</v>
      </c>
      <c r="P228">
        <v>1</v>
      </c>
      <c r="Q228">
        <v>0</v>
      </c>
      <c r="R228">
        <v>9</v>
      </c>
      <c r="S228" s="2">
        <v>42506</v>
      </c>
      <c r="T228" s="2">
        <v>42717</v>
      </c>
      <c r="U228" s="2">
        <v>43707</v>
      </c>
      <c r="V228" s="2">
        <v>42679</v>
      </c>
    </row>
    <row r="229" spans="1:22" x14ac:dyDescent="0.2">
      <c r="A229" t="str">
        <f>"305.26 KAM"</f>
        <v>305.26 KAM</v>
      </c>
      <c r="B229" t="str">
        <f>"Design your age: what's best about you n"</f>
        <v>Design your age: what's best about you n</v>
      </c>
      <c r="C229">
        <v>287715</v>
      </c>
      <c r="D229" t="str">
        <f>"Kamin, Tuck"</f>
        <v>Kamin, Tuck</v>
      </c>
      <c r="G229" s="1">
        <v>16</v>
      </c>
      <c r="H229">
        <v>2015</v>
      </c>
      <c r="I229" t="str">
        <f t="shared" si="6"/>
        <v>9: 300 - 399</v>
      </c>
      <c r="K229" t="str">
        <f>"LL - In"</f>
        <v>LL - In</v>
      </c>
      <c r="L229" s="1">
        <v>35</v>
      </c>
      <c r="M229" t="s">
        <v>221</v>
      </c>
      <c r="O229" t="s">
        <v>28</v>
      </c>
      <c r="P229">
        <v>1</v>
      </c>
      <c r="Q229">
        <v>0</v>
      </c>
      <c r="R229">
        <v>7</v>
      </c>
      <c r="S229" s="2">
        <v>42480</v>
      </c>
      <c r="T229" s="2">
        <v>42654</v>
      </c>
      <c r="U229" s="2">
        <v>43722</v>
      </c>
      <c r="V229" s="2">
        <v>42654</v>
      </c>
    </row>
    <row r="230" spans="1:22" x14ac:dyDescent="0.2">
      <c r="A230" t="str">
        <f>"305.26 LEL"</f>
        <v>305.26 LEL</v>
      </c>
      <c r="B230" t="str">
        <f>"Happiness is a choice you make: lessons "</f>
        <v xml:space="preserve">Happiness is a choice you make: lessons </v>
      </c>
      <c r="C230">
        <v>299842</v>
      </c>
      <c r="D230" t="str">
        <f>"Leland, John"</f>
        <v>Leland, John</v>
      </c>
      <c r="F230" t="str">
        <f>"242 pages, 22 cm, illustrations"</f>
        <v>242 pages, 22 cm, illustrations</v>
      </c>
      <c r="G230" s="1">
        <v>18</v>
      </c>
      <c r="H230">
        <v>2018</v>
      </c>
      <c r="I230" t="str">
        <f t="shared" si="6"/>
        <v>9: 300 - 399</v>
      </c>
      <c r="K230" t="str">
        <f>"LL - In"</f>
        <v>LL - In</v>
      </c>
      <c r="L230" s="1">
        <v>31</v>
      </c>
      <c r="M230" t="s">
        <v>222</v>
      </c>
      <c r="O230" t="s">
        <v>28</v>
      </c>
      <c r="P230">
        <v>7</v>
      </c>
      <c r="Q230">
        <v>0</v>
      </c>
      <c r="R230">
        <v>7</v>
      </c>
      <c r="S230" s="2">
        <v>43136</v>
      </c>
      <c r="T230" s="2">
        <v>43327</v>
      </c>
      <c r="U230" s="2">
        <v>43623</v>
      </c>
    </row>
    <row r="231" spans="1:22" x14ac:dyDescent="0.2">
      <c r="A231" t="str">
        <f>"305.26 PEA"</f>
        <v>305.26 PEA</v>
      </c>
      <c r="B231" t="str">
        <f>"Age your way: create a unique legacy"</f>
        <v>Age your way: create a unique legacy</v>
      </c>
      <c r="C231">
        <v>294493</v>
      </c>
      <c r="D231" t="str">
        <f>"Pearson, Debbie"</f>
        <v>Pearson, Debbie</v>
      </c>
      <c r="F231" t="str">
        <f>"188 p."</f>
        <v>188 p.</v>
      </c>
      <c r="G231" s="1">
        <v>17</v>
      </c>
      <c r="H231">
        <v>2016</v>
      </c>
      <c r="I231" t="str">
        <f t="shared" si="6"/>
        <v>9: 300 - 399</v>
      </c>
      <c r="K231" t="str">
        <f>"WB - In"</f>
        <v>WB - In</v>
      </c>
      <c r="L231" s="1">
        <v>22</v>
      </c>
      <c r="M231" t="s">
        <v>223</v>
      </c>
      <c r="O231" t="s">
        <v>28</v>
      </c>
      <c r="P231">
        <v>3</v>
      </c>
      <c r="Q231">
        <v>0</v>
      </c>
      <c r="R231">
        <v>3</v>
      </c>
      <c r="S231" s="2">
        <v>42838</v>
      </c>
      <c r="T231" s="2">
        <v>42842</v>
      </c>
      <c r="U231" s="2">
        <v>43733</v>
      </c>
    </row>
    <row r="232" spans="1:22" x14ac:dyDescent="0.2">
      <c r="A232" t="str">
        <f>"305.26 PIL"</f>
        <v>305.26 PIL</v>
      </c>
      <c r="B232" t="str">
        <f>"30 lessons for living: tried and true ad"</f>
        <v>30 lessons for living: tried and true ad</v>
      </c>
      <c r="C232">
        <v>312210</v>
      </c>
      <c r="D232" t="str">
        <f>"Pillemer, Karl A."</f>
        <v>Pillemer, Karl A.</v>
      </c>
      <c r="F232" t="str">
        <f>"xiii, 271 p., 24 cm."</f>
        <v>xiii, 271 p., 24 cm.</v>
      </c>
      <c r="G232" s="1">
        <v>13</v>
      </c>
      <c r="H232">
        <v>2011</v>
      </c>
      <c r="I232" t="str">
        <f t="shared" si="6"/>
        <v>9: 300 - 399</v>
      </c>
      <c r="K232" t="str">
        <f>"WB - In"</f>
        <v>WB - In</v>
      </c>
      <c r="L232" s="1">
        <v>31</v>
      </c>
      <c r="M232" t="s">
        <v>224</v>
      </c>
      <c r="O232" t="s">
        <v>28</v>
      </c>
      <c r="P232">
        <v>2</v>
      </c>
      <c r="Q232">
        <v>0</v>
      </c>
      <c r="R232">
        <v>10</v>
      </c>
      <c r="S232" s="2">
        <v>41298</v>
      </c>
      <c r="T232" s="2">
        <v>41303</v>
      </c>
      <c r="U232" s="2">
        <v>43845</v>
      </c>
      <c r="V232" s="2">
        <v>42639</v>
      </c>
    </row>
    <row r="233" spans="1:22" x14ac:dyDescent="0.2">
      <c r="A233" t="str">
        <f>"305.26 PRO"</f>
        <v>305.26 PRO</v>
      </c>
      <c r="B233" t="str">
        <f>"other talk: a guide to talking with your"</f>
        <v>other talk: a guide to talking with your</v>
      </c>
      <c r="C233">
        <v>329489</v>
      </c>
      <c r="D233" t="str">
        <f>"Prosch, Timothy."</f>
        <v>Prosch, Timothy.</v>
      </c>
      <c r="F233" t="str">
        <f>"xv, 221 pages, 23 cm"</f>
        <v>xv, 221 pages, 23 cm</v>
      </c>
      <c r="G233" s="1">
        <v>15</v>
      </c>
      <c r="H233">
        <v>2014</v>
      </c>
      <c r="I233" t="str">
        <f t="shared" si="6"/>
        <v>9: 300 - 399</v>
      </c>
      <c r="K233" t="str">
        <f>"LL - In"</f>
        <v>LL - In</v>
      </c>
      <c r="L233" s="1">
        <v>20</v>
      </c>
      <c r="M233" t="s">
        <v>225</v>
      </c>
      <c r="O233" t="s">
        <v>28</v>
      </c>
      <c r="P233">
        <v>1</v>
      </c>
      <c r="Q233">
        <v>0</v>
      </c>
      <c r="R233">
        <v>4</v>
      </c>
      <c r="S233" s="2">
        <v>42241</v>
      </c>
      <c r="T233" s="2">
        <v>42243</v>
      </c>
      <c r="U233" s="2">
        <v>43372</v>
      </c>
    </row>
    <row r="234" spans="1:22" x14ac:dyDescent="0.2">
      <c r="A234" t="str">
        <f>"305.26 THO"</f>
        <v>305.26 THO</v>
      </c>
      <c r="B234" t="str">
        <f>"Second wind: navigating the passage to a"</f>
        <v>Second wind: navigating the passage to a</v>
      </c>
      <c r="C234">
        <v>320954</v>
      </c>
      <c r="D234" t="str">
        <f>"Thomas, William H.,"</f>
        <v>Thomas, William H.,</v>
      </c>
      <c r="F234" t="str">
        <f>"xiv, 313 pages, 24 cm"</f>
        <v>xiv, 313 pages, 24 cm</v>
      </c>
      <c r="G234" s="1">
        <v>14</v>
      </c>
      <c r="H234">
        <v>2014</v>
      </c>
      <c r="I234" t="str">
        <f t="shared" si="6"/>
        <v>9: 300 - 399</v>
      </c>
      <c r="K234" t="str">
        <f>"LL - In"</f>
        <v>LL - In</v>
      </c>
      <c r="L234" s="1">
        <v>30</v>
      </c>
      <c r="M234" t="s">
        <v>226</v>
      </c>
      <c r="O234" t="s">
        <v>28</v>
      </c>
      <c r="P234">
        <v>1</v>
      </c>
      <c r="Q234">
        <v>1</v>
      </c>
      <c r="R234">
        <v>14</v>
      </c>
      <c r="S234" s="2">
        <v>41754</v>
      </c>
      <c r="T234" s="2">
        <v>41981</v>
      </c>
      <c r="U234" s="2">
        <v>43518</v>
      </c>
      <c r="V234" s="2">
        <v>43745</v>
      </c>
    </row>
    <row r="235" spans="1:22" x14ac:dyDescent="0.2">
      <c r="A235" t="str">
        <f>"305.3 ALP"</f>
        <v>305.3 ALP</v>
      </c>
      <c r="B235" t="str">
        <f>"Faking it: the lies women tell about sex"</f>
        <v>Faking it: the lies women tell about sex</v>
      </c>
      <c r="C235">
        <v>351764</v>
      </c>
      <c r="D235" t="str">
        <f>"Alptraum, Lux"</f>
        <v>Alptraum, Lux</v>
      </c>
      <c r="F235" t="str">
        <f>"xv, 236 pages, 21 cm"</f>
        <v>xv, 236 pages, 21 cm</v>
      </c>
      <c r="G235" s="1">
        <v>18</v>
      </c>
      <c r="H235">
        <v>2018</v>
      </c>
      <c r="I235" t="str">
        <f t="shared" si="6"/>
        <v>9: 300 - 399</v>
      </c>
      <c r="K235" t="str">
        <f>"WB - In"</f>
        <v>WB - In</v>
      </c>
      <c r="L235" s="1">
        <v>21</v>
      </c>
      <c r="M235" t="s">
        <v>227</v>
      </c>
      <c r="O235" t="s">
        <v>28</v>
      </c>
      <c r="P235">
        <v>1</v>
      </c>
      <c r="Q235">
        <v>0</v>
      </c>
      <c r="R235">
        <v>1</v>
      </c>
      <c r="S235" s="2">
        <v>43444</v>
      </c>
      <c r="T235" s="2">
        <v>43454</v>
      </c>
      <c r="U235" s="2">
        <v>43454</v>
      </c>
    </row>
    <row r="236" spans="1:22" x14ac:dyDescent="0.2">
      <c r="A236" t="str">
        <f>"305.3 ANS"</f>
        <v>305.3 ANS</v>
      </c>
      <c r="B236" t="str">
        <f>"Modern romance"</f>
        <v>Modern romance</v>
      </c>
      <c r="C236">
        <v>357169</v>
      </c>
      <c r="D236" t="str">
        <f>"Ansari, Aziz"</f>
        <v>Ansari, Aziz</v>
      </c>
      <c r="F236" t="str">
        <f>"277 pages, 25 cm, illustrations (chiefly color)"</f>
        <v>277 pages, 25 cm, illustrations (chiefly color)</v>
      </c>
      <c r="G236" s="1">
        <v>19</v>
      </c>
      <c r="H236">
        <v>2015</v>
      </c>
      <c r="I236" t="str">
        <f t="shared" si="6"/>
        <v>9: 300 - 399</v>
      </c>
      <c r="K236" t="str">
        <f>"WB - In"</f>
        <v>WB - In</v>
      </c>
      <c r="L236" s="1">
        <v>28.95</v>
      </c>
      <c r="M236" t="s">
        <v>228</v>
      </c>
      <c r="O236" t="s">
        <v>28</v>
      </c>
      <c r="P236">
        <v>0</v>
      </c>
      <c r="Q236">
        <v>0</v>
      </c>
      <c r="R236">
        <v>0</v>
      </c>
      <c r="S236" s="2">
        <v>43704</v>
      </c>
      <c r="T236" s="2">
        <v>43714</v>
      </c>
    </row>
    <row r="237" spans="1:22" x14ac:dyDescent="0.2">
      <c r="A237" t="str">
        <f>"305.3 BEN"</f>
        <v>305.3 BEN</v>
      </c>
      <c r="B237" t="s">
        <v>229</v>
      </c>
      <c r="C237">
        <v>272272</v>
      </c>
      <c r="D237" t="str">
        <f>"Ben-Zion, Yael"</f>
        <v>Ben-Zion, Yael</v>
      </c>
      <c r="F237" t="str">
        <f>"128 p"</f>
        <v>128 p</v>
      </c>
      <c r="G237" s="1">
        <v>14</v>
      </c>
      <c r="H237">
        <v>2013</v>
      </c>
      <c r="I237" t="str">
        <f t="shared" si="6"/>
        <v>9: 300 - 399</v>
      </c>
      <c r="K237" t="str">
        <f>"WB - In"</f>
        <v>WB - In</v>
      </c>
      <c r="L237" s="1">
        <v>50</v>
      </c>
      <c r="M237" t="s">
        <v>230</v>
      </c>
      <c r="O237" t="s">
        <v>28</v>
      </c>
      <c r="P237">
        <v>0</v>
      </c>
      <c r="Q237">
        <v>0</v>
      </c>
      <c r="R237">
        <v>2</v>
      </c>
      <c r="S237" s="2">
        <v>41726</v>
      </c>
      <c r="T237" s="2">
        <v>42580</v>
      </c>
      <c r="U237" s="2">
        <v>42586</v>
      </c>
    </row>
    <row r="238" spans="1:22" x14ac:dyDescent="0.2">
      <c r="A238" t="str">
        <f>"305.3 BET"</f>
        <v>305.3 BET</v>
      </c>
      <c r="B238" t="str">
        <f>"I had a nice time and other lies...: how"</f>
        <v>I had a nice time and other lies...: how</v>
      </c>
      <c r="C238">
        <v>337105</v>
      </c>
      <c r="D238" t="str">
        <f>"Betches (Group)"</f>
        <v>Betches (Group)</v>
      </c>
      <c r="F238" t="str">
        <f>"x, 310 pages, 23 cm, illustrations"</f>
        <v>x, 310 pages, 23 cm, illustrations</v>
      </c>
      <c r="G238" s="1">
        <v>16</v>
      </c>
      <c r="H238">
        <v>2016</v>
      </c>
      <c r="I238" t="str">
        <f t="shared" si="6"/>
        <v>9: 300 - 399</v>
      </c>
      <c r="K238" t="str">
        <f>"WB - In"</f>
        <v>WB - In</v>
      </c>
      <c r="L238" s="1">
        <v>30</v>
      </c>
      <c r="M238" t="s">
        <v>231</v>
      </c>
      <c r="O238" t="s">
        <v>28</v>
      </c>
      <c r="P238">
        <v>0</v>
      </c>
      <c r="Q238">
        <v>0</v>
      </c>
      <c r="R238">
        <v>5</v>
      </c>
      <c r="S238" s="2">
        <v>42611</v>
      </c>
      <c r="T238" s="2">
        <v>42802</v>
      </c>
      <c r="U238" s="2">
        <v>42752</v>
      </c>
      <c r="V238" s="2">
        <v>42683</v>
      </c>
    </row>
    <row r="239" spans="1:22" x14ac:dyDescent="0.2">
      <c r="A239" t="str">
        <f>"305.3 BLA"</f>
        <v>305.3 BLA</v>
      </c>
      <c r="B239" t="str">
        <f>"Missed connections: love, lost &amp; found"</f>
        <v>Missed connections: love, lost &amp; found</v>
      </c>
      <c r="C239">
        <v>324311</v>
      </c>
      <c r="D239" t="str">
        <f>"Blackall, Sophie"</f>
        <v>Blackall, Sophie</v>
      </c>
      <c r="F239" t="str">
        <f>"128 p., 23 cm, ill. (chiefly col.)"</f>
        <v>128 p., 23 cm, ill. (chiefly col.)</v>
      </c>
      <c r="G239" s="1">
        <v>14</v>
      </c>
      <c r="H239">
        <v>2011</v>
      </c>
      <c r="I239" t="str">
        <f t="shared" si="6"/>
        <v>9: 300 - 399</v>
      </c>
      <c r="K239" t="str">
        <f>"LL - In"</f>
        <v>LL - In</v>
      </c>
      <c r="L239" s="1">
        <v>19</v>
      </c>
      <c r="M239" t="s">
        <v>232</v>
      </c>
      <c r="O239" t="s">
        <v>28</v>
      </c>
      <c r="P239">
        <v>0</v>
      </c>
      <c r="Q239">
        <v>2</v>
      </c>
      <c r="R239">
        <v>5</v>
      </c>
      <c r="S239" s="2">
        <v>41933</v>
      </c>
      <c r="T239" s="2">
        <v>41943</v>
      </c>
      <c r="U239" s="2">
        <v>41989</v>
      </c>
      <c r="V239" s="2">
        <v>43774</v>
      </c>
    </row>
    <row r="240" spans="1:22" x14ac:dyDescent="0.2">
      <c r="A240" t="str">
        <f>"305.3 BLO"</f>
        <v>305.3 BLO</v>
      </c>
      <c r="B240" t="str">
        <f>"Happily ever after... and 39 other myths"</f>
        <v>Happily ever after... and 39 other myths</v>
      </c>
      <c r="C240">
        <v>334432</v>
      </c>
      <c r="D240" t="str">
        <f>"Bloom, Linda,"</f>
        <v>Bloom, Linda,</v>
      </c>
      <c r="F240" t="str">
        <f>"169 p."</f>
        <v>169 p.</v>
      </c>
      <c r="G240" s="1">
        <v>16</v>
      </c>
      <c r="H240">
        <v>2016</v>
      </c>
      <c r="I240" t="str">
        <f t="shared" si="6"/>
        <v>9: 300 - 399</v>
      </c>
      <c r="K240" t="str">
        <f>"WB - In"</f>
        <v>WB - In</v>
      </c>
      <c r="L240" s="1">
        <v>21</v>
      </c>
      <c r="M240" t="s">
        <v>233</v>
      </c>
      <c r="O240" t="s">
        <v>28</v>
      </c>
      <c r="P240">
        <v>1</v>
      </c>
      <c r="Q240">
        <v>1</v>
      </c>
      <c r="R240">
        <v>8</v>
      </c>
      <c r="S240" s="2">
        <v>42471</v>
      </c>
      <c r="T240" s="2">
        <v>42686</v>
      </c>
      <c r="U240" s="2">
        <v>43271</v>
      </c>
      <c r="V240" s="2">
        <v>43327</v>
      </c>
    </row>
    <row r="241" spans="1:22" x14ac:dyDescent="0.2">
      <c r="A241" t="str">
        <f>"305.3 BRO"</f>
        <v>305.3 BRO</v>
      </c>
      <c r="B241" t="str">
        <f>"Sweet Potato Queens' book of love"</f>
        <v>Sweet Potato Queens' book of love</v>
      </c>
      <c r="C241">
        <v>302097</v>
      </c>
      <c r="D241" t="str">
        <f>"Browne, Jill Conner"</f>
        <v>Browne, Jill Conner</v>
      </c>
      <c r="F241" t="str">
        <f>"213 p."</f>
        <v>213 p.</v>
      </c>
      <c r="G241" s="1">
        <v>11</v>
      </c>
      <c r="H241">
        <v>1999</v>
      </c>
      <c r="I241" t="str">
        <f t="shared" si="6"/>
        <v>9: 300 - 399</v>
      </c>
      <c r="K241" t="str">
        <f>"LL - In"</f>
        <v>LL - In</v>
      </c>
      <c r="L241" s="1">
        <v>19</v>
      </c>
      <c r="M241" t="s">
        <v>234</v>
      </c>
      <c r="O241" t="s">
        <v>28</v>
      </c>
      <c r="P241">
        <v>2</v>
      </c>
      <c r="Q241">
        <v>0</v>
      </c>
      <c r="R241">
        <v>13</v>
      </c>
      <c r="S241" s="2">
        <v>40765</v>
      </c>
      <c r="T241" s="2">
        <v>41053</v>
      </c>
      <c r="U241" s="2">
        <v>43422</v>
      </c>
    </row>
    <row r="242" spans="1:22" x14ac:dyDescent="0.2">
      <c r="A242" t="str">
        <f t="shared" ref="A242:A250" si="7">"305.3 CHA"</f>
        <v>305.3 CHA</v>
      </c>
      <c r="B242" t="str">
        <f>"5 love languages"</f>
        <v>5 love languages</v>
      </c>
      <c r="C242">
        <v>330043</v>
      </c>
      <c r="D242" t="str">
        <f t="shared" ref="D242:D250" si="8">"Chapman, Gary D."</f>
        <v>Chapman, Gary D.</v>
      </c>
      <c r="F242" t="str">
        <f>"203 p., 22 cm"</f>
        <v>203 p., 22 cm</v>
      </c>
      <c r="G242" s="1">
        <v>15</v>
      </c>
      <c r="H242">
        <v>2015</v>
      </c>
      <c r="I242" t="str">
        <f t="shared" si="6"/>
        <v>9: 300 - 399</v>
      </c>
      <c r="K242" t="str">
        <f>"LL - In"</f>
        <v>LL - In</v>
      </c>
      <c r="L242" s="1">
        <v>21</v>
      </c>
      <c r="M242" t="s">
        <v>235</v>
      </c>
      <c r="O242" t="s">
        <v>28</v>
      </c>
      <c r="P242">
        <v>11</v>
      </c>
      <c r="Q242">
        <v>0</v>
      </c>
      <c r="R242">
        <v>21</v>
      </c>
      <c r="S242" s="2">
        <v>42268</v>
      </c>
      <c r="T242" s="2">
        <v>42276</v>
      </c>
      <c r="U242" s="2">
        <v>43622</v>
      </c>
    </row>
    <row r="243" spans="1:22" x14ac:dyDescent="0.2">
      <c r="A243" t="str">
        <f t="shared" si="7"/>
        <v>305.3 CHA</v>
      </c>
      <c r="B243" t="str">
        <f>"5 love languages"</f>
        <v>5 love languages</v>
      </c>
      <c r="C243">
        <v>285253</v>
      </c>
      <c r="D243" t="str">
        <f t="shared" si="8"/>
        <v>Chapman, Gary D.</v>
      </c>
      <c r="F243" t="str">
        <f>"203 p., 22 cm"</f>
        <v>203 p., 22 cm</v>
      </c>
      <c r="G243">
        <v>16</v>
      </c>
      <c r="H243">
        <v>2015</v>
      </c>
      <c r="I243" t="str">
        <f t="shared" si="6"/>
        <v>9: 300 - 399</v>
      </c>
      <c r="K243" t="str">
        <f>"WB - Out"</f>
        <v>WB - Out</v>
      </c>
      <c r="L243" s="1">
        <v>18</v>
      </c>
      <c r="M243" t="s">
        <v>235</v>
      </c>
      <c r="O243" t="s">
        <v>28</v>
      </c>
      <c r="P243">
        <v>15</v>
      </c>
      <c r="Q243">
        <v>4</v>
      </c>
      <c r="R243">
        <v>27</v>
      </c>
      <c r="S243" s="2">
        <v>42376</v>
      </c>
      <c r="T243" s="2">
        <v>42395</v>
      </c>
      <c r="U243" s="2">
        <v>43849</v>
      </c>
      <c r="V243" s="2">
        <v>43358</v>
      </c>
    </row>
    <row r="244" spans="1:22" x14ac:dyDescent="0.2">
      <c r="A244" t="str">
        <f t="shared" si="7"/>
        <v>305.3 CHA</v>
      </c>
      <c r="B244" t="str">
        <f>"5 love languages military edition: the s"</f>
        <v>5 love languages military edition: the s</v>
      </c>
      <c r="C244">
        <v>268585</v>
      </c>
      <c r="D244" t="str">
        <f t="shared" si="8"/>
        <v>Chapman, Gary D.</v>
      </c>
      <c r="F244" t="str">
        <f>"213 p."</f>
        <v>213 p.</v>
      </c>
      <c r="G244" s="1">
        <v>13</v>
      </c>
      <c r="H244">
        <v>2013</v>
      </c>
      <c r="I244" t="str">
        <f t="shared" si="6"/>
        <v>9: 300 - 399</v>
      </c>
      <c r="K244" t="str">
        <f>"WB - Out"</f>
        <v>WB - Out</v>
      </c>
      <c r="L244" s="1">
        <v>18</v>
      </c>
      <c r="M244" t="s">
        <v>236</v>
      </c>
      <c r="O244" t="s">
        <v>28</v>
      </c>
      <c r="P244">
        <v>1</v>
      </c>
      <c r="Q244">
        <v>3</v>
      </c>
      <c r="R244">
        <v>7</v>
      </c>
      <c r="S244" s="2">
        <v>41522</v>
      </c>
      <c r="T244" s="2">
        <v>41534</v>
      </c>
      <c r="U244" s="2">
        <v>43839</v>
      </c>
      <c r="V244" s="2">
        <v>43561</v>
      </c>
    </row>
    <row r="245" spans="1:22" x14ac:dyDescent="0.2">
      <c r="A245" t="str">
        <f t="shared" si="7"/>
        <v>305.3 CHA</v>
      </c>
      <c r="B245" t="str">
        <f>"five love languages: small-group study b"</f>
        <v>five love languages: small-group study b</v>
      </c>
      <c r="C245">
        <v>325255</v>
      </c>
      <c r="D245" t="str">
        <f t="shared" si="8"/>
        <v>Chapman, Gary D.</v>
      </c>
      <c r="F245" t="str">
        <f>"93 p., 23 cm."</f>
        <v>93 p., 23 cm.</v>
      </c>
      <c r="G245" s="1">
        <v>14</v>
      </c>
      <c r="H245">
        <v>2007</v>
      </c>
      <c r="I245" t="str">
        <f t="shared" si="6"/>
        <v>9: 300 - 399</v>
      </c>
      <c r="K245" t="str">
        <f>"WB - Out"</f>
        <v>WB - Out</v>
      </c>
      <c r="L245" s="1">
        <v>23</v>
      </c>
      <c r="M245" t="s">
        <v>237</v>
      </c>
      <c r="O245" t="s">
        <v>28</v>
      </c>
      <c r="P245">
        <v>1</v>
      </c>
      <c r="Q245">
        <v>2</v>
      </c>
      <c r="R245">
        <v>9</v>
      </c>
      <c r="S245" s="2">
        <v>42009</v>
      </c>
      <c r="T245" s="2">
        <v>42010</v>
      </c>
      <c r="U245" s="2">
        <v>43856</v>
      </c>
      <c r="V245" s="2">
        <v>43849</v>
      </c>
    </row>
    <row r="246" spans="1:22" x14ac:dyDescent="0.2">
      <c r="A246" t="str">
        <f t="shared" si="7"/>
        <v>305.3 CHA</v>
      </c>
      <c r="B246" t="str">
        <f>"five love languages: small-group study b"</f>
        <v>five love languages: small-group study b</v>
      </c>
      <c r="C246">
        <v>329645</v>
      </c>
      <c r="D246" t="str">
        <f t="shared" si="8"/>
        <v>Chapman, Gary D.</v>
      </c>
      <c r="F246" t="str">
        <f>"93 p., 23 cm."</f>
        <v>93 p., 23 cm.</v>
      </c>
      <c r="G246" s="1">
        <v>15</v>
      </c>
      <c r="H246">
        <v>2007</v>
      </c>
      <c r="I246" t="str">
        <f t="shared" si="6"/>
        <v>9: 300 - 399</v>
      </c>
      <c r="K246" t="str">
        <f>"LL - In"</f>
        <v>LL - In</v>
      </c>
      <c r="L246" s="1">
        <v>24</v>
      </c>
      <c r="M246" t="s">
        <v>237</v>
      </c>
      <c r="O246" t="s">
        <v>28</v>
      </c>
      <c r="P246">
        <v>4</v>
      </c>
      <c r="Q246">
        <v>8</v>
      </c>
      <c r="R246">
        <v>14</v>
      </c>
      <c r="S246" s="2">
        <v>42248</v>
      </c>
      <c r="T246" s="2">
        <v>42283</v>
      </c>
      <c r="U246" s="2">
        <v>43456</v>
      </c>
      <c r="V246" s="2">
        <v>43008</v>
      </c>
    </row>
    <row r="247" spans="1:22" x14ac:dyDescent="0.2">
      <c r="A247" t="str">
        <f t="shared" si="7"/>
        <v>305.3 CHA</v>
      </c>
      <c r="B247" t="str">
        <f>"five love languages, men's edition: the "</f>
        <v xml:space="preserve">five love languages, men's edition: the </v>
      </c>
      <c r="C247">
        <v>140529</v>
      </c>
      <c r="D247" t="str">
        <f t="shared" si="8"/>
        <v>Chapman, Gary D.</v>
      </c>
      <c r="F247" t="str">
        <f>"205 p."</f>
        <v>205 p.</v>
      </c>
      <c r="G247" s="1">
        <v>10</v>
      </c>
      <c r="H247">
        <v>2010</v>
      </c>
      <c r="I247" t="str">
        <f t="shared" si="6"/>
        <v>9: 300 - 399</v>
      </c>
      <c r="K247" t="str">
        <f>"WB - Out"</f>
        <v>WB - Out</v>
      </c>
      <c r="L247" s="1">
        <v>20</v>
      </c>
      <c r="M247" t="s">
        <v>238</v>
      </c>
      <c r="O247" t="s">
        <v>28</v>
      </c>
      <c r="P247">
        <v>12</v>
      </c>
      <c r="Q247">
        <v>2</v>
      </c>
      <c r="R247">
        <v>61</v>
      </c>
      <c r="S247" s="2">
        <v>40186</v>
      </c>
      <c r="T247" s="2">
        <v>41053</v>
      </c>
      <c r="U247" s="2">
        <v>43856</v>
      </c>
      <c r="V247" s="2">
        <v>43057</v>
      </c>
    </row>
    <row r="248" spans="1:22" x14ac:dyDescent="0.2">
      <c r="A248" t="str">
        <f t="shared" si="7"/>
        <v>305.3 CHA</v>
      </c>
      <c r="B248" t="str">
        <f>"five love languages, men's edition: the "</f>
        <v xml:space="preserve">five love languages, men's edition: the </v>
      </c>
      <c r="C248">
        <v>140530</v>
      </c>
      <c r="D248" t="str">
        <f t="shared" si="8"/>
        <v>Chapman, Gary D.</v>
      </c>
      <c r="F248" t="str">
        <f>"205 p."</f>
        <v>205 p.</v>
      </c>
      <c r="G248" s="1">
        <v>10</v>
      </c>
      <c r="H248">
        <v>2010</v>
      </c>
      <c r="I248" t="str">
        <f t="shared" si="6"/>
        <v>9: 300 - 399</v>
      </c>
      <c r="K248" t="str">
        <f>"LL - In"</f>
        <v>LL - In</v>
      </c>
      <c r="L248" s="1">
        <v>20</v>
      </c>
      <c r="M248" t="s">
        <v>238</v>
      </c>
      <c r="O248" t="s">
        <v>28</v>
      </c>
      <c r="P248">
        <v>4</v>
      </c>
      <c r="Q248">
        <v>3</v>
      </c>
      <c r="R248">
        <v>52</v>
      </c>
      <c r="S248" s="2">
        <v>40186</v>
      </c>
      <c r="T248" s="2">
        <v>41053</v>
      </c>
      <c r="U248" s="2">
        <v>43298</v>
      </c>
      <c r="V248" s="2">
        <v>43565</v>
      </c>
    </row>
    <row r="249" spans="1:22" x14ac:dyDescent="0.2">
      <c r="A249" t="str">
        <f t="shared" si="7"/>
        <v>305.3 CHA</v>
      </c>
      <c r="B249" t="str">
        <f>"Loving your spouse when you feel like wa"</f>
        <v>Loving your spouse when you feel like wa</v>
      </c>
      <c r="C249">
        <v>358322</v>
      </c>
      <c r="D249" t="str">
        <f t="shared" si="8"/>
        <v>Chapman, Gary D.</v>
      </c>
      <c r="F249" t="str">
        <f>"237 p., 22 cm"</f>
        <v>237 p., 22 cm</v>
      </c>
      <c r="G249" s="1">
        <v>19</v>
      </c>
      <c r="H249">
        <v>2018</v>
      </c>
      <c r="I249" t="str">
        <f t="shared" si="6"/>
        <v>9: 300 - 399</v>
      </c>
      <c r="K249" t="str">
        <f>"WB - In"</f>
        <v>WB - In</v>
      </c>
      <c r="L249" s="1">
        <v>21</v>
      </c>
      <c r="M249" t="s">
        <v>239</v>
      </c>
      <c r="O249" t="s">
        <v>28</v>
      </c>
      <c r="P249">
        <v>0</v>
      </c>
      <c r="Q249">
        <v>0</v>
      </c>
      <c r="R249">
        <v>0</v>
      </c>
      <c r="S249" s="2">
        <v>43749</v>
      </c>
      <c r="T249" s="2">
        <v>43781</v>
      </c>
    </row>
    <row r="250" spans="1:22" x14ac:dyDescent="0.2">
      <c r="A250" t="str">
        <f t="shared" si="7"/>
        <v>305.3 CHA</v>
      </c>
      <c r="B250" t="str">
        <f>"One more try: what to do when your marri"</f>
        <v>One more try: what to do when your marri</v>
      </c>
      <c r="C250">
        <v>334440</v>
      </c>
      <c r="D250" t="str">
        <f t="shared" si="8"/>
        <v>Chapman, Gary D.</v>
      </c>
      <c r="F250" t="str">
        <f>"156 pages, 22 cm"</f>
        <v>156 pages, 22 cm</v>
      </c>
      <c r="G250" s="1">
        <v>16</v>
      </c>
      <c r="H250">
        <v>2014</v>
      </c>
      <c r="I250" t="str">
        <f t="shared" si="6"/>
        <v>9: 300 - 399</v>
      </c>
      <c r="K250" t="str">
        <f>"WB - In"</f>
        <v>WB - In</v>
      </c>
      <c r="L250" s="1">
        <v>21</v>
      </c>
      <c r="M250" t="s">
        <v>240</v>
      </c>
      <c r="O250" t="s">
        <v>28</v>
      </c>
      <c r="P250">
        <v>4</v>
      </c>
      <c r="Q250">
        <v>1</v>
      </c>
      <c r="R250">
        <v>8</v>
      </c>
      <c r="S250" s="2">
        <v>42471</v>
      </c>
      <c r="T250" s="2">
        <v>42493</v>
      </c>
      <c r="U250" s="2">
        <v>43564</v>
      </c>
      <c r="V250" s="2">
        <v>43592</v>
      </c>
    </row>
    <row r="251" spans="1:22" x14ac:dyDescent="0.2">
      <c r="A251" t="str">
        <f>"305.3 COL"</f>
        <v>305.3 COL</v>
      </c>
      <c r="B251" t="str">
        <f>"Love rules: how to find a real relations"</f>
        <v>Love rules: how to find a real relations</v>
      </c>
      <c r="C251">
        <v>400086</v>
      </c>
      <c r="D251" t="str">
        <f>"Coles, Joanna"</f>
        <v>Coles, Joanna</v>
      </c>
      <c r="F251" t="str">
        <f>"xii, 235 pages, 24 cm"</f>
        <v>xii, 235 pages, 24 cm</v>
      </c>
      <c r="G251" s="1">
        <v>18</v>
      </c>
      <c r="H251">
        <v>2018</v>
      </c>
      <c r="I251" t="str">
        <f t="shared" si="6"/>
        <v>9: 300 - 399</v>
      </c>
      <c r="K251" t="str">
        <f>"WB - In"</f>
        <v>WB - In</v>
      </c>
      <c r="L251" s="1">
        <v>31</v>
      </c>
      <c r="M251" t="s">
        <v>241</v>
      </c>
      <c r="O251" t="s">
        <v>28</v>
      </c>
      <c r="P251">
        <v>6</v>
      </c>
      <c r="Q251">
        <v>0</v>
      </c>
      <c r="R251">
        <v>6</v>
      </c>
      <c r="S251" s="2">
        <v>43207</v>
      </c>
      <c r="T251" s="2">
        <v>43400</v>
      </c>
      <c r="U251" s="2">
        <v>43751</v>
      </c>
    </row>
    <row r="252" spans="1:22" x14ac:dyDescent="0.2">
      <c r="A252" t="str">
        <f>"305.3 DAU"</f>
        <v>305.3 DAU</v>
      </c>
      <c r="B252" t="str">
        <f>"Sacred relationship: heart work for coup"</f>
        <v>Sacred relationship: heart work for coup</v>
      </c>
      <c r="C252">
        <v>343851</v>
      </c>
      <c r="D252" t="str">
        <f>"Daulter, Anni"</f>
        <v>Daulter, Anni</v>
      </c>
      <c r="F252" t="str">
        <f>"300 p."</f>
        <v>300 p.</v>
      </c>
      <c r="G252" s="1">
        <v>17</v>
      </c>
      <c r="H252">
        <v>2017</v>
      </c>
      <c r="I252" t="str">
        <f t="shared" si="6"/>
        <v>9: 300 - 399</v>
      </c>
      <c r="K252" t="str">
        <f>"LL - In"</f>
        <v>LL - In</v>
      </c>
      <c r="L252" s="1">
        <v>27</v>
      </c>
      <c r="M252" t="s">
        <v>242</v>
      </c>
      <c r="O252" t="s">
        <v>28</v>
      </c>
      <c r="P252">
        <v>5</v>
      </c>
      <c r="Q252">
        <v>1</v>
      </c>
      <c r="R252">
        <v>6</v>
      </c>
      <c r="S252" s="2">
        <v>43010</v>
      </c>
      <c r="T252" s="2">
        <v>43689</v>
      </c>
      <c r="U252" s="2">
        <v>43190</v>
      </c>
      <c r="V252" s="2">
        <v>43127</v>
      </c>
    </row>
    <row r="253" spans="1:22" x14ac:dyDescent="0.2">
      <c r="A253" t="str">
        <f>"305.3 DAU"</f>
        <v>305.3 DAU</v>
      </c>
      <c r="B253" t="str">
        <f>"Sacred relationship: heart work for coup"</f>
        <v>Sacred relationship: heart work for coup</v>
      </c>
      <c r="C253">
        <v>349258</v>
      </c>
      <c r="D253" t="str">
        <f>"Daulter, Anni"</f>
        <v>Daulter, Anni</v>
      </c>
      <c r="F253" t="str">
        <f>"300 p."</f>
        <v>300 p.</v>
      </c>
      <c r="G253" s="1">
        <v>18</v>
      </c>
      <c r="H253">
        <v>2017</v>
      </c>
      <c r="I253" t="str">
        <f t="shared" si="6"/>
        <v>9: 300 - 399</v>
      </c>
      <c r="K253" t="str">
        <f t="shared" ref="K253:K261" si="9">"WB - In"</f>
        <v>WB - In</v>
      </c>
      <c r="L253" s="1">
        <v>27</v>
      </c>
      <c r="M253" t="s">
        <v>242</v>
      </c>
      <c r="O253" t="s">
        <v>28</v>
      </c>
      <c r="P253">
        <v>1</v>
      </c>
      <c r="Q253">
        <v>0</v>
      </c>
      <c r="R253">
        <v>1</v>
      </c>
      <c r="S253" s="2">
        <v>43325</v>
      </c>
      <c r="T253" s="2">
        <v>43329</v>
      </c>
      <c r="U253" s="2">
        <v>43614</v>
      </c>
    </row>
    <row r="254" spans="1:22" x14ac:dyDescent="0.2">
      <c r="A254" t="str">
        <f>"305.3 DEM"</f>
        <v>305.3 DEM</v>
      </c>
      <c r="B254" t="str">
        <f>"rough patch: marriage and the art of liv"</f>
        <v>rough patch: marriage and the art of liv</v>
      </c>
      <c r="C254">
        <v>345644</v>
      </c>
      <c r="D254" t="str">
        <f>"de Marneffe, Daphne"</f>
        <v>de Marneffe, Daphne</v>
      </c>
      <c r="F254" t="str">
        <f>"xi, 352 pages, 24 cm"</f>
        <v>xi, 352 pages, 24 cm</v>
      </c>
      <c r="G254" s="1">
        <v>18</v>
      </c>
      <c r="H254">
        <v>2018</v>
      </c>
      <c r="I254" t="str">
        <f t="shared" si="6"/>
        <v>9: 300 - 399</v>
      </c>
      <c r="K254" t="str">
        <f t="shared" si="9"/>
        <v>WB - In</v>
      </c>
      <c r="L254" s="1">
        <v>32</v>
      </c>
      <c r="M254" t="s">
        <v>243</v>
      </c>
      <c r="O254" t="s">
        <v>28</v>
      </c>
      <c r="P254">
        <v>10</v>
      </c>
      <c r="Q254">
        <v>0</v>
      </c>
      <c r="R254">
        <v>10</v>
      </c>
      <c r="S254" s="2">
        <v>43123</v>
      </c>
      <c r="T254" s="2">
        <v>43306</v>
      </c>
      <c r="U254" s="2">
        <v>43626</v>
      </c>
    </row>
    <row r="255" spans="1:22" x14ac:dyDescent="0.2">
      <c r="A255" t="str">
        <f>"305.3 DES"</f>
        <v>305.3 DES</v>
      </c>
      <c r="B255" t="str">
        <f>"Conscious coupling: positive insights fo"</f>
        <v>Conscious coupling: positive insights fo</v>
      </c>
      <c r="C255">
        <v>287494</v>
      </c>
      <c r="D255" t="str">
        <f>"Desroches, Don"</f>
        <v>Desroches, Don</v>
      </c>
      <c r="F255" t="str">
        <f>"211 p."</f>
        <v>211 p.</v>
      </c>
      <c r="G255" s="1">
        <v>16</v>
      </c>
      <c r="H255">
        <v>2015</v>
      </c>
      <c r="I255" t="str">
        <f t="shared" si="6"/>
        <v>9: 300 - 399</v>
      </c>
      <c r="K255" t="str">
        <f t="shared" si="9"/>
        <v>WB - In</v>
      </c>
      <c r="L255" s="1">
        <v>21</v>
      </c>
      <c r="M255" t="s">
        <v>244</v>
      </c>
      <c r="O255" t="s">
        <v>28</v>
      </c>
      <c r="P255">
        <v>2</v>
      </c>
      <c r="Q255">
        <v>0</v>
      </c>
      <c r="R255">
        <v>2</v>
      </c>
      <c r="S255" s="2">
        <v>42480</v>
      </c>
      <c r="T255" s="2">
        <v>42496</v>
      </c>
      <c r="U255" s="2">
        <v>43721</v>
      </c>
    </row>
    <row r="256" spans="1:22" x14ac:dyDescent="0.2">
      <c r="A256" t="str">
        <f>"305.3 DIE"</f>
        <v>305.3 DIE</v>
      </c>
      <c r="B256" t="str">
        <f>"Vanishing twins: a marriage"</f>
        <v>Vanishing twins: a marriage</v>
      </c>
      <c r="C256">
        <v>352392</v>
      </c>
      <c r="D256" t="str">
        <f>"Dieterich, Leah"</f>
        <v>Dieterich, Leah</v>
      </c>
      <c r="F256" t="str">
        <f>"295 pages, 21 cm, illustration"</f>
        <v>295 pages, 21 cm, illustration</v>
      </c>
      <c r="G256" s="1">
        <v>19</v>
      </c>
      <c r="H256">
        <v>2018</v>
      </c>
      <c r="I256" t="str">
        <f t="shared" si="6"/>
        <v>9: 300 - 399</v>
      </c>
      <c r="K256" t="str">
        <f t="shared" si="9"/>
        <v>WB - In</v>
      </c>
      <c r="L256" s="1">
        <v>22</v>
      </c>
      <c r="M256" t="s">
        <v>245</v>
      </c>
      <c r="O256" t="s">
        <v>28</v>
      </c>
      <c r="P256">
        <v>1</v>
      </c>
      <c r="Q256">
        <v>1</v>
      </c>
      <c r="R256">
        <v>2</v>
      </c>
      <c r="S256" s="2">
        <v>43487</v>
      </c>
      <c r="T256" s="2">
        <v>43663</v>
      </c>
      <c r="U256" s="2">
        <v>43513</v>
      </c>
      <c r="V256" s="2">
        <v>43662</v>
      </c>
    </row>
    <row r="257" spans="1:22" x14ac:dyDescent="0.2">
      <c r="A257" t="str">
        <f>"305.3 DOY"</f>
        <v>305.3 DOY</v>
      </c>
      <c r="B257" t="str">
        <f>"First, kill all the marriage counselors:"</f>
        <v>First, kill all the marriage counselors:</v>
      </c>
      <c r="C257">
        <v>297239</v>
      </c>
      <c r="D257" t="str">
        <f>"Doyle, Laura"</f>
        <v>Doyle, Laura</v>
      </c>
      <c r="F257" t="str">
        <f>"xx, 227 pages, 23 cm"</f>
        <v>xx, 227 pages, 23 cm</v>
      </c>
      <c r="G257" s="1">
        <v>17</v>
      </c>
      <c r="H257">
        <v>2015</v>
      </c>
      <c r="I257" t="str">
        <f t="shared" si="6"/>
        <v>9: 300 - 399</v>
      </c>
      <c r="K257" t="str">
        <f t="shared" si="9"/>
        <v>WB - In</v>
      </c>
      <c r="L257" s="1">
        <v>22</v>
      </c>
      <c r="M257" t="s">
        <v>246</v>
      </c>
      <c r="O257" t="s">
        <v>28</v>
      </c>
      <c r="P257">
        <v>6</v>
      </c>
      <c r="Q257">
        <v>1</v>
      </c>
      <c r="R257">
        <v>7</v>
      </c>
      <c r="S257" s="2">
        <v>43013</v>
      </c>
      <c r="T257" s="2">
        <v>43018</v>
      </c>
      <c r="U257" s="2">
        <v>43583</v>
      </c>
      <c r="V257" s="2">
        <v>43565</v>
      </c>
    </row>
    <row r="258" spans="1:22" x14ac:dyDescent="0.2">
      <c r="A258" t="str">
        <f>"305.3 DUN"</f>
        <v>305.3 DUN</v>
      </c>
      <c r="B258" t="str">
        <f>"How not to hate your husband after kids"</f>
        <v>How not to hate your husband after kids</v>
      </c>
      <c r="C258">
        <v>340569</v>
      </c>
      <c r="D258" t="str">
        <f>"Dunn, Jancee"</f>
        <v>Dunn, Jancee</v>
      </c>
      <c r="F258" t="str">
        <f>"viii, 269 pages, 25 cm"</f>
        <v>viii, 269 pages, 25 cm</v>
      </c>
      <c r="G258" s="1">
        <v>17</v>
      </c>
      <c r="H258">
        <v>2017</v>
      </c>
      <c r="I258" t="str">
        <f t="shared" si="6"/>
        <v>9: 300 - 399</v>
      </c>
      <c r="K258" t="str">
        <f t="shared" si="9"/>
        <v>WB - In</v>
      </c>
      <c r="L258" s="1">
        <v>32</v>
      </c>
      <c r="M258" t="s">
        <v>247</v>
      </c>
      <c r="O258" t="s">
        <v>28</v>
      </c>
      <c r="P258">
        <v>10</v>
      </c>
      <c r="Q258">
        <v>1</v>
      </c>
      <c r="R258">
        <v>11</v>
      </c>
      <c r="S258" s="2">
        <v>42828</v>
      </c>
      <c r="T258" s="2">
        <v>43031</v>
      </c>
      <c r="U258" s="2">
        <v>43673</v>
      </c>
      <c r="V258" s="2">
        <v>42906</v>
      </c>
    </row>
    <row r="259" spans="1:22" x14ac:dyDescent="0.2">
      <c r="A259" t="str">
        <f>"305.3 EAS"</f>
        <v>305.3 EAS</v>
      </c>
      <c r="B259" t="str">
        <f>"ethical slut: a practical guide to polya"</f>
        <v>ethical slut: a practical guide to polya</v>
      </c>
      <c r="C259">
        <v>352374</v>
      </c>
      <c r="D259" t="str">
        <f>"Hardy, Janet W."</f>
        <v>Hardy, Janet W.</v>
      </c>
      <c r="F259" t="str">
        <f>"311 pages, 23 cm"</f>
        <v>311 pages, 23 cm</v>
      </c>
      <c r="G259" s="1">
        <v>19</v>
      </c>
      <c r="H259">
        <v>2017</v>
      </c>
      <c r="I259" t="str">
        <f t="shared" si="6"/>
        <v>9: 300 - 399</v>
      </c>
      <c r="K259" t="str">
        <f t="shared" si="9"/>
        <v>WB - In</v>
      </c>
      <c r="L259" s="1">
        <v>24</v>
      </c>
      <c r="M259" t="s">
        <v>248</v>
      </c>
      <c r="O259" t="s">
        <v>28</v>
      </c>
      <c r="P259">
        <v>1</v>
      </c>
      <c r="Q259">
        <v>0</v>
      </c>
      <c r="R259">
        <v>1</v>
      </c>
      <c r="S259" s="2">
        <v>43487</v>
      </c>
      <c r="T259" s="2">
        <v>43493</v>
      </c>
      <c r="U259" s="2">
        <v>43535</v>
      </c>
    </row>
    <row r="260" spans="1:22" x14ac:dyDescent="0.2">
      <c r="A260" t="str">
        <f>"305.3 ELL"</f>
        <v>305.3 ELL</v>
      </c>
      <c r="B260" t="str">
        <f>"Duped: double lives, false identities, a"</f>
        <v>Duped: double lives, false identities, a</v>
      </c>
      <c r="C260">
        <v>353118</v>
      </c>
      <c r="D260" t="str">
        <f>"Ellin, Abby"</f>
        <v>Ellin, Abby</v>
      </c>
      <c r="F260" t="str">
        <f>"vii, 261 pages, 25 cm"</f>
        <v>vii, 261 pages, 25 cm</v>
      </c>
      <c r="G260" s="1">
        <v>19</v>
      </c>
      <c r="H260">
        <v>2019</v>
      </c>
      <c r="I260" t="str">
        <f t="shared" si="6"/>
        <v>9: 300 - 399</v>
      </c>
      <c r="K260" t="str">
        <f t="shared" si="9"/>
        <v>WB - In</v>
      </c>
      <c r="L260" s="1">
        <v>32</v>
      </c>
      <c r="M260" t="s">
        <v>249</v>
      </c>
      <c r="O260" t="s">
        <v>28</v>
      </c>
      <c r="P260">
        <v>9</v>
      </c>
      <c r="Q260">
        <v>1</v>
      </c>
      <c r="R260">
        <v>10</v>
      </c>
      <c r="S260" s="2">
        <v>43522</v>
      </c>
      <c r="T260" s="2">
        <v>43704</v>
      </c>
      <c r="U260" s="2">
        <v>43852</v>
      </c>
      <c r="V260" s="2">
        <v>43628</v>
      </c>
    </row>
    <row r="261" spans="1:22" x14ac:dyDescent="0.2">
      <c r="A261" t="str">
        <f>"305.3 FIN"</f>
        <v>305.3 FIN</v>
      </c>
      <c r="B261" t="str">
        <f>"all-or-nothing marriage: how the best ma"</f>
        <v>all-or-nothing marriage: how the best ma</v>
      </c>
      <c r="C261">
        <v>346635</v>
      </c>
      <c r="D261" t="str">
        <f>"Finkel, Eli J."</f>
        <v>Finkel, Eli J.</v>
      </c>
      <c r="F261" t="str">
        <f>"xv, 331 pages, 24 cm, illustrations"</f>
        <v>xv, 331 pages, 24 cm, illustrations</v>
      </c>
      <c r="G261" s="1">
        <v>18</v>
      </c>
      <c r="H261">
        <v>2017</v>
      </c>
      <c r="I261" t="str">
        <f t="shared" si="6"/>
        <v>9: 300 - 399</v>
      </c>
      <c r="K261" t="str">
        <f t="shared" si="9"/>
        <v>WB - In</v>
      </c>
      <c r="L261" s="1">
        <v>33</v>
      </c>
      <c r="M261" t="s">
        <v>250</v>
      </c>
      <c r="O261" t="s">
        <v>28</v>
      </c>
      <c r="P261">
        <v>8</v>
      </c>
      <c r="Q261">
        <v>0</v>
      </c>
      <c r="R261">
        <v>8</v>
      </c>
      <c r="S261" s="2">
        <v>43172</v>
      </c>
      <c r="T261" s="2">
        <v>43586</v>
      </c>
      <c r="U261" s="2">
        <v>43657</v>
      </c>
    </row>
    <row r="262" spans="1:22" x14ac:dyDescent="0.2">
      <c r="A262" t="str">
        <f>"305.3 FLO"</f>
        <v>305.3 FLO</v>
      </c>
      <c r="B262" t="str">
        <f>"heart is a shifting sea: love and marria"</f>
        <v>heart is a shifting sea: love and marria</v>
      </c>
      <c r="C262">
        <v>346357</v>
      </c>
      <c r="D262" t="str">
        <f>"Flock, Elizabeth"</f>
        <v>Flock, Elizabeth</v>
      </c>
      <c r="F262" t="str">
        <f>"xxii, 358 pages, 24 cm, maps"</f>
        <v>xxii, 358 pages, 24 cm, maps</v>
      </c>
      <c r="G262" s="1">
        <v>18</v>
      </c>
      <c r="H262">
        <v>2018</v>
      </c>
      <c r="I262" t="str">
        <f t="shared" si="6"/>
        <v>9: 300 - 399</v>
      </c>
      <c r="K262" t="str">
        <f>"LL - In"</f>
        <v>LL - In</v>
      </c>
      <c r="L262" s="1">
        <v>33</v>
      </c>
      <c r="M262" t="s">
        <v>251</v>
      </c>
      <c r="O262" t="s">
        <v>28</v>
      </c>
      <c r="P262">
        <v>7</v>
      </c>
      <c r="Q262">
        <v>1</v>
      </c>
      <c r="R262">
        <v>8</v>
      </c>
      <c r="S262" s="2">
        <v>43159</v>
      </c>
      <c r="T262" s="2">
        <v>43382</v>
      </c>
      <c r="U262" s="2">
        <v>43339</v>
      </c>
      <c r="V262" s="2">
        <v>43311</v>
      </c>
    </row>
    <row r="263" spans="1:22" x14ac:dyDescent="0.2">
      <c r="A263" t="str">
        <f>"305.3 FRI"</f>
        <v>305.3 FRI</v>
      </c>
      <c r="B263" t="str">
        <f>"7 best things (happy) couples do"</f>
        <v>7 best things (happy) couples do</v>
      </c>
      <c r="C263">
        <v>308330</v>
      </c>
      <c r="D263" t="str">
        <f>"Friel, John C."</f>
        <v>Friel, John C.</v>
      </c>
      <c r="F263" t="str">
        <f>"318 p."</f>
        <v>318 p.</v>
      </c>
      <c r="G263" s="1">
        <v>12</v>
      </c>
      <c r="H263">
        <v>2002</v>
      </c>
      <c r="I263" t="str">
        <f t="shared" si="6"/>
        <v>9: 300 - 399</v>
      </c>
      <c r="K263" t="str">
        <f>"LL - In"</f>
        <v>LL - In</v>
      </c>
      <c r="L263" s="1">
        <v>20</v>
      </c>
      <c r="M263" t="s">
        <v>252</v>
      </c>
      <c r="O263" t="s">
        <v>28</v>
      </c>
      <c r="P263">
        <v>3</v>
      </c>
      <c r="Q263">
        <v>0</v>
      </c>
      <c r="R263">
        <v>10</v>
      </c>
      <c r="S263" s="2">
        <v>41089</v>
      </c>
      <c r="T263" s="2">
        <v>41100</v>
      </c>
      <c r="U263" s="2">
        <v>43749</v>
      </c>
      <c r="V263" s="2">
        <v>41686</v>
      </c>
    </row>
    <row r="264" spans="1:22" x14ac:dyDescent="0.2">
      <c r="A264" t="str">
        <f>"305.3 FRI"</f>
        <v>305.3 FRI</v>
      </c>
      <c r="B264" t="str">
        <f>"naughty nineties: the triumph of the Ame"</f>
        <v>naughty nineties: the triumph of the Ame</v>
      </c>
      <c r="C264">
        <v>344299</v>
      </c>
      <c r="D264" t="str">
        <f>"Friend, David,"</f>
        <v>Friend, David,</v>
      </c>
      <c r="F264" t="str">
        <f>"vi, 631 pages, 24 cm"</f>
        <v>vi, 631 pages, 24 cm</v>
      </c>
      <c r="G264" s="1">
        <v>17</v>
      </c>
      <c r="H264">
        <v>2017</v>
      </c>
      <c r="I264" t="str">
        <f t="shared" ref="I264:I327" si="10">"9: 300 - 399"</f>
        <v>9: 300 - 399</v>
      </c>
      <c r="K264" t="str">
        <f>"WB - In"</f>
        <v>WB - In</v>
      </c>
      <c r="L264" s="1">
        <v>37</v>
      </c>
      <c r="M264" t="s">
        <v>253</v>
      </c>
      <c r="O264" t="s">
        <v>28</v>
      </c>
      <c r="P264">
        <v>1</v>
      </c>
      <c r="Q264">
        <v>0</v>
      </c>
      <c r="R264">
        <v>1</v>
      </c>
      <c r="S264" s="2">
        <v>43032</v>
      </c>
      <c r="T264" s="2">
        <v>43229</v>
      </c>
      <c r="U264" s="2">
        <v>43340</v>
      </c>
    </row>
    <row r="265" spans="1:22" x14ac:dyDescent="0.2">
      <c r="A265" t="str">
        <f>"305.3 GOT"</f>
        <v>305.3 GOT</v>
      </c>
      <c r="B265" t="str">
        <f>"seven principles for making marriage wor"</f>
        <v>seven principles for making marriage wor</v>
      </c>
      <c r="C265">
        <v>335275</v>
      </c>
      <c r="D265" t="str">
        <f>"Gottman, John Mordechai"</f>
        <v>Gottman, John Mordechai</v>
      </c>
      <c r="F265" t="str">
        <f>"xviii, 295 pages, 21 cm"</f>
        <v>xviii, 295 pages, 21 cm</v>
      </c>
      <c r="G265" s="1">
        <v>16</v>
      </c>
      <c r="H265">
        <v>2015</v>
      </c>
      <c r="I265" t="str">
        <f t="shared" si="10"/>
        <v>9: 300 - 399</v>
      </c>
      <c r="K265" t="str">
        <f>"WB - Out"</f>
        <v>WB - Out</v>
      </c>
      <c r="L265" s="1">
        <v>21</v>
      </c>
      <c r="M265" t="s">
        <v>254</v>
      </c>
      <c r="O265" t="s">
        <v>28</v>
      </c>
      <c r="P265">
        <v>21</v>
      </c>
      <c r="Q265">
        <v>1</v>
      </c>
      <c r="R265">
        <v>28</v>
      </c>
      <c r="S265" s="2">
        <v>42513</v>
      </c>
      <c r="T265" s="2">
        <v>42522</v>
      </c>
      <c r="U265" s="2">
        <v>43852</v>
      </c>
      <c r="V265" s="2">
        <v>42938</v>
      </c>
    </row>
    <row r="266" spans="1:22" x14ac:dyDescent="0.2">
      <c r="A266" t="str">
        <f>"305.3 GRA"</f>
        <v>305.3 GRA</v>
      </c>
      <c r="B266" t="str">
        <f>"Men are from Mars, women are from Venus:"</f>
        <v>Men are from Mars, women are from Venus:</v>
      </c>
      <c r="C266">
        <v>329548</v>
      </c>
      <c r="D266" t="str">
        <f>"Gray, John"</f>
        <v>Gray, John</v>
      </c>
      <c r="F266" t="str">
        <f>"x, 286 p., 22 cm"</f>
        <v>x, 286 p., 22 cm</v>
      </c>
      <c r="G266" s="1">
        <v>15</v>
      </c>
      <c r="H266">
        <v>1992</v>
      </c>
      <c r="I266" t="str">
        <f t="shared" si="10"/>
        <v>9: 300 - 399</v>
      </c>
      <c r="K266" t="str">
        <f>"LL - Out"</f>
        <v>LL - Out</v>
      </c>
      <c r="L266" s="1">
        <v>30</v>
      </c>
      <c r="M266" t="s">
        <v>255</v>
      </c>
      <c r="O266" t="s">
        <v>28</v>
      </c>
      <c r="P266">
        <v>11</v>
      </c>
      <c r="Q266">
        <v>1</v>
      </c>
      <c r="R266">
        <v>15</v>
      </c>
      <c r="S266" s="2">
        <v>42240</v>
      </c>
      <c r="T266" s="2">
        <v>42242</v>
      </c>
      <c r="U266" s="2">
        <v>43853</v>
      </c>
      <c r="V266" s="2">
        <v>42768</v>
      </c>
    </row>
    <row r="267" spans="1:22" x14ac:dyDescent="0.2">
      <c r="A267" t="str">
        <f>"305.3 HEN"</f>
        <v>305.3 HEN</v>
      </c>
      <c r="B267" t="str">
        <f>"Getting the love you want : a guide for "</f>
        <v xml:space="preserve">Getting the love you want : a guide for </v>
      </c>
      <c r="C267">
        <v>213235</v>
      </c>
      <c r="D267" t="str">
        <f>"Hendrix, Harville"</f>
        <v>Hendrix, Harville</v>
      </c>
      <c r="F267" t="str">
        <f>"332 p."</f>
        <v>332 p.</v>
      </c>
      <c r="G267">
        <v>98</v>
      </c>
      <c r="H267">
        <v>2008</v>
      </c>
      <c r="I267" t="str">
        <f t="shared" si="10"/>
        <v>9: 300 - 399</v>
      </c>
      <c r="K267" t="str">
        <f>"LL - In"</f>
        <v>LL - In</v>
      </c>
      <c r="L267" s="1">
        <v>24</v>
      </c>
      <c r="M267" t="s">
        <v>256</v>
      </c>
      <c r="O267" t="s">
        <v>28</v>
      </c>
      <c r="P267">
        <v>3</v>
      </c>
      <c r="Q267">
        <v>1</v>
      </c>
      <c r="R267">
        <v>32</v>
      </c>
      <c r="S267" s="2">
        <v>39666</v>
      </c>
      <c r="T267" s="2">
        <v>41053</v>
      </c>
      <c r="U267" s="2">
        <v>43749</v>
      </c>
      <c r="V267" s="2">
        <v>43073</v>
      </c>
    </row>
    <row r="268" spans="1:22" x14ac:dyDescent="0.2">
      <c r="A268" t="str">
        <f>"305.3 HEN"</f>
        <v>305.3 HEN</v>
      </c>
      <c r="B268" t="str">
        <f>"Getting the love you want : a guide for "</f>
        <v xml:space="preserve">Getting the love you want : a guide for </v>
      </c>
      <c r="C268">
        <v>329849</v>
      </c>
      <c r="D268" t="str">
        <f>"Hendrix, Harville"</f>
        <v>Hendrix, Harville</v>
      </c>
      <c r="F268" t="str">
        <f>"332 p."</f>
        <v>332 p.</v>
      </c>
      <c r="G268" s="1">
        <v>15</v>
      </c>
      <c r="H268">
        <v>2008</v>
      </c>
      <c r="I268" t="str">
        <f t="shared" si="10"/>
        <v>9: 300 - 399</v>
      </c>
      <c r="K268" t="str">
        <f>"WB - In"</f>
        <v>WB - In</v>
      </c>
      <c r="L268" s="1">
        <v>21</v>
      </c>
      <c r="M268" t="s">
        <v>256</v>
      </c>
      <c r="O268" t="s">
        <v>28</v>
      </c>
      <c r="P268">
        <v>8</v>
      </c>
      <c r="Q268">
        <v>0</v>
      </c>
      <c r="R268">
        <v>9</v>
      </c>
      <c r="S268" s="2">
        <v>42255</v>
      </c>
      <c r="T268" s="2">
        <v>42284</v>
      </c>
      <c r="U268" s="2">
        <v>43753</v>
      </c>
    </row>
    <row r="269" spans="1:22" x14ac:dyDescent="0.2">
      <c r="A269" t="str">
        <f>"305.3 HEN"</f>
        <v>305.3 HEN</v>
      </c>
      <c r="B269" t="str">
        <f>"Making marriage simple: 10 truths for ch"</f>
        <v>Making marriage simple: 10 truths for ch</v>
      </c>
      <c r="C269">
        <v>313083</v>
      </c>
      <c r="D269" t="str">
        <f>"Hendrix, Harville"</f>
        <v>Hendrix, Harville</v>
      </c>
      <c r="F269" t="str">
        <f>"x, 197 p., 22 cm., ill."</f>
        <v>x, 197 p., 22 cm., ill.</v>
      </c>
      <c r="G269" s="1">
        <v>13</v>
      </c>
      <c r="H269">
        <v>2013</v>
      </c>
      <c r="I269" t="str">
        <f t="shared" si="10"/>
        <v>9: 300 - 399</v>
      </c>
      <c r="K269" t="str">
        <f>"WB - In"</f>
        <v>WB - In</v>
      </c>
      <c r="L269" s="1">
        <v>27</v>
      </c>
      <c r="M269" t="s">
        <v>257</v>
      </c>
      <c r="O269" t="s">
        <v>28</v>
      </c>
      <c r="P269">
        <v>7</v>
      </c>
      <c r="Q269">
        <v>0</v>
      </c>
      <c r="R269">
        <v>27</v>
      </c>
      <c r="S269" s="2">
        <v>41359</v>
      </c>
      <c r="T269" s="2">
        <v>41766</v>
      </c>
      <c r="U269" s="2">
        <v>43499</v>
      </c>
      <c r="V269" s="2">
        <v>41836</v>
      </c>
    </row>
    <row r="270" spans="1:22" x14ac:dyDescent="0.2">
      <c r="A270" t="str">
        <f>"305.3 HUS"</f>
        <v>305.3 HUS</v>
      </c>
      <c r="B270" t="str">
        <f>"Get the guy: learn secrets of the male m"</f>
        <v>Get the guy: learn secrets of the male m</v>
      </c>
      <c r="C270">
        <v>342007</v>
      </c>
      <c r="D270" t="str">
        <f>"Hussey, Matthew"</f>
        <v>Hussey, Matthew</v>
      </c>
      <c r="F270" t="str">
        <f>"xvii, 250 p., 24 cm."</f>
        <v>xvii, 250 p., 24 cm.</v>
      </c>
      <c r="G270" s="1">
        <v>17</v>
      </c>
      <c r="H270">
        <v>2013</v>
      </c>
      <c r="I270" t="str">
        <f t="shared" si="10"/>
        <v>9: 300 - 399</v>
      </c>
      <c r="K270" t="str">
        <f>"LL - In"</f>
        <v>LL - In</v>
      </c>
      <c r="L270" s="1">
        <v>21</v>
      </c>
      <c r="M270" t="s">
        <v>258</v>
      </c>
      <c r="O270" t="s">
        <v>28</v>
      </c>
      <c r="P270">
        <v>3</v>
      </c>
      <c r="Q270">
        <v>0</v>
      </c>
      <c r="R270">
        <v>3</v>
      </c>
      <c r="S270" s="2">
        <v>42908</v>
      </c>
      <c r="T270" s="2">
        <v>42913</v>
      </c>
      <c r="U270" s="2">
        <v>43643</v>
      </c>
    </row>
    <row r="271" spans="1:22" x14ac:dyDescent="0.2">
      <c r="A271" t="str">
        <f>"305.3 JOR"</f>
        <v>305.3 JOR</v>
      </c>
      <c r="B271" t="str">
        <f>"Online dating for women over 40: the hop"</f>
        <v>Online dating for women over 40: the hop</v>
      </c>
      <c r="C271">
        <v>353473</v>
      </c>
      <c r="D271" t="str">
        <f>"Jordan, Christie."</f>
        <v>Jordan, Christie.</v>
      </c>
      <c r="F271" t="str">
        <f>"218 p."</f>
        <v>218 p.</v>
      </c>
      <c r="G271" s="1">
        <v>19</v>
      </c>
      <c r="H271">
        <v>2013</v>
      </c>
      <c r="I271" t="str">
        <f t="shared" si="10"/>
        <v>9: 300 - 399</v>
      </c>
      <c r="K271" t="str">
        <f>"LL - In"</f>
        <v>LL - In</v>
      </c>
      <c r="L271" s="1">
        <v>15</v>
      </c>
      <c r="M271" t="s">
        <v>259</v>
      </c>
      <c r="O271" t="s">
        <v>28</v>
      </c>
      <c r="P271">
        <v>1</v>
      </c>
      <c r="Q271">
        <v>0</v>
      </c>
      <c r="R271">
        <v>1</v>
      </c>
      <c r="S271" s="2">
        <v>43532</v>
      </c>
      <c r="T271" s="2">
        <v>43545</v>
      </c>
      <c r="U271" s="2">
        <v>43552</v>
      </c>
    </row>
    <row r="272" spans="1:22" x14ac:dyDescent="0.2">
      <c r="A272" t="str">
        <f>"305.3 LIP"</f>
        <v>305.3 LIP</v>
      </c>
      <c r="B272" t="str">
        <f>"Hot mama: 12 secrets to a sizzling hot m"</f>
        <v>Hot mama: 12 secrets to a sizzling hot m</v>
      </c>
      <c r="C272">
        <v>285584</v>
      </c>
      <c r="D272" t="str">
        <f>"Lipp, Kathi"</f>
        <v>Lipp, Kathi</v>
      </c>
      <c r="F272" t="str">
        <f>"185 pages, 22 cm"</f>
        <v>185 pages, 22 cm</v>
      </c>
      <c r="G272">
        <v>16</v>
      </c>
      <c r="H272">
        <v>2015</v>
      </c>
      <c r="I272" t="str">
        <f t="shared" si="10"/>
        <v>9: 300 - 399</v>
      </c>
      <c r="K272" t="str">
        <f>"LL - In"</f>
        <v>LL - In</v>
      </c>
      <c r="L272" s="1">
        <v>18</v>
      </c>
      <c r="M272" t="s">
        <v>260</v>
      </c>
      <c r="O272" t="s">
        <v>28</v>
      </c>
      <c r="P272">
        <v>2</v>
      </c>
      <c r="Q272">
        <v>1</v>
      </c>
      <c r="R272">
        <v>7</v>
      </c>
      <c r="S272" s="2">
        <v>42386</v>
      </c>
      <c r="T272" s="2">
        <v>42402</v>
      </c>
      <c r="U272" s="2">
        <v>43666</v>
      </c>
      <c r="V272" s="2">
        <v>42929</v>
      </c>
    </row>
    <row r="273" spans="1:22" x14ac:dyDescent="0.2">
      <c r="A273" t="str">
        <f>"305.3 NAG"</f>
        <v>305.3 NAG</v>
      </c>
      <c r="B273" t="str">
        <f>"Come as you are: the surprising new scie"</f>
        <v>Come as you are: the surprising new scie</v>
      </c>
      <c r="C273">
        <v>353281</v>
      </c>
      <c r="D273" t="str">
        <f>"Nagoski, Emily."</f>
        <v>Nagoski, Emily.</v>
      </c>
      <c r="F273" t="str">
        <f>"xi, 400 pages, 23 cm"</f>
        <v>xi, 400 pages, 23 cm</v>
      </c>
      <c r="G273" s="1">
        <v>19</v>
      </c>
      <c r="H273">
        <v>2015</v>
      </c>
      <c r="I273" t="str">
        <f t="shared" si="10"/>
        <v>9: 300 - 399</v>
      </c>
      <c r="K273" t="str">
        <f>"WB - In"</f>
        <v>WB - In</v>
      </c>
      <c r="L273" s="1">
        <v>23</v>
      </c>
      <c r="M273" t="s">
        <v>261</v>
      </c>
      <c r="O273" t="s">
        <v>28</v>
      </c>
      <c r="P273">
        <v>1</v>
      </c>
      <c r="Q273">
        <v>0</v>
      </c>
      <c r="R273">
        <v>1</v>
      </c>
      <c r="S273" s="2">
        <v>43529</v>
      </c>
      <c r="T273" s="2">
        <v>43542</v>
      </c>
      <c r="U273" s="2">
        <v>43557</v>
      </c>
    </row>
    <row r="274" spans="1:22" x14ac:dyDescent="0.2">
      <c r="A274" t="str">
        <f>"305.3 NEW"</f>
        <v>305.3 NEW</v>
      </c>
      <c r="B274" t="str">
        <f>"121 first dates: how to succeed at onlin"</f>
        <v>121 first dates: how to succeed at onlin</v>
      </c>
      <c r="C274">
        <v>353636</v>
      </c>
      <c r="D274" t="str">
        <f>"Newman, Wendy"</f>
        <v>Newman, Wendy</v>
      </c>
      <c r="F274" t="str">
        <f>"xxiii, 296 pages, 22 cm"</f>
        <v>xxiii, 296 pages, 22 cm</v>
      </c>
      <c r="G274" s="1">
        <v>19</v>
      </c>
      <c r="H274">
        <v>2016</v>
      </c>
      <c r="I274" t="str">
        <f t="shared" si="10"/>
        <v>9: 300 - 399</v>
      </c>
      <c r="K274" t="str">
        <f>"LL - In"</f>
        <v>LL - In</v>
      </c>
      <c r="L274" s="1">
        <v>21</v>
      </c>
      <c r="M274" t="s">
        <v>262</v>
      </c>
      <c r="O274" t="s">
        <v>28</v>
      </c>
      <c r="P274">
        <v>1</v>
      </c>
      <c r="Q274">
        <v>0</v>
      </c>
      <c r="R274">
        <v>1</v>
      </c>
      <c r="S274" s="2">
        <v>43542</v>
      </c>
      <c r="T274" s="2">
        <v>43559</v>
      </c>
      <c r="U274" s="2">
        <v>43573</v>
      </c>
    </row>
    <row r="275" spans="1:22" x14ac:dyDescent="0.2">
      <c r="A275" t="str">
        <f>"305.3 PAG"</f>
        <v>305.3 PAG</v>
      </c>
      <c r="B275" t="str">
        <f>"How to be a great lover: girlfriend-to-g"</f>
        <v>How to be a great lover: girlfriend-to-g</v>
      </c>
      <c r="C275">
        <v>348283</v>
      </c>
      <c r="D275" t="str">
        <f>"Paget, Lou."</f>
        <v>Paget, Lou.</v>
      </c>
      <c r="F275" t="str">
        <f>"235 p., 22 cm, ill."</f>
        <v>235 p., 22 cm, ill.</v>
      </c>
      <c r="G275" s="1">
        <v>18</v>
      </c>
      <c r="H275">
        <v>1999</v>
      </c>
      <c r="I275" t="str">
        <f t="shared" si="10"/>
        <v>9: 300 - 399</v>
      </c>
      <c r="K275" t="str">
        <f>"WB - In"</f>
        <v>WB - In</v>
      </c>
      <c r="L275" s="1">
        <v>25</v>
      </c>
      <c r="M275" t="s">
        <v>263</v>
      </c>
      <c r="O275" t="s">
        <v>28</v>
      </c>
      <c r="P275">
        <v>4</v>
      </c>
      <c r="Q275">
        <v>0</v>
      </c>
      <c r="R275">
        <v>4</v>
      </c>
      <c r="S275" s="2">
        <v>43269</v>
      </c>
      <c r="T275" s="2">
        <v>43271</v>
      </c>
      <c r="U275" s="2">
        <v>43809</v>
      </c>
    </row>
    <row r="276" spans="1:22" x14ac:dyDescent="0.2">
      <c r="A276" t="str">
        <f>"305.3 PER"</f>
        <v>305.3 PER</v>
      </c>
      <c r="B276" t="str">
        <f>"Mating in captivity: unlocking erotic in"</f>
        <v>Mating in captivity: unlocking erotic in</v>
      </c>
      <c r="C276">
        <v>358324</v>
      </c>
      <c r="D276" t="str">
        <f>"Perel, Esther"</f>
        <v>Perel, Esther</v>
      </c>
      <c r="F276" t="str">
        <f>"xxi, 244 p., 20 cm"</f>
        <v>xxi, 244 p., 20 cm</v>
      </c>
      <c r="G276" s="1">
        <v>19</v>
      </c>
      <c r="H276">
        <v>2007</v>
      </c>
      <c r="I276" t="str">
        <f t="shared" si="10"/>
        <v>9: 300 - 399</v>
      </c>
      <c r="K276" t="str">
        <f>"WB - Out"</f>
        <v>WB - Out</v>
      </c>
      <c r="L276" s="1">
        <v>21</v>
      </c>
      <c r="M276" t="s">
        <v>264</v>
      </c>
      <c r="O276" t="s">
        <v>28</v>
      </c>
      <c r="P276">
        <v>1</v>
      </c>
      <c r="Q276">
        <v>0</v>
      </c>
      <c r="R276">
        <v>1</v>
      </c>
      <c r="S276" s="2">
        <v>43749</v>
      </c>
      <c r="T276" s="2">
        <v>43819</v>
      </c>
      <c r="U276" s="2">
        <v>43843</v>
      </c>
    </row>
    <row r="277" spans="1:22" x14ac:dyDescent="0.2">
      <c r="A277" t="str">
        <f>"305.3 PER"</f>
        <v>305.3 PER</v>
      </c>
      <c r="B277" t="str">
        <f>"state of affairs: rethinking infidelity"</f>
        <v>state of affairs: rethinking infidelity</v>
      </c>
      <c r="C277">
        <v>344311</v>
      </c>
      <c r="D277" t="str">
        <f>"Perel, Esther"</f>
        <v>Perel, Esther</v>
      </c>
      <c r="F277" t="str">
        <f>"xvi, 319 pages, 24 cm"</f>
        <v>xvi, 319 pages, 24 cm</v>
      </c>
      <c r="G277" s="1">
        <v>17</v>
      </c>
      <c r="H277">
        <v>2017</v>
      </c>
      <c r="I277" t="str">
        <f t="shared" si="10"/>
        <v>9: 300 - 399</v>
      </c>
      <c r="K277" t="str">
        <f>"WB - In"</f>
        <v>WB - In</v>
      </c>
      <c r="L277" s="1">
        <v>32</v>
      </c>
      <c r="M277" t="s">
        <v>265</v>
      </c>
      <c r="O277" t="s">
        <v>28</v>
      </c>
      <c r="P277">
        <v>10</v>
      </c>
      <c r="Q277">
        <v>1</v>
      </c>
      <c r="R277">
        <v>11</v>
      </c>
      <c r="S277" s="2">
        <v>43032</v>
      </c>
      <c r="T277" s="2">
        <v>43220</v>
      </c>
      <c r="U277" s="2">
        <v>43793</v>
      </c>
      <c r="V277" s="2">
        <v>43574</v>
      </c>
    </row>
    <row r="278" spans="1:22" x14ac:dyDescent="0.2">
      <c r="A278" t="str">
        <f>"305.3 PIL"</f>
        <v>305.3 PIL</v>
      </c>
      <c r="B278" t="str">
        <f>"30 lessons for loving: advice from the w"</f>
        <v>30 lessons for loving: advice from the w</v>
      </c>
      <c r="C278">
        <v>326219</v>
      </c>
      <c r="D278" t="str">
        <f>"Pillemer, Karl A."</f>
        <v>Pillemer, Karl A.</v>
      </c>
      <c r="F278" t="str">
        <f>"xxi, 280 pages, 24 cm"</f>
        <v>xxi, 280 pages, 24 cm</v>
      </c>
      <c r="G278" s="1">
        <v>15</v>
      </c>
      <c r="H278">
        <v>2015</v>
      </c>
      <c r="I278" t="str">
        <f t="shared" si="10"/>
        <v>9: 300 - 399</v>
      </c>
      <c r="K278" t="str">
        <f>"LL - Out"</f>
        <v>LL - Out</v>
      </c>
      <c r="L278" s="1">
        <v>31</v>
      </c>
      <c r="M278" t="s">
        <v>266</v>
      </c>
      <c r="O278" t="s">
        <v>28</v>
      </c>
      <c r="P278">
        <v>3</v>
      </c>
      <c r="Q278">
        <v>0</v>
      </c>
      <c r="R278">
        <v>11</v>
      </c>
      <c r="S278" s="2">
        <v>42065</v>
      </c>
      <c r="T278" s="2">
        <v>42260</v>
      </c>
      <c r="U278" s="2">
        <v>43860</v>
      </c>
    </row>
    <row r="279" spans="1:22" x14ac:dyDescent="0.2">
      <c r="A279" t="str">
        <f>"305.3 PLU"</f>
        <v>305.3 PLU</v>
      </c>
      <c r="B279" t="str">
        <f>"Vow: a memoir of marriage and infidelity"</f>
        <v>Vow: a memoir of marriage and infidelity</v>
      </c>
      <c r="C279">
        <v>312588</v>
      </c>
      <c r="D279" t="str">
        <f>"Plump, Wendy."</f>
        <v>Plump, Wendy.</v>
      </c>
      <c r="F279" t="str">
        <f>"258 p."</f>
        <v>258 p.</v>
      </c>
      <c r="G279" s="1">
        <v>13</v>
      </c>
      <c r="H279">
        <v>2013</v>
      </c>
      <c r="I279" t="str">
        <f t="shared" si="10"/>
        <v>9: 300 - 399</v>
      </c>
      <c r="K279" t="str">
        <f>"WB - In"</f>
        <v>WB - In</v>
      </c>
      <c r="L279" s="1">
        <v>30</v>
      </c>
      <c r="M279" t="s">
        <v>267</v>
      </c>
      <c r="O279" t="s">
        <v>28</v>
      </c>
      <c r="P279">
        <v>0</v>
      </c>
      <c r="Q279">
        <v>0</v>
      </c>
      <c r="R279">
        <v>19</v>
      </c>
      <c r="S279" s="2">
        <v>41324</v>
      </c>
      <c r="T279" s="2">
        <v>41562</v>
      </c>
      <c r="U279" s="2">
        <v>42445</v>
      </c>
    </row>
    <row r="280" spans="1:22" x14ac:dyDescent="0.2">
      <c r="A280" t="str">
        <f>"305.3 ROB"</f>
        <v>305.3 ROB</v>
      </c>
      <c r="B280" t="str">
        <f>"How to date men when you hate men"</f>
        <v>How to date men when you hate men</v>
      </c>
      <c r="C280">
        <v>354255</v>
      </c>
      <c r="D280" t="str">
        <f>"Roberson, Blythe"</f>
        <v>Roberson, Blythe</v>
      </c>
      <c r="F280" t="str">
        <f>"272 pages, 20 cm"</f>
        <v>272 pages, 20 cm</v>
      </c>
      <c r="G280" s="1">
        <v>19</v>
      </c>
      <c r="H280">
        <v>2019</v>
      </c>
      <c r="I280" t="str">
        <f t="shared" si="10"/>
        <v>9: 300 - 399</v>
      </c>
      <c r="K280" t="str">
        <f>"LL - In"</f>
        <v>LL - In</v>
      </c>
      <c r="L280" s="1">
        <v>25</v>
      </c>
      <c r="M280" t="s">
        <v>268</v>
      </c>
      <c r="O280" t="s">
        <v>28</v>
      </c>
      <c r="P280">
        <v>4</v>
      </c>
      <c r="Q280">
        <v>0</v>
      </c>
      <c r="R280">
        <v>4</v>
      </c>
      <c r="S280" s="2">
        <v>43572</v>
      </c>
      <c r="T280" s="2">
        <v>43836</v>
      </c>
      <c r="U280" s="2">
        <v>43661</v>
      </c>
    </row>
    <row r="281" spans="1:22" x14ac:dyDescent="0.2">
      <c r="A281" t="str">
        <f>"305.3 ROB"</f>
        <v>305.3 ROB</v>
      </c>
      <c r="B281" t="str">
        <f>"Communication miracles for couples: easy"</f>
        <v>Communication miracles for couples: easy</v>
      </c>
      <c r="C281">
        <v>336982</v>
      </c>
      <c r="D281" t="str">
        <f>"Robinson, Jonathan,"</f>
        <v>Robinson, Jonathan,</v>
      </c>
      <c r="F281" t="str">
        <f>"171 p., 22 cm"</f>
        <v>171 p., 22 cm</v>
      </c>
      <c r="G281" s="1">
        <v>16</v>
      </c>
      <c r="H281">
        <v>2012</v>
      </c>
      <c r="I281" t="str">
        <f t="shared" si="10"/>
        <v>9: 300 - 399</v>
      </c>
      <c r="K281" t="str">
        <f>"WB - In"</f>
        <v>WB - In</v>
      </c>
      <c r="L281" s="1">
        <v>20</v>
      </c>
      <c r="M281" t="s">
        <v>269</v>
      </c>
      <c r="O281" t="s">
        <v>28</v>
      </c>
      <c r="P281">
        <v>6</v>
      </c>
      <c r="Q281">
        <v>0</v>
      </c>
      <c r="R281">
        <v>8</v>
      </c>
      <c r="S281" s="2">
        <v>42605</v>
      </c>
      <c r="T281" s="2">
        <v>42636</v>
      </c>
      <c r="U281" s="2">
        <v>43687</v>
      </c>
    </row>
    <row r="282" spans="1:22" x14ac:dyDescent="0.2">
      <c r="A282" t="str">
        <f>"305.3 SAS"</f>
        <v>305.3 SAS</v>
      </c>
      <c r="B282" t="str">
        <f>"Art of the date"</f>
        <v>Art of the date</v>
      </c>
      <c r="C282">
        <v>406934</v>
      </c>
      <c r="D282" t="str">
        <f>"Sassoon, Rori"</f>
        <v>Sassoon, Rori</v>
      </c>
      <c r="F282" t="str">
        <f>"238 p."</f>
        <v>238 p.</v>
      </c>
      <c r="G282" s="1">
        <v>19</v>
      </c>
      <c r="H282">
        <v>2019</v>
      </c>
      <c r="I282" t="str">
        <f t="shared" si="10"/>
        <v>9: 300 - 399</v>
      </c>
      <c r="K282" t="str">
        <f>"WB - In"</f>
        <v>WB - In</v>
      </c>
      <c r="L282" s="1">
        <v>30</v>
      </c>
      <c r="M282" t="s">
        <v>270</v>
      </c>
      <c r="O282" t="s">
        <v>28</v>
      </c>
      <c r="P282">
        <v>2</v>
      </c>
      <c r="Q282">
        <v>0</v>
      </c>
      <c r="R282">
        <v>2</v>
      </c>
      <c r="S282" s="2">
        <v>43648</v>
      </c>
      <c r="T282" s="2">
        <v>43657</v>
      </c>
      <c r="U282" s="2">
        <v>43720</v>
      </c>
    </row>
    <row r="283" spans="1:22" x14ac:dyDescent="0.2">
      <c r="A283" t="str">
        <f>"305.3 SAY"</f>
        <v>305.3 SAY</v>
      </c>
      <c r="B283" t="str">
        <f>"Coming back together: a guide to success"</f>
        <v>Coming back together: a guide to success</v>
      </c>
      <c r="C283">
        <v>325147</v>
      </c>
      <c r="D283" t="str">
        <f>"Sayers, Steven L."</f>
        <v>Sayers, Steven L.</v>
      </c>
      <c r="F283" t="str">
        <f>"xi, 188 pages, 23 cm"</f>
        <v>xi, 188 pages, 23 cm</v>
      </c>
      <c r="G283" s="1">
        <v>14</v>
      </c>
      <c r="H283">
        <v>2014</v>
      </c>
      <c r="I283" t="str">
        <f t="shared" si="10"/>
        <v>9: 300 - 399</v>
      </c>
      <c r="K283" t="str">
        <f>"LL - In"</f>
        <v>LL - In</v>
      </c>
      <c r="L283" s="1">
        <v>22</v>
      </c>
      <c r="M283" t="s">
        <v>271</v>
      </c>
      <c r="O283" t="s">
        <v>28</v>
      </c>
      <c r="P283">
        <v>0</v>
      </c>
      <c r="Q283">
        <v>1</v>
      </c>
      <c r="R283">
        <v>1</v>
      </c>
      <c r="S283" s="2">
        <v>41995</v>
      </c>
      <c r="T283" s="2">
        <v>42026</v>
      </c>
      <c r="V283" s="2">
        <v>43624</v>
      </c>
    </row>
    <row r="284" spans="1:22" x14ac:dyDescent="0.2">
      <c r="A284" t="str">
        <f>"305.3 SCH"</f>
        <v>305.3 SCH</v>
      </c>
      <c r="B284" t="str">
        <f>"Leave a cheater, gain a life: the Chump "</f>
        <v xml:space="preserve">Leave a cheater, gain a life: the Chump </v>
      </c>
      <c r="C284">
        <v>352983</v>
      </c>
      <c r="D284" t="str">
        <f>"Schorn, Tracy"</f>
        <v>Schorn, Tracy</v>
      </c>
      <c r="F284" t="str">
        <f>"240 pages, 21 cm, color illustrations"</f>
        <v>240 pages, 21 cm, color illustrations</v>
      </c>
      <c r="G284" s="1">
        <v>19</v>
      </c>
      <c r="H284">
        <v>2016</v>
      </c>
      <c r="I284" t="str">
        <f t="shared" si="10"/>
        <v>9: 300 - 399</v>
      </c>
      <c r="K284" t="str">
        <f>"WB - In"</f>
        <v>WB - In</v>
      </c>
      <c r="L284" s="1">
        <v>20</v>
      </c>
      <c r="M284" t="s">
        <v>272</v>
      </c>
      <c r="O284" t="s">
        <v>28</v>
      </c>
      <c r="P284">
        <v>0</v>
      </c>
      <c r="Q284">
        <v>1</v>
      </c>
      <c r="R284">
        <v>1</v>
      </c>
      <c r="S284" s="2">
        <v>43515</v>
      </c>
      <c r="T284" s="2">
        <v>43532</v>
      </c>
      <c r="V284" s="2">
        <v>43561</v>
      </c>
    </row>
    <row r="285" spans="1:22" x14ac:dyDescent="0.2">
      <c r="A285" t="str">
        <f>"305.3 SEX"</f>
        <v>305.3 SEX</v>
      </c>
      <c r="B285" t="str">
        <f>"If you're in my office, it's already too"</f>
        <v>If you're in my office, it's already too</v>
      </c>
      <c r="C285">
        <v>347367</v>
      </c>
      <c r="D285" t="str">
        <f>"Sexton, James J."</f>
        <v>Sexton, James J.</v>
      </c>
      <c r="F285" t="str">
        <f>"xix, 262 pages, 25 cm"</f>
        <v>xix, 262 pages, 25 cm</v>
      </c>
      <c r="G285" s="1">
        <v>18</v>
      </c>
      <c r="H285">
        <v>2018</v>
      </c>
      <c r="I285" t="str">
        <f t="shared" si="10"/>
        <v>9: 300 - 399</v>
      </c>
      <c r="K285" t="str">
        <f>"LL - In"</f>
        <v>LL - In</v>
      </c>
      <c r="L285" s="1">
        <v>31</v>
      </c>
      <c r="M285" t="s">
        <v>273</v>
      </c>
      <c r="O285" t="s">
        <v>28</v>
      </c>
      <c r="P285">
        <v>8</v>
      </c>
      <c r="Q285">
        <v>1</v>
      </c>
      <c r="R285">
        <v>9</v>
      </c>
      <c r="S285" s="2">
        <v>43214</v>
      </c>
      <c r="T285" s="2">
        <v>43439</v>
      </c>
      <c r="U285" s="2">
        <v>43473</v>
      </c>
      <c r="V285" s="2">
        <v>43255</v>
      </c>
    </row>
    <row r="286" spans="1:22" x14ac:dyDescent="0.2">
      <c r="A286" t="str">
        <f>"305.3 SPI"</f>
        <v>305.3 SPI</v>
      </c>
      <c r="B286" t="str">
        <f>"Action: a book about sex"</f>
        <v>Action: a book about sex</v>
      </c>
      <c r="C286">
        <v>336126</v>
      </c>
      <c r="D286" t="str">
        <f>"Spiegel, Amy Rose"</f>
        <v>Spiegel, Amy Rose</v>
      </c>
      <c r="F286" t="str">
        <f>"xvii, 217 pages, 21 cm, illustrations"</f>
        <v>xvii, 217 pages, 21 cm, illustrations</v>
      </c>
      <c r="G286" s="1">
        <v>16</v>
      </c>
      <c r="H286">
        <v>2016</v>
      </c>
      <c r="I286" t="str">
        <f t="shared" si="10"/>
        <v>9: 300 - 399</v>
      </c>
      <c r="K286" t="str">
        <f>"WB - In"</f>
        <v>WB - In</v>
      </c>
      <c r="L286" s="1">
        <v>21</v>
      </c>
      <c r="M286" t="s">
        <v>274</v>
      </c>
      <c r="O286" t="s">
        <v>28</v>
      </c>
      <c r="P286">
        <v>0</v>
      </c>
      <c r="Q286">
        <v>0</v>
      </c>
      <c r="R286">
        <v>0</v>
      </c>
      <c r="S286" s="2">
        <v>42565</v>
      </c>
      <c r="T286" s="2">
        <v>42579</v>
      </c>
    </row>
    <row r="287" spans="1:22" x14ac:dyDescent="0.2">
      <c r="A287" t="str">
        <f>"305.3 SPR"</f>
        <v>305.3 SPR</v>
      </c>
      <c r="B287" t="str">
        <f>"After the affair: healing the pain and r"</f>
        <v>After the affair: healing the pain and r</v>
      </c>
      <c r="C287">
        <v>348611</v>
      </c>
      <c r="D287" t="str">
        <f>"Spring, Janis Abrahms."</f>
        <v>Spring, Janis Abrahms.</v>
      </c>
      <c r="F287" t="str">
        <f>"xi, 336 p., 21 cm, ill."</f>
        <v>xi, 336 p., 21 cm, ill.</v>
      </c>
      <c r="G287" s="1">
        <v>18</v>
      </c>
      <c r="H287">
        <v>2012</v>
      </c>
      <c r="I287" t="str">
        <f t="shared" si="10"/>
        <v>9: 300 - 399</v>
      </c>
      <c r="K287" t="str">
        <f>"LL - In"</f>
        <v>LL - In</v>
      </c>
      <c r="L287" s="1">
        <v>22</v>
      </c>
      <c r="M287" t="s">
        <v>275</v>
      </c>
      <c r="O287" t="s">
        <v>28</v>
      </c>
      <c r="P287">
        <v>1</v>
      </c>
      <c r="Q287">
        <v>1</v>
      </c>
      <c r="R287">
        <v>2</v>
      </c>
      <c r="S287" s="2">
        <v>43292</v>
      </c>
      <c r="T287" s="2">
        <v>43311</v>
      </c>
      <c r="U287" s="2">
        <v>43505</v>
      </c>
      <c r="V287" s="2">
        <v>43624</v>
      </c>
    </row>
    <row r="288" spans="1:22" x14ac:dyDescent="0.2">
      <c r="A288" t="str">
        <f>"305.3 STR"</f>
        <v>305.3 STR</v>
      </c>
      <c r="B288" t="str">
        <f>"truth: an uncomfortable book about relat"</f>
        <v>truth: an uncomfortable book about relat</v>
      </c>
      <c r="C288">
        <v>330814</v>
      </c>
      <c r="D288" t="str">
        <f>"Strauss, Neil"</f>
        <v>Strauss, Neil</v>
      </c>
      <c r="F288" t="str">
        <f>"421 pages, 24 cm, illustrations"</f>
        <v>421 pages, 24 cm, illustrations</v>
      </c>
      <c r="G288" s="1">
        <v>15</v>
      </c>
      <c r="H288">
        <v>2015</v>
      </c>
      <c r="I288" t="str">
        <f t="shared" si="10"/>
        <v>9: 300 - 399</v>
      </c>
      <c r="K288" t="str">
        <f>"WB - In"</f>
        <v>WB - In</v>
      </c>
      <c r="L288" s="1">
        <v>35</v>
      </c>
      <c r="M288" t="s">
        <v>276</v>
      </c>
      <c r="O288" t="s">
        <v>28</v>
      </c>
      <c r="P288">
        <v>4</v>
      </c>
      <c r="Q288">
        <v>0</v>
      </c>
      <c r="R288">
        <v>11</v>
      </c>
      <c r="S288" s="2">
        <v>42300</v>
      </c>
      <c r="T288" s="2">
        <v>42522</v>
      </c>
      <c r="U288" s="2">
        <v>43732</v>
      </c>
      <c r="V288" s="2">
        <v>42620</v>
      </c>
    </row>
    <row r="289" spans="1:22" x14ac:dyDescent="0.2">
      <c r="A289" t="str">
        <f>"305.3 TAD"</f>
        <v>305.3 TAD</v>
      </c>
      <c r="B289" t="str">
        <f>"Three women"</f>
        <v>Three women</v>
      </c>
      <c r="C289">
        <v>356154</v>
      </c>
      <c r="D289" t="str">
        <f>"Taddeo, Lisa"</f>
        <v>Taddeo, Lisa</v>
      </c>
      <c r="F289" t="str">
        <f>"x, 306 pages, 25 cm"</f>
        <v>x, 306 pages, 25 cm</v>
      </c>
      <c r="G289" s="1">
        <v>19</v>
      </c>
      <c r="H289">
        <v>2019</v>
      </c>
      <c r="I289" t="str">
        <f t="shared" si="10"/>
        <v>9: 300 - 399</v>
      </c>
      <c r="K289" t="str">
        <f>"WB - In"</f>
        <v>WB - In</v>
      </c>
      <c r="L289" s="1">
        <v>32</v>
      </c>
      <c r="M289" t="s">
        <v>277</v>
      </c>
      <c r="O289" t="s">
        <v>28</v>
      </c>
      <c r="P289">
        <v>9</v>
      </c>
      <c r="Q289">
        <v>0</v>
      </c>
      <c r="R289">
        <v>9</v>
      </c>
      <c r="S289" s="2">
        <v>43655</v>
      </c>
      <c r="T289" s="2">
        <v>43822</v>
      </c>
      <c r="U289" s="2">
        <v>43836</v>
      </c>
    </row>
    <row r="290" spans="1:22" x14ac:dyDescent="0.2">
      <c r="A290" t="str">
        <f>"305.3 TRA"</f>
        <v>305.3 TRA</v>
      </c>
      <c r="B290" t="str">
        <f>"All the single ladies: unmarried women a"</f>
        <v>All the single ladies: unmarried women a</v>
      </c>
      <c r="C290">
        <v>333553</v>
      </c>
      <c r="D290" t="str">
        <f>"Traister, Rebecca"</f>
        <v>Traister, Rebecca</v>
      </c>
      <c r="F290" t="str">
        <f>"xii, 339 pages, 24 cm"</f>
        <v>xii, 339 pages, 24 cm</v>
      </c>
      <c r="G290" s="1">
        <v>16</v>
      </c>
      <c r="H290">
        <v>2016</v>
      </c>
      <c r="I290" t="str">
        <f t="shared" si="10"/>
        <v>9: 300 - 399</v>
      </c>
      <c r="K290" t="str">
        <f>"WB - In"</f>
        <v>WB - In</v>
      </c>
      <c r="L290" s="1">
        <v>32</v>
      </c>
      <c r="M290" t="s">
        <v>278</v>
      </c>
      <c r="O290" t="s">
        <v>28</v>
      </c>
      <c r="P290">
        <v>3</v>
      </c>
      <c r="Q290">
        <v>0</v>
      </c>
      <c r="R290">
        <v>13</v>
      </c>
      <c r="S290" s="2">
        <v>42429</v>
      </c>
      <c r="T290" s="2">
        <v>42621</v>
      </c>
      <c r="U290" s="2">
        <v>43351</v>
      </c>
      <c r="V290" s="2">
        <v>42717</v>
      </c>
    </row>
    <row r="291" spans="1:22" x14ac:dyDescent="0.2">
      <c r="A291" t="str">
        <f>"305.3 WAD"</f>
        <v>305.3 WAD</v>
      </c>
      <c r="B291" t="str">
        <f>"American hookup: the new culture of sex "</f>
        <v xml:space="preserve">American hookup: the new culture of sex </v>
      </c>
      <c r="C291">
        <v>339329</v>
      </c>
      <c r="D291" t="str">
        <f>"Wade, Lisa"</f>
        <v>Wade, Lisa</v>
      </c>
      <c r="F291" t="str">
        <f>"304 pages, 25 cm"</f>
        <v>304 pages, 25 cm</v>
      </c>
      <c r="G291" s="1">
        <v>17</v>
      </c>
      <c r="H291">
        <v>2017</v>
      </c>
      <c r="I291" t="str">
        <f t="shared" si="10"/>
        <v>9: 300 - 399</v>
      </c>
      <c r="K291" t="str">
        <f>"LL - In"</f>
        <v>LL - In</v>
      </c>
      <c r="L291" s="1">
        <v>32</v>
      </c>
      <c r="M291" t="s">
        <v>279</v>
      </c>
      <c r="O291" t="s">
        <v>28</v>
      </c>
      <c r="P291">
        <v>7</v>
      </c>
      <c r="Q291">
        <v>0</v>
      </c>
      <c r="R291">
        <v>7</v>
      </c>
      <c r="S291" s="2">
        <v>42765</v>
      </c>
      <c r="T291" s="2">
        <v>43031</v>
      </c>
      <c r="U291" s="2">
        <v>43145</v>
      </c>
    </row>
    <row r="292" spans="1:22" x14ac:dyDescent="0.2">
      <c r="A292" t="str">
        <f>"305.3 WEI"</f>
        <v>305.3 WEI</v>
      </c>
      <c r="B292" t="str">
        <f>"Labor of love: the invention of dating"</f>
        <v>Labor of love: the invention of dating</v>
      </c>
      <c r="C292">
        <v>335635</v>
      </c>
      <c r="D292" t="str">
        <f>"Weigel, Moira,"</f>
        <v>Weigel, Moira,</v>
      </c>
      <c r="F292" t="str">
        <f>"292 pages, 22 cm"</f>
        <v>292 pages, 22 cm</v>
      </c>
      <c r="G292" s="1">
        <v>16</v>
      </c>
      <c r="H292">
        <v>2016</v>
      </c>
      <c r="I292" t="str">
        <f t="shared" si="10"/>
        <v>9: 300 - 399</v>
      </c>
      <c r="K292" t="str">
        <f>"WB - In"</f>
        <v>WB - In</v>
      </c>
      <c r="L292" s="1">
        <v>31</v>
      </c>
      <c r="M292" t="s">
        <v>280</v>
      </c>
      <c r="O292" t="s">
        <v>28</v>
      </c>
      <c r="P292">
        <v>0</v>
      </c>
      <c r="Q292">
        <v>0</v>
      </c>
      <c r="R292">
        <v>6</v>
      </c>
      <c r="S292" s="2">
        <v>42534</v>
      </c>
      <c r="T292" s="2">
        <v>42677</v>
      </c>
      <c r="U292" s="2">
        <v>42644</v>
      </c>
    </row>
    <row r="293" spans="1:22" x14ac:dyDescent="0.2">
      <c r="A293" t="str">
        <f>"305.31 CAR"</f>
        <v>305.31 CAR</v>
      </c>
      <c r="B293" t="str">
        <f>"Men who can't love: how to recognize a c"</f>
        <v>Men who can't love: how to recognize a c</v>
      </c>
      <c r="C293">
        <v>320245</v>
      </c>
      <c r="D293" t="str">
        <f>"Carter, Steven,"</f>
        <v>Carter, Steven,</v>
      </c>
      <c r="F293" t="str">
        <f>"xix, 306 p., 21 cm"</f>
        <v>xix, 306 p., 21 cm</v>
      </c>
      <c r="G293" s="1">
        <v>14</v>
      </c>
      <c r="H293">
        <v>1996</v>
      </c>
      <c r="I293" t="str">
        <f t="shared" si="10"/>
        <v>9: 300 - 399</v>
      </c>
      <c r="K293" t="str">
        <f>"WB - In"</f>
        <v>WB - In</v>
      </c>
      <c r="L293" s="1">
        <v>21</v>
      </c>
      <c r="M293" t="s">
        <v>281</v>
      </c>
      <c r="O293" t="s">
        <v>28</v>
      </c>
      <c r="P293">
        <v>1</v>
      </c>
      <c r="Q293">
        <v>0</v>
      </c>
      <c r="R293">
        <v>2</v>
      </c>
      <c r="S293" s="2">
        <v>41710</v>
      </c>
      <c r="T293" s="2">
        <v>41725</v>
      </c>
      <c r="U293" s="2">
        <v>43209</v>
      </c>
    </row>
    <row r="294" spans="1:22" x14ac:dyDescent="0.2">
      <c r="A294" t="str">
        <f>"305.323 DAM"</f>
        <v>305.323 DAM</v>
      </c>
      <c r="B294" t="str">
        <f>"Under pressure: confronting the epidemic"</f>
        <v>Under pressure: confronting the epidemic</v>
      </c>
      <c r="C294">
        <v>352820</v>
      </c>
      <c r="D294" t="str">
        <f>"Damour, Lisa,"</f>
        <v>Damour, Lisa,</v>
      </c>
      <c r="F294" t="str">
        <f>"xxi, 261 pages, 22 cm"</f>
        <v>xxi, 261 pages, 22 cm</v>
      </c>
      <c r="G294" s="1">
        <v>19</v>
      </c>
      <c r="H294">
        <v>2019</v>
      </c>
      <c r="I294" t="str">
        <f t="shared" si="10"/>
        <v>9: 300 - 399</v>
      </c>
      <c r="K294" t="str">
        <f>"WB - In"</f>
        <v>WB - In</v>
      </c>
      <c r="L294" s="1">
        <v>32</v>
      </c>
      <c r="M294" t="s">
        <v>282</v>
      </c>
      <c r="O294" t="s">
        <v>28</v>
      </c>
      <c r="P294">
        <v>9</v>
      </c>
      <c r="Q294">
        <v>0</v>
      </c>
      <c r="R294">
        <v>9</v>
      </c>
      <c r="S294" s="2">
        <v>43507</v>
      </c>
      <c r="T294" s="2">
        <v>43696</v>
      </c>
      <c r="U294" s="2">
        <v>43744</v>
      </c>
    </row>
    <row r="295" spans="1:22" x14ac:dyDescent="0.2">
      <c r="A295" t="str">
        <f>"305.323 DAM"</f>
        <v>305.323 DAM</v>
      </c>
      <c r="B295" t="str">
        <f>"Under pressure: confronting the epidemic"</f>
        <v>Under pressure: confronting the epidemic</v>
      </c>
      <c r="C295">
        <v>358140</v>
      </c>
      <c r="D295" t="str">
        <f>"Damour, Lisa,"</f>
        <v>Damour, Lisa,</v>
      </c>
      <c r="F295" t="str">
        <f>"xxi, 261 pages, 22 cm"</f>
        <v>xxi, 261 pages, 22 cm</v>
      </c>
      <c r="G295" s="1">
        <v>19</v>
      </c>
      <c r="H295">
        <v>2019</v>
      </c>
      <c r="I295" t="str">
        <f t="shared" si="10"/>
        <v>9: 300 - 399</v>
      </c>
      <c r="K295" t="str">
        <f>"LL - In"</f>
        <v>LL - In</v>
      </c>
      <c r="L295" s="1">
        <v>32</v>
      </c>
      <c r="M295" t="s">
        <v>282</v>
      </c>
      <c r="O295" t="s">
        <v>28</v>
      </c>
      <c r="P295">
        <v>1</v>
      </c>
      <c r="Q295">
        <v>0</v>
      </c>
      <c r="R295">
        <v>1</v>
      </c>
      <c r="S295" s="2">
        <v>43740</v>
      </c>
      <c r="T295" s="2">
        <v>43752</v>
      </c>
      <c r="U295" s="2">
        <v>43785</v>
      </c>
    </row>
    <row r="296" spans="1:22" x14ac:dyDescent="0.2">
      <c r="A296" t="str">
        <f>"305.4 AND"</f>
        <v>305.4 AND</v>
      </c>
      <c r="B296" t="str">
        <f>"We: a manifesto for women : nine princip"</f>
        <v>We: a manifesto for women : nine princip</v>
      </c>
      <c r="C296">
        <v>340349</v>
      </c>
      <c r="D296" t="str">
        <f>"Anderson, Gillian"</f>
        <v>Anderson, Gillian</v>
      </c>
      <c r="F296" t="str">
        <f>"308 p."</f>
        <v>308 p.</v>
      </c>
      <c r="G296" s="1">
        <v>17</v>
      </c>
      <c r="H296">
        <v>2017</v>
      </c>
      <c r="I296" t="str">
        <f t="shared" si="10"/>
        <v>9: 300 - 399</v>
      </c>
      <c r="K296" t="str">
        <f>"WB - In"</f>
        <v>WB - In</v>
      </c>
      <c r="L296" s="1">
        <v>30</v>
      </c>
      <c r="M296" t="s">
        <v>283</v>
      </c>
      <c r="O296" t="s">
        <v>28</v>
      </c>
      <c r="P296">
        <v>10</v>
      </c>
      <c r="Q296">
        <v>0</v>
      </c>
      <c r="R296">
        <v>10</v>
      </c>
      <c r="S296" s="2">
        <v>42814</v>
      </c>
      <c r="T296" s="2">
        <v>43033</v>
      </c>
      <c r="U296" s="2">
        <v>43017</v>
      </c>
    </row>
    <row r="297" spans="1:22" x14ac:dyDescent="0.2">
      <c r="A297" t="str">
        <f>"305.4 BEN"</f>
        <v>305.4 BEN</v>
      </c>
      <c r="B297" t="str">
        <f>"Feminist fight club: an office survival "</f>
        <v xml:space="preserve">Feminist fight club: an office survival </v>
      </c>
      <c r="C297">
        <v>338250</v>
      </c>
      <c r="D297" t="str">
        <f>"Bennett, Jessica."</f>
        <v>Bennett, Jessica.</v>
      </c>
      <c r="F297" t="str">
        <f>"xxxiii, 294 pages, 21 cm, illustrations"</f>
        <v>xxxiii, 294 pages, 21 cm, illustrations</v>
      </c>
      <c r="G297" s="1">
        <v>16</v>
      </c>
      <c r="H297">
        <v>2016</v>
      </c>
      <c r="I297" t="str">
        <f t="shared" si="10"/>
        <v>9: 300 - 399</v>
      </c>
      <c r="K297" t="str">
        <f>"LL - In"</f>
        <v>LL - In</v>
      </c>
      <c r="L297" s="1">
        <v>30</v>
      </c>
      <c r="M297" t="s">
        <v>284</v>
      </c>
      <c r="O297" t="s">
        <v>28</v>
      </c>
      <c r="P297">
        <v>4</v>
      </c>
      <c r="Q297">
        <v>1</v>
      </c>
      <c r="R297">
        <v>8</v>
      </c>
      <c r="S297" s="2">
        <v>42681</v>
      </c>
      <c r="T297" s="2">
        <v>42872</v>
      </c>
      <c r="U297" s="2">
        <v>43774</v>
      </c>
      <c r="V297" s="2">
        <v>42867</v>
      </c>
    </row>
    <row r="298" spans="1:22" x14ac:dyDescent="0.2">
      <c r="A298" t="str">
        <f>"305.4 BER"</f>
        <v>305.4 BER</v>
      </c>
      <c r="B298" t="str">
        <f>"How to be Parisian wherever you are: lov"</f>
        <v>How to be Parisian wherever you are: lov</v>
      </c>
      <c r="C298">
        <v>326096</v>
      </c>
      <c r="D298" t="str">
        <f>"Berest, Anne,"</f>
        <v>Berest, Anne,</v>
      </c>
      <c r="F298" t="str">
        <f>"xiii, 253 pages, 21 cm, illustrations"</f>
        <v>xiii, 253 pages, 21 cm, illustrations</v>
      </c>
      <c r="G298" s="1">
        <v>15</v>
      </c>
      <c r="H298">
        <v>2014</v>
      </c>
      <c r="I298" t="str">
        <f t="shared" si="10"/>
        <v>9: 300 - 399</v>
      </c>
      <c r="K298" t="str">
        <f>"LL - In"</f>
        <v>LL - In</v>
      </c>
      <c r="L298" s="1">
        <v>30</v>
      </c>
      <c r="M298" t="s">
        <v>285</v>
      </c>
      <c r="O298" t="s">
        <v>28</v>
      </c>
      <c r="P298">
        <v>8</v>
      </c>
      <c r="Q298">
        <v>0</v>
      </c>
      <c r="R298">
        <v>20</v>
      </c>
      <c r="S298" s="2">
        <v>42059</v>
      </c>
      <c r="T298" s="2">
        <v>42233</v>
      </c>
      <c r="U298" s="2">
        <v>43826</v>
      </c>
      <c r="V298" s="2">
        <v>42373</v>
      </c>
    </row>
    <row r="299" spans="1:22" x14ac:dyDescent="0.2">
      <c r="A299" t="str">
        <f>"305.4 BER"</f>
        <v>305.4 BER</v>
      </c>
      <c r="B299" t="str">
        <f>"Four things women want from a man"</f>
        <v>Four things women want from a man</v>
      </c>
      <c r="C299">
        <v>400343</v>
      </c>
      <c r="D299" t="str">
        <f>"Bernard, A. R."</f>
        <v>Bernard, A. R.</v>
      </c>
      <c r="F299" t="str">
        <f>"xiv, 193 pages, 22 cm"</f>
        <v>xiv, 193 pages, 22 cm</v>
      </c>
      <c r="G299" s="1">
        <v>18</v>
      </c>
      <c r="H299">
        <v>2016</v>
      </c>
      <c r="I299" t="str">
        <f t="shared" si="10"/>
        <v>9: 300 - 399</v>
      </c>
      <c r="K299" t="str">
        <f>"WB - In"</f>
        <v>WB - In</v>
      </c>
      <c r="L299" s="1">
        <v>20</v>
      </c>
      <c r="M299" t="s">
        <v>286</v>
      </c>
      <c r="O299" t="s">
        <v>28</v>
      </c>
      <c r="P299">
        <v>2</v>
      </c>
      <c r="Q299">
        <v>0</v>
      </c>
      <c r="R299">
        <v>2</v>
      </c>
      <c r="S299" s="2">
        <v>43207</v>
      </c>
      <c r="T299" s="2">
        <v>43209</v>
      </c>
      <c r="U299" s="2">
        <v>43222</v>
      </c>
    </row>
    <row r="300" spans="1:22" x14ac:dyDescent="0.2">
      <c r="A300" t="str">
        <f>"305.4 BLA"</f>
        <v>305.4 BLA</v>
      </c>
      <c r="B300" t="str">
        <f>"Black girls rock!: owning our magic, roc"</f>
        <v>Black girls rock!: owning our magic, roc</v>
      </c>
      <c r="C300">
        <v>346341</v>
      </c>
      <c r="F300" t="str">
        <f>"xxi, 227 pages, 27 cm, illustrations (some color)"</f>
        <v>xxi, 227 pages, 27 cm, illustrations (some color)</v>
      </c>
      <c r="G300" s="1">
        <v>18</v>
      </c>
      <c r="H300">
        <v>2018</v>
      </c>
      <c r="I300" t="str">
        <f t="shared" si="10"/>
        <v>9: 300 - 399</v>
      </c>
      <c r="K300" t="str">
        <f>"WB - In"</f>
        <v>WB - In</v>
      </c>
      <c r="L300" s="1">
        <v>35</v>
      </c>
      <c r="M300" t="s">
        <v>287</v>
      </c>
      <c r="O300" t="s">
        <v>28</v>
      </c>
      <c r="P300">
        <v>1</v>
      </c>
      <c r="Q300">
        <v>0</v>
      </c>
      <c r="R300">
        <v>1</v>
      </c>
      <c r="S300" s="2">
        <v>43159</v>
      </c>
      <c r="T300" s="2">
        <v>43327</v>
      </c>
      <c r="U300" s="2">
        <v>43172</v>
      </c>
    </row>
    <row r="301" spans="1:22" x14ac:dyDescent="0.2">
      <c r="A301" t="str">
        <f>"305.4 CAL"</f>
        <v>305.4 CAL</v>
      </c>
      <c r="B301" t="str">
        <f>"Parisian charm school: French secrets fo"</f>
        <v>Parisian charm school: French secrets fo</v>
      </c>
      <c r="C301">
        <v>345568</v>
      </c>
      <c r="F301" t="str">
        <f>"pages cm"</f>
        <v>pages cm</v>
      </c>
      <c r="G301" s="1">
        <v>18</v>
      </c>
      <c r="H301">
        <v>2018</v>
      </c>
      <c r="I301" t="str">
        <f t="shared" si="10"/>
        <v>9: 300 - 399</v>
      </c>
      <c r="K301" t="str">
        <f>"LL - In"</f>
        <v>LL - In</v>
      </c>
      <c r="L301" s="1">
        <v>24</v>
      </c>
      <c r="M301" t="s">
        <v>288</v>
      </c>
      <c r="O301" t="s">
        <v>28</v>
      </c>
      <c r="P301">
        <v>9</v>
      </c>
      <c r="Q301">
        <v>0</v>
      </c>
      <c r="R301">
        <v>9</v>
      </c>
      <c r="S301" s="2">
        <v>43117</v>
      </c>
      <c r="T301" s="2">
        <v>43306</v>
      </c>
      <c r="U301" s="2">
        <v>43774</v>
      </c>
    </row>
    <row r="302" spans="1:22" x14ac:dyDescent="0.2">
      <c r="A302" t="str">
        <f>"305.4 COM"</f>
        <v>305.4 COM</v>
      </c>
      <c r="B302" t="str">
        <f>"Texas tenacity: a call for women to dire"</f>
        <v>Texas tenacity: a call for women to dire</v>
      </c>
      <c r="C302">
        <v>293609</v>
      </c>
      <c r="D302" t="str">
        <f>"Combs, Susan."</f>
        <v>Combs, Susan.</v>
      </c>
      <c r="F302" t="str">
        <f>"210 p."</f>
        <v>210 p.</v>
      </c>
      <c r="G302" s="1">
        <v>17</v>
      </c>
      <c r="H302">
        <v>2017</v>
      </c>
      <c r="I302" t="str">
        <f t="shared" si="10"/>
        <v>9: 300 - 399</v>
      </c>
      <c r="K302" t="str">
        <f>"LL - In"</f>
        <v>LL - In</v>
      </c>
      <c r="L302" s="1">
        <v>21</v>
      </c>
      <c r="M302" t="s">
        <v>289</v>
      </c>
      <c r="O302" t="s">
        <v>28</v>
      </c>
      <c r="P302">
        <v>9</v>
      </c>
      <c r="Q302">
        <v>0</v>
      </c>
      <c r="R302">
        <v>9</v>
      </c>
      <c r="S302" s="2">
        <v>42795</v>
      </c>
      <c r="T302" s="2">
        <v>43015</v>
      </c>
      <c r="U302" s="2">
        <v>42983</v>
      </c>
    </row>
    <row r="303" spans="1:22" x14ac:dyDescent="0.2">
      <c r="A303" t="str">
        <f>"305.4 CRI"</f>
        <v>305.4 CRI</v>
      </c>
      <c r="B303" t="str">
        <f>"Why I am not a feminist: a feminist mani"</f>
        <v>Why I am not a feminist: a feminist mani</v>
      </c>
      <c r="C303">
        <v>340458</v>
      </c>
      <c r="D303" t="str">
        <f>"Crispin, Jessa"</f>
        <v>Crispin, Jessa</v>
      </c>
      <c r="F303" t="str">
        <f>"xiv, 151 pages, 21 cm"</f>
        <v>xiv, 151 pages, 21 cm</v>
      </c>
      <c r="G303" s="1">
        <v>17</v>
      </c>
      <c r="H303">
        <v>2017</v>
      </c>
      <c r="I303" t="str">
        <f t="shared" si="10"/>
        <v>9: 300 - 399</v>
      </c>
      <c r="K303" t="str">
        <f>"LL - In"</f>
        <v>LL - In</v>
      </c>
      <c r="L303" s="1">
        <v>21</v>
      </c>
      <c r="M303" t="s">
        <v>290</v>
      </c>
      <c r="O303" t="s">
        <v>28</v>
      </c>
      <c r="P303">
        <v>6</v>
      </c>
      <c r="Q303">
        <v>0</v>
      </c>
      <c r="R303">
        <v>6</v>
      </c>
      <c r="S303" s="2">
        <v>42821</v>
      </c>
      <c r="T303" s="2">
        <v>43052</v>
      </c>
      <c r="U303" s="2">
        <v>43774</v>
      </c>
    </row>
    <row r="304" spans="1:22" x14ac:dyDescent="0.2">
      <c r="A304" t="str">
        <f>"305.4 DAY"</f>
        <v>305.4 DAY</v>
      </c>
      <c r="B304" t="str">
        <f>"Female &amp; Fabulous at 40 : seven keys to "</f>
        <v xml:space="preserve">Female &amp; Fabulous at 40 : seven keys to </v>
      </c>
      <c r="C304">
        <v>401190</v>
      </c>
      <c r="D304" t="str">
        <f>"Day, Georgia"</f>
        <v>Day, Georgia</v>
      </c>
      <c r="F304" t="str">
        <f>"92 p."</f>
        <v>92 p.</v>
      </c>
      <c r="G304" s="1">
        <v>18</v>
      </c>
      <c r="H304">
        <v>2017</v>
      </c>
      <c r="I304" t="str">
        <f t="shared" si="10"/>
        <v>9: 300 - 399</v>
      </c>
      <c r="K304" t="str">
        <f>"LL - In"</f>
        <v>LL - In</v>
      </c>
      <c r="L304" s="1">
        <v>10</v>
      </c>
      <c r="M304" t="s">
        <v>291</v>
      </c>
      <c r="O304" t="s">
        <v>28</v>
      </c>
      <c r="P304">
        <v>8</v>
      </c>
      <c r="Q304">
        <v>1</v>
      </c>
      <c r="R304">
        <v>9</v>
      </c>
      <c r="S304" s="2">
        <v>43307</v>
      </c>
      <c r="T304" s="2">
        <v>43502</v>
      </c>
      <c r="U304" s="2">
        <v>43491</v>
      </c>
      <c r="V304" s="2">
        <v>43390</v>
      </c>
    </row>
    <row r="305" spans="1:22" x14ac:dyDescent="0.2">
      <c r="A305" t="str">
        <f>"305.4 DRU"</f>
        <v>305.4 DRU</v>
      </c>
      <c r="B305" t="str">
        <f>"There are no grown-ups: a midlife coming"</f>
        <v>There are no grown-ups: a midlife coming</v>
      </c>
      <c r="C305">
        <v>347925</v>
      </c>
      <c r="D305" t="str">
        <f>"Druckerman, Pamela."</f>
        <v>Druckerman, Pamela.</v>
      </c>
      <c r="G305" s="1">
        <v>18</v>
      </c>
      <c r="H305">
        <v>2018</v>
      </c>
      <c r="I305" t="str">
        <f t="shared" si="10"/>
        <v>9: 300 - 399</v>
      </c>
      <c r="K305" t="str">
        <f>"WB - In"</f>
        <v>WB - In</v>
      </c>
      <c r="L305" s="1">
        <v>32</v>
      </c>
      <c r="M305" t="s">
        <v>292</v>
      </c>
      <c r="O305" t="s">
        <v>28</v>
      </c>
      <c r="P305">
        <v>14</v>
      </c>
      <c r="Q305">
        <v>0</v>
      </c>
      <c r="R305">
        <v>14</v>
      </c>
      <c r="S305" s="2">
        <v>43249</v>
      </c>
      <c r="T305" s="2">
        <v>43488</v>
      </c>
      <c r="U305" s="2">
        <v>43708</v>
      </c>
    </row>
    <row r="306" spans="1:22" x14ac:dyDescent="0.2">
      <c r="A306" t="str">
        <f>"305.4 ELK"</f>
        <v>305.4 ELK</v>
      </c>
      <c r="B306" t="str">
        <f>"Fl�neuse: women walk the city in Paris, "</f>
        <v xml:space="preserve">Fl�neuse: women walk the city in Paris, </v>
      </c>
      <c r="C306">
        <v>340433</v>
      </c>
      <c r="D306" t="str">
        <f>"Elkin, Lauren"</f>
        <v>Elkin, Lauren</v>
      </c>
      <c r="F306" t="str">
        <f>"317 pages, 24 cm, illustrations"</f>
        <v>317 pages, 24 cm, illustrations</v>
      </c>
      <c r="G306" s="1">
        <v>17</v>
      </c>
      <c r="H306">
        <v>2017</v>
      </c>
      <c r="I306" t="str">
        <f t="shared" si="10"/>
        <v>9: 300 - 399</v>
      </c>
      <c r="K306" t="str">
        <f>"WB - In"</f>
        <v>WB - In</v>
      </c>
      <c r="L306" s="1">
        <v>32</v>
      </c>
      <c r="M306" t="s">
        <v>293</v>
      </c>
      <c r="O306" t="s">
        <v>28</v>
      </c>
      <c r="P306">
        <v>9</v>
      </c>
      <c r="Q306">
        <v>0</v>
      </c>
      <c r="R306">
        <v>9</v>
      </c>
      <c r="S306" s="2">
        <v>42821</v>
      </c>
      <c r="T306" s="2">
        <v>42998</v>
      </c>
      <c r="U306" s="2">
        <v>43227</v>
      </c>
    </row>
    <row r="307" spans="1:22" x14ac:dyDescent="0.2">
      <c r="A307" t="str">
        <f>"305.4 EPH"</f>
        <v>305.4 EPH</v>
      </c>
      <c r="B307" t="str">
        <f>"Crazy salad ; &amp; Scribble scribble : some"</f>
        <v>Crazy salad ; &amp; Scribble scribble : some</v>
      </c>
      <c r="C307">
        <v>311617</v>
      </c>
      <c r="D307" t="str">
        <f>"Ephron, Nora"</f>
        <v>Ephron, Nora</v>
      </c>
      <c r="F307" t="str">
        <f>"433 p., 21 cm."</f>
        <v>433 p., 21 cm.</v>
      </c>
      <c r="G307" s="1">
        <v>12</v>
      </c>
      <c r="H307">
        <v>2012</v>
      </c>
      <c r="I307" t="str">
        <f t="shared" si="10"/>
        <v>9: 300 - 399</v>
      </c>
      <c r="K307" t="str">
        <f>"WB - Out"</f>
        <v>WB - Out</v>
      </c>
      <c r="L307" s="1">
        <v>21</v>
      </c>
      <c r="M307" t="s">
        <v>294</v>
      </c>
      <c r="O307" t="s">
        <v>28</v>
      </c>
      <c r="P307">
        <v>7</v>
      </c>
      <c r="Q307">
        <v>1</v>
      </c>
      <c r="R307">
        <v>16</v>
      </c>
      <c r="S307" s="2">
        <v>41248</v>
      </c>
      <c r="T307" s="2">
        <v>41262</v>
      </c>
      <c r="U307" s="2">
        <v>43840</v>
      </c>
      <c r="V307" s="2">
        <v>42919</v>
      </c>
    </row>
    <row r="308" spans="1:22" x14ac:dyDescent="0.2">
      <c r="A308" t="str">
        <f>"305.4 EPH"</f>
        <v>305.4 EPH</v>
      </c>
      <c r="B308" t="str">
        <f>"I feel bad about my neck: and other thou"</f>
        <v>I feel bad about my neck: and other thou</v>
      </c>
      <c r="C308">
        <v>123396</v>
      </c>
      <c r="D308" t="str">
        <f>"Ephron, Nora"</f>
        <v>Ephron, Nora</v>
      </c>
      <c r="F308" t="str">
        <f>"viii, 137 p., 22 cm."</f>
        <v>viii, 137 p., 22 cm.</v>
      </c>
      <c r="G308" s="1">
        <v>6</v>
      </c>
      <c r="H308">
        <v>2006</v>
      </c>
      <c r="I308" t="str">
        <f t="shared" si="10"/>
        <v>9: 300 - 399</v>
      </c>
      <c r="K308" t="str">
        <f>"WB - In"</f>
        <v>WB - In</v>
      </c>
      <c r="L308" s="1">
        <v>25</v>
      </c>
      <c r="M308" t="s">
        <v>295</v>
      </c>
      <c r="O308" t="s">
        <v>28</v>
      </c>
      <c r="P308">
        <v>9</v>
      </c>
      <c r="Q308">
        <v>0</v>
      </c>
      <c r="R308">
        <v>75</v>
      </c>
      <c r="S308" s="2">
        <v>38954</v>
      </c>
      <c r="T308" s="2">
        <v>41053</v>
      </c>
      <c r="U308" s="2">
        <v>43792</v>
      </c>
      <c r="V308" s="2">
        <v>42158</v>
      </c>
    </row>
    <row r="309" spans="1:22" x14ac:dyDescent="0.2">
      <c r="A309" t="str">
        <f>"305.4 EPH"</f>
        <v>305.4 EPH</v>
      </c>
      <c r="B309" t="str">
        <f>"I remember nothing: and other reflection"</f>
        <v>I remember nothing: and other reflection</v>
      </c>
      <c r="C309">
        <v>146511</v>
      </c>
      <c r="D309" t="str">
        <f>"Ephron, Nora"</f>
        <v>Ephron, Nora</v>
      </c>
      <c r="F309" t="str">
        <f>"ix, 137 p., 22 cm."</f>
        <v>ix, 137 p., 22 cm.</v>
      </c>
      <c r="G309" s="1">
        <v>10</v>
      </c>
      <c r="H309">
        <v>2010</v>
      </c>
      <c r="I309" t="str">
        <f t="shared" si="10"/>
        <v>9: 300 - 399</v>
      </c>
      <c r="K309" t="str">
        <f>"WB - In"</f>
        <v>WB - In</v>
      </c>
      <c r="L309" s="1">
        <v>28</v>
      </c>
      <c r="M309" t="s">
        <v>296</v>
      </c>
      <c r="O309" t="s">
        <v>28</v>
      </c>
      <c r="P309">
        <v>8</v>
      </c>
      <c r="Q309">
        <v>0</v>
      </c>
      <c r="R309">
        <v>52</v>
      </c>
      <c r="S309" s="2">
        <v>40492</v>
      </c>
      <c r="T309" s="2">
        <v>41053</v>
      </c>
      <c r="U309" s="2">
        <v>43806</v>
      </c>
      <c r="V309" s="2">
        <v>41115</v>
      </c>
    </row>
    <row r="310" spans="1:22" x14ac:dyDescent="0.2">
      <c r="A310" t="str">
        <f>"305.4 FON"</f>
        <v>305.4 FON</v>
      </c>
      <c r="B310" t="str">
        <f>"Pink sari revolution: a tale of women an"</f>
        <v>Pink sari revolution: a tale of women an</v>
      </c>
      <c r="C310">
        <v>315982</v>
      </c>
      <c r="D310" t="str">
        <f>"Fontanella-Khan, Amana."</f>
        <v>Fontanella-Khan, Amana.</v>
      </c>
      <c r="F310" t="str">
        <f>"xviii, 284 pages, 22 cm, map"</f>
        <v>xviii, 284 pages, 22 cm, map</v>
      </c>
      <c r="G310" s="1">
        <v>13</v>
      </c>
      <c r="H310">
        <v>2013</v>
      </c>
      <c r="I310" t="str">
        <f t="shared" si="10"/>
        <v>9: 300 - 399</v>
      </c>
      <c r="K310" t="str">
        <f>"LL - In"</f>
        <v>LL - In</v>
      </c>
      <c r="L310" s="1">
        <v>32</v>
      </c>
      <c r="M310" t="s">
        <v>297</v>
      </c>
      <c r="O310" t="s">
        <v>28</v>
      </c>
      <c r="P310">
        <v>3</v>
      </c>
      <c r="Q310">
        <v>1</v>
      </c>
      <c r="R310">
        <v>8</v>
      </c>
      <c r="S310" s="2">
        <v>41492</v>
      </c>
      <c r="T310" s="2">
        <v>41571</v>
      </c>
      <c r="U310" s="2">
        <v>43613</v>
      </c>
      <c r="V310" s="2">
        <v>42978</v>
      </c>
    </row>
    <row r="311" spans="1:22" x14ac:dyDescent="0.2">
      <c r="A311" t="str">
        <f>"305.4 GIB"</f>
        <v>305.4 GIB</v>
      </c>
      <c r="B311" t="str">
        <f>"Feminasty: the complicated woman's guide"</f>
        <v>Feminasty: the complicated woman's guide</v>
      </c>
      <c r="C311">
        <v>349812</v>
      </c>
      <c r="D311" t="str">
        <f>"Gibson, Erin"</f>
        <v>Gibson, Erin</v>
      </c>
      <c r="F311" t="str">
        <f>"281 pages, 22 cm"</f>
        <v>281 pages, 22 cm</v>
      </c>
      <c r="G311" s="1">
        <v>18</v>
      </c>
      <c r="H311">
        <v>2018</v>
      </c>
      <c r="I311" t="str">
        <f t="shared" si="10"/>
        <v>9: 300 - 399</v>
      </c>
      <c r="K311" t="str">
        <f>"WB - In"</f>
        <v>WB - In</v>
      </c>
      <c r="L311" s="1">
        <v>31</v>
      </c>
      <c r="M311" t="s">
        <v>298</v>
      </c>
      <c r="O311" t="s">
        <v>28</v>
      </c>
      <c r="P311">
        <v>8</v>
      </c>
      <c r="Q311">
        <v>0</v>
      </c>
      <c r="R311">
        <v>8</v>
      </c>
      <c r="S311" s="2">
        <v>43354</v>
      </c>
      <c r="T311" s="2">
        <v>43551</v>
      </c>
      <c r="U311" s="2">
        <v>43512</v>
      </c>
    </row>
    <row r="312" spans="1:22" x14ac:dyDescent="0.2">
      <c r="A312" t="str">
        <f>"305.4 GOD"</f>
        <v>305.4 GOD</v>
      </c>
      <c r="B312" t="str">
        <f>"Goddess shift: women leading for a chang"</f>
        <v>Goddess shift: women leading for a chang</v>
      </c>
      <c r="C312">
        <v>270287</v>
      </c>
      <c r="F312" t="str">
        <f>"415 p., 24 cm, ill."</f>
        <v>415 p., 24 cm, ill.</v>
      </c>
      <c r="G312" s="1">
        <v>13</v>
      </c>
      <c r="H312">
        <v>2010</v>
      </c>
      <c r="I312" t="str">
        <f t="shared" si="10"/>
        <v>9: 300 - 399</v>
      </c>
      <c r="K312" t="str">
        <f>"WB - In"</f>
        <v>WB - In</v>
      </c>
      <c r="L312" s="1">
        <v>35</v>
      </c>
      <c r="M312" t="s">
        <v>299</v>
      </c>
      <c r="O312" t="s">
        <v>28</v>
      </c>
      <c r="P312">
        <v>0</v>
      </c>
      <c r="Q312">
        <v>1</v>
      </c>
      <c r="R312">
        <v>5</v>
      </c>
      <c r="S312" s="2">
        <v>41599</v>
      </c>
      <c r="T312" s="2">
        <v>41717</v>
      </c>
      <c r="U312" s="2">
        <v>41919</v>
      </c>
      <c r="V312" s="2">
        <v>43241</v>
      </c>
    </row>
    <row r="313" spans="1:22" x14ac:dyDescent="0.2">
      <c r="A313" t="str">
        <f>"305.4 HAR"</f>
        <v>305.4 HAR</v>
      </c>
      <c r="B313" t="str">
        <f>"book of Jezebel: an illustrated encyclop"</f>
        <v>book of Jezebel: an illustrated encyclop</v>
      </c>
      <c r="C313">
        <v>317907</v>
      </c>
      <c r="D313" t="str">
        <f>"Harding, Kate,"</f>
        <v>Harding, Kate,</v>
      </c>
      <c r="F313" t="str">
        <f>"300 p., 27 cm, ill. (some col.)"</f>
        <v>300 p., 27 cm, ill. (some col.)</v>
      </c>
      <c r="G313" s="1">
        <v>13</v>
      </c>
      <c r="H313">
        <v>2013</v>
      </c>
      <c r="I313" t="str">
        <f t="shared" si="10"/>
        <v>9: 300 - 399</v>
      </c>
      <c r="K313" t="str">
        <f>"WB - In"</f>
        <v>WB - In</v>
      </c>
      <c r="L313" s="1">
        <v>32</v>
      </c>
      <c r="M313" t="s">
        <v>300</v>
      </c>
      <c r="O313" t="s">
        <v>28</v>
      </c>
      <c r="P313">
        <v>1</v>
      </c>
      <c r="Q313">
        <v>1</v>
      </c>
      <c r="R313">
        <v>6</v>
      </c>
      <c r="S313" s="2">
        <v>41591</v>
      </c>
      <c r="T313" s="2">
        <v>41690</v>
      </c>
      <c r="U313" s="2">
        <v>42817</v>
      </c>
      <c r="V313" s="2">
        <v>42830</v>
      </c>
    </row>
    <row r="314" spans="1:22" x14ac:dyDescent="0.2">
      <c r="A314" t="str">
        <f>"305.4 HOU"</f>
        <v>305.4 HOU</v>
      </c>
      <c r="B314" t="str">
        <f>"Literally me"</f>
        <v>Literally me</v>
      </c>
      <c r="C314">
        <v>344827</v>
      </c>
      <c r="D314" t="str">
        <f>"Houts, Julie."</f>
        <v>Houts, Julie.</v>
      </c>
      <c r="F314" t="str">
        <f>"224 pages, 24 cm, color illustrations"</f>
        <v>224 pages, 24 cm, color illustrations</v>
      </c>
      <c r="G314" s="1">
        <v>17</v>
      </c>
      <c r="H314">
        <v>2017</v>
      </c>
      <c r="I314" t="str">
        <f t="shared" si="10"/>
        <v>9: 300 - 399</v>
      </c>
      <c r="K314" t="str">
        <f>"WB - In"</f>
        <v>WB - In</v>
      </c>
      <c r="L314" s="1">
        <v>30</v>
      </c>
      <c r="O314" t="s">
        <v>28</v>
      </c>
      <c r="P314">
        <v>7</v>
      </c>
      <c r="Q314">
        <v>1</v>
      </c>
      <c r="R314">
        <v>8</v>
      </c>
      <c r="S314" s="2">
        <v>43067</v>
      </c>
      <c r="T314" s="2">
        <v>43257</v>
      </c>
      <c r="U314" s="2">
        <v>43357</v>
      </c>
      <c r="V314" s="2">
        <v>43177</v>
      </c>
    </row>
    <row r="315" spans="1:22" x14ac:dyDescent="0.2">
      <c r="A315" t="str">
        <f>"305.4 HOW"</f>
        <v>305.4 HOW</v>
      </c>
      <c r="B315" t="str">
        <f>"How to Skimm your life"</f>
        <v>How to Skimm your life</v>
      </c>
      <c r="C315">
        <v>355764</v>
      </c>
      <c r="F315" t="str">
        <f>"242 pages, 24 cm, color illustrations"</f>
        <v>242 pages, 24 cm, color illustrations</v>
      </c>
      <c r="G315" s="1">
        <v>19</v>
      </c>
      <c r="H315">
        <v>2019</v>
      </c>
      <c r="I315" t="str">
        <f t="shared" si="10"/>
        <v>9: 300 - 399</v>
      </c>
      <c r="K315" t="str">
        <f>"LL - In"</f>
        <v>LL - In</v>
      </c>
      <c r="L315" s="1">
        <v>32</v>
      </c>
      <c r="M315" t="s">
        <v>301</v>
      </c>
      <c r="O315" t="s">
        <v>28</v>
      </c>
      <c r="P315">
        <v>5</v>
      </c>
      <c r="Q315">
        <v>0</v>
      </c>
      <c r="R315">
        <v>5</v>
      </c>
      <c r="S315" s="2">
        <v>43640</v>
      </c>
      <c r="T315" s="2">
        <v>43808</v>
      </c>
      <c r="U315" s="2">
        <v>43790</v>
      </c>
    </row>
    <row r="316" spans="1:22" x14ac:dyDescent="0.2">
      <c r="A316" t="str">
        <f>"305.4 JER"</f>
        <v>305.4 JER</v>
      </c>
      <c r="B316" t="str">
        <f>"This will be my undoing: living at the i"</f>
        <v>This will be my undoing: living at the i</v>
      </c>
      <c r="C316">
        <v>346617</v>
      </c>
      <c r="D316" t="str">
        <f>"Jerkins, Morgan"</f>
        <v>Jerkins, Morgan</v>
      </c>
      <c r="F316" t="str">
        <f>"258 pages, 21 cm"</f>
        <v>258 pages, 21 cm</v>
      </c>
      <c r="G316" s="1">
        <v>18</v>
      </c>
      <c r="H316">
        <v>2018</v>
      </c>
      <c r="I316" t="str">
        <f t="shared" si="10"/>
        <v>9: 300 - 399</v>
      </c>
      <c r="K316" t="str">
        <f>"LL - In"</f>
        <v>LL - In</v>
      </c>
      <c r="L316" s="1">
        <v>21</v>
      </c>
      <c r="M316" t="s">
        <v>302</v>
      </c>
      <c r="O316" t="s">
        <v>28</v>
      </c>
      <c r="P316">
        <v>2</v>
      </c>
      <c r="Q316">
        <v>0</v>
      </c>
      <c r="R316">
        <v>2</v>
      </c>
      <c r="S316" s="2">
        <v>43171</v>
      </c>
      <c r="T316" s="2">
        <v>43348</v>
      </c>
      <c r="U316" s="2">
        <v>43254</v>
      </c>
    </row>
    <row r="317" spans="1:22" x14ac:dyDescent="0.2">
      <c r="A317" t="str">
        <f>"305.4 JON"</f>
        <v>305.4 JON</v>
      </c>
      <c r="B317" t="str">
        <f>"I am that girl: how to speak your truth,"</f>
        <v>I am that girl: how to speak your truth,</v>
      </c>
      <c r="C317">
        <v>320876</v>
      </c>
      <c r="D317" t="str">
        <f>"Jones, Alexis."</f>
        <v>Jones, Alexis.</v>
      </c>
      <c r="F317" t="str">
        <f>"xxiii, 282 pages, 22 cm"</f>
        <v>xxiii, 282 pages, 22 cm</v>
      </c>
      <c r="G317" s="1">
        <v>14</v>
      </c>
      <c r="H317">
        <v>2014</v>
      </c>
      <c r="I317" t="str">
        <f t="shared" si="10"/>
        <v>9: 300 - 399</v>
      </c>
      <c r="K317" t="str">
        <f>"WB - In"</f>
        <v>WB - In</v>
      </c>
      <c r="L317" s="1">
        <v>21</v>
      </c>
      <c r="M317" t="s">
        <v>303</v>
      </c>
      <c r="O317" t="s">
        <v>28</v>
      </c>
      <c r="P317">
        <v>4</v>
      </c>
      <c r="Q317">
        <v>0</v>
      </c>
      <c r="R317">
        <v>19</v>
      </c>
      <c r="S317" s="2">
        <v>41751</v>
      </c>
      <c r="T317" s="2">
        <v>42004</v>
      </c>
      <c r="U317" s="2">
        <v>43600</v>
      </c>
    </row>
    <row r="318" spans="1:22" x14ac:dyDescent="0.2">
      <c r="A318" t="str">
        <f>"305.4 MOR"</f>
        <v>305.4 MOR</v>
      </c>
      <c r="B318" t="str">
        <f>"13 things mentally strong women don't do"</f>
        <v>13 things mentally strong women don't do</v>
      </c>
      <c r="C318">
        <v>352222</v>
      </c>
      <c r="D318" t="str">
        <f>"Morin, Amy"</f>
        <v>Morin, Amy</v>
      </c>
      <c r="F318" t="str">
        <f>"335 pages, 24 cm"</f>
        <v>335 pages, 24 cm</v>
      </c>
      <c r="G318" s="1">
        <v>19</v>
      </c>
      <c r="H318">
        <v>2019</v>
      </c>
      <c r="I318" t="str">
        <f t="shared" si="10"/>
        <v>9: 300 - 399</v>
      </c>
      <c r="K318" t="str">
        <f>"WB - In"</f>
        <v>WB - In</v>
      </c>
      <c r="L318" s="1">
        <v>32</v>
      </c>
      <c r="M318" t="s">
        <v>304</v>
      </c>
      <c r="O318" t="s">
        <v>28</v>
      </c>
      <c r="P318">
        <v>8</v>
      </c>
      <c r="Q318">
        <v>0</v>
      </c>
      <c r="R318">
        <v>8</v>
      </c>
      <c r="S318" s="2">
        <v>43479</v>
      </c>
      <c r="T318" s="2">
        <v>43674</v>
      </c>
      <c r="U318" s="2">
        <v>43815</v>
      </c>
    </row>
    <row r="319" spans="1:22" x14ac:dyDescent="0.2">
      <c r="A319" t="str">
        <f>"305.4 ON"</f>
        <v>305.4 ON</v>
      </c>
      <c r="B319" t="str">
        <f>"On being 40(ish)"</f>
        <v>On being 40(ish)</v>
      </c>
      <c r="C319">
        <v>352681</v>
      </c>
      <c r="F319" t="str">
        <f>"219 p."</f>
        <v>219 p.</v>
      </c>
      <c r="G319" s="1">
        <v>19</v>
      </c>
      <c r="H319">
        <v>2018</v>
      </c>
      <c r="I319" t="str">
        <f t="shared" si="10"/>
        <v>9: 300 - 399</v>
      </c>
      <c r="K319" t="str">
        <f>"LL - In"</f>
        <v>LL - In</v>
      </c>
      <c r="L319" s="1">
        <v>31</v>
      </c>
      <c r="M319" t="s">
        <v>305</v>
      </c>
      <c r="O319" t="s">
        <v>28</v>
      </c>
      <c r="P319">
        <v>5</v>
      </c>
      <c r="Q319">
        <v>0</v>
      </c>
      <c r="R319">
        <v>6</v>
      </c>
      <c r="S319" s="2">
        <v>43501</v>
      </c>
      <c r="T319" s="2">
        <v>43682</v>
      </c>
      <c r="U319" s="2">
        <v>43666</v>
      </c>
    </row>
    <row r="320" spans="1:22" x14ac:dyDescent="0.2">
      <c r="A320" t="str">
        <f>"305.4 PEN"</f>
        <v>305.4 PEN</v>
      </c>
      <c r="B320" t="str">
        <f>"Pucker up!: the subversive woman's guide"</f>
        <v>Pucker up!: the subversive woman's guide</v>
      </c>
      <c r="C320">
        <v>280700</v>
      </c>
      <c r="D320" t="str">
        <f>"Pennebaker, Ruth."</f>
        <v>Pennebaker, Ruth.</v>
      </c>
      <c r="F320" t="str">
        <f>"105 p."</f>
        <v>105 p.</v>
      </c>
      <c r="G320" s="1">
        <v>15</v>
      </c>
      <c r="H320">
        <v>2015</v>
      </c>
      <c r="I320" t="str">
        <f t="shared" si="10"/>
        <v>9: 300 - 399</v>
      </c>
      <c r="K320" t="str">
        <f>"WB - In"</f>
        <v>WB - In</v>
      </c>
      <c r="L320" s="1">
        <v>21</v>
      </c>
      <c r="M320" t="s">
        <v>306</v>
      </c>
      <c r="O320" t="s">
        <v>28</v>
      </c>
      <c r="P320">
        <v>1</v>
      </c>
      <c r="Q320">
        <v>0</v>
      </c>
      <c r="R320">
        <v>12</v>
      </c>
      <c r="S320" s="2">
        <v>42141</v>
      </c>
      <c r="T320" s="2">
        <v>42365</v>
      </c>
      <c r="U320" s="2">
        <v>43042</v>
      </c>
      <c r="V320" s="2">
        <v>42305</v>
      </c>
    </row>
    <row r="321" spans="1:22" x14ac:dyDescent="0.2">
      <c r="A321" t="str">
        <f>"305.4 POP"</f>
        <v>305.4 POP</v>
      </c>
      <c r="B321" t="s">
        <v>307</v>
      </c>
      <c r="C321">
        <v>352585</v>
      </c>
      <c r="D321" t="str">
        <f>"Popova, Maria."</f>
        <v>Popova, Maria.</v>
      </c>
      <c r="F321" t="str">
        <f>"545 p."</f>
        <v>545 p.</v>
      </c>
      <c r="G321" s="1">
        <v>19</v>
      </c>
      <c r="H321">
        <v>2019</v>
      </c>
      <c r="I321" t="str">
        <f t="shared" si="10"/>
        <v>9: 300 - 399</v>
      </c>
      <c r="K321" t="str">
        <f>"WB - In"</f>
        <v>WB - In</v>
      </c>
      <c r="L321" s="1">
        <v>35</v>
      </c>
      <c r="M321" t="s">
        <v>308</v>
      </c>
      <c r="O321" t="s">
        <v>28</v>
      </c>
      <c r="P321">
        <v>4</v>
      </c>
      <c r="Q321">
        <v>0</v>
      </c>
      <c r="R321">
        <v>4</v>
      </c>
      <c r="S321" s="2">
        <v>43501</v>
      </c>
      <c r="T321" s="2">
        <v>43670</v>
      </c>
      <c r="U321" s="2">
        <v>43551</v>
      </c>
    </row>
    <row r="322" spans="1:22" x14ac:dyDescent="0.2">
      <c r="A322" t="str">
        <f>"305.4 POP"</f>
        <v>305.4 POP</v>
      </c>
      <c r="B322" t="s">
        <v>307</v>
      </c>
      <c r="C322">
        <v>353290</v>
      </c>
      <c r="D322" t="str">
        <f>"Popova, Maria."</f>
        <v>Popova, Maria.</v>
      </c>
      <c r="F322" t="str">
        <f>"545 p."</f>
        <v>545 p.</v>
      </c>
      <c r="G322" s="1">
        <v>19</v>
      </c>
      <c r="H322">
        <v>2019</v>
      </c>
      <c r="I322" t="str">
        <f t="shared" si="10"/>
        <v>9: 300 - 399</v>
      </c>
      <c r="K322" t="str">
        <f>"LL - In"</f>
        <v>LL - In</v>
      </c>
      <c r="L322" s="1">
        <v>35</v>
      </c>
      <c r="M322" t="s">
        <v>308</v>
      </c>
      <c r="O322" t="s">
        <v>28</v>
      </c>
      <c r="P322">
        <v>2</v>
      </c>
      <c r="Q322">
        <v>1</v>
      </c>
      <c r="R322">
        <v>3</v>
      </c>
      <c r="S322" s="2">
        <v>43529</v>
      </c>
      <c r="T322" s="2">
        <v>43712</v>
      </c>
      <c r="U322" s="2">
        <v>43654</v>
      </c>
      <c r="V322" s="2">
        <v>43640</v>
      </c>
    </row>
    <row r="323" spans="1:22" x14ac:dyDescent="0.2">
      <c r="A323" t="str">
        <f>"305.4 POR"</f>
        <v>305.4 POR</v>
      </c>
      <c r="B323" t="str">
        <f>"Rejected princesses: tales of history's "</f>
        <v xml:space="preserve">Rejected princesses: tales of history's </v>
      </c>
      <c r="C323">
        <v>340340</v>
      </c>
      <c r="D323" t="str">
        <f>"Porath, Jason"</f>
        <v>Porath, Jason</v>
      </c>
      <c r="F323" t="str">
        <f>"xiii, 370 pages, 27 cm, color illustrations"</f>
        <v>xiii, 370 pages, 27 cm, color illustrations</v>
      </c>
      <c r="G323" s="1">
        <v>17</v>
      </c>
      <c r="H323">
        <v>2016</v>
      </c>
      <c r="I323" t="str">
        <f t="shared" si="10"/>
        <v>9: 300 - 399</v>
      </c>
      <c r="K323" t="str">
        <f>"WB - In"</f>
        <v>WB - In</v>
      </c>
      <c r="L323" s="1">
        <v>32</v>
      </c>
      <c r="M323" t="s">
        <v>309</v>
      </c>
      <c r="O323" t="s">
        <v>28</v>
      </c>
      <c r="P323">
        <v>9</v>
      </c>
      <c r="Q323">
        <v>0</v>
      </c>
      <c r="R323">
        <v>9</v>
      </c>
      <c r="S323" s="2">
        <v>42814</v>
      </c>
      <c r="T323" s="2">
        <v>42969</v>
      </c>
      <c r="U323" s="2">
        <v>43372</v>
      </c>
    </row>
    <row r="324" spans="1:22" x14ac:dyDescent="0.2">
      <c r="A324" t="str">
        <f>"305.4 SEB"</f>
        <v>305.4 SEB</v>
      </c>
      <c r="B324" t="str">
        <f>"Parisiennes: how the women of Paris live"</f>
        <v>Parisiennes: how the women of Paris live</v>
      </c>
      <c r="C324">
        <v>338468</v>
      </c>
      <c r="D324" t="str">
        <f>"Sebba, Anne"</f>
        <v>Sebba, Anne</v>
      </c>
      <c r="F324" t="str">
        <f>"xxii, 457 pages, 25 cm, illustrations, maps"</f>
        <v>xxii, 457 pages, 25 cm, illustrations, maps</v>
      </c>
      <c r="G324" s="1">
        <v>16</v>
      </c>
      <c r="H324">
        <v>2016</v>
      </c>
      <c r="I324" t="str">
        <f t="shared" si="10"/>
        <v>9: 300 - 399</v>
      </c>
      <c r="K324" t="str">
        <f>"WB - In"</f>
        <v>WB - In</v>
      </c>
      <c r="L324" s="1">
        <v>33</v>
      </c>
      <c r="M324" t="s">
        <v>310</v>
      </c>
      <c r="O324" t="s">
        <v>28</v>
      </c>
      <c r="P324">
        <v>8</v>
      </c>
      <c r="Q324">
        <v>2</v>
      </c>
      <c r="R324">
        <v>14</v>
      </c>
      <c r="S324" s="2">
        <v>42695</v>
      </c>
      <c r="T324" s="2">
        <v>42900</v>
      </c>
      <c r="U324" s="2">
        <v>43412</v>
      </c>
      <c r="V324" s="2">
        <v>42915</v>
      </c>
    </row>
    <row r="325" spans="1:22" x14ac:dyDescent="0.2">
      <c r="A325" t="str">
        <f>"305.4 SOL"</f>
        <v>305.4 SOL</v>
      </c>
      <c r="B325" t="str">
        <f>"mother of all questions"</f>
        <v>mother of all questions</v>
      </c>
      <c r="C325">
        <v>340177</v>
      </c>
      <c r="D325" t="str">
        <f>"Solnit, Rebecca."</f>
        <v>Solnit, Rebecca.</v>
      </c>
      <c r="F325" t="str">
        <f>"176 pages, 19 cm, illustrations"</f>
        <v>176 pages, 19 cm, illustrations</v>
      </c>
      <c r="G325" s="1">
        <v>17</v>
      </c>
      <c r="H325">
        <v>2017</v>
      </c>
      <c r="I325" t="str">
        <f t="shared" si="10"/>
        <v>9: 300 - 399</v>
      </c>
      <c r="K325" t="str">
        <f>"LL - In"</f>
        <v>LL - In</v>
      </c>
      <c r="L325" s="1">
        <v>20</v>
      </c>
      <c r="M325" t="s">
        <v>311</v>
      </c>
      <c r="O325" t="s">
        <v>28</v>
      </c>
      <c r="P325">
        <v>10</v>
      </c>
      <c r="Q325">
        <v>1</v>
      </c>
      <c r="R325">
        <v>11</v>
      </c>
      <c r="S325" s="2">
        <v>42803</v>
      </c>
      <c r="T325" s="2">
        <v>43019</v>
      </c>
      <c r="U325" s="2">
        <v>43019</v>
      </c>
      <c r="V325" s="2">
        <v>43565</v>
      </c>
    </row>
    <row r="326" spans="1:22" x14ac:dyDescent="0.2">
      <c r="A326" t="str">
        <f>"305.4 WHA"</f>
        <v>305.4 WHA</v>
      </c>
      <c r="B326" t="str">
        <f>"What I know now: letters to my younger s"</f>
        <v>What I know now: letters to my younger s</v>
      </c>
      <c r="C326">
        <v>196465</v>
      </c>
      <c r="F326" t="str">
        <f>"183 p."</f>
        <v>183 p.</v>
      </c>
      <c r="G326">
        <v>6</v>
      </c>
      <c r="H326">
        <v>2006</v>
      </c>
      <c r="I326" t="str">
        <f t="shared" si="10"/>
        <v>9: 300 - 399</v>
      </c>
      <c r="K326" t="str">
        <f t="shared" ref="K326:K331" si="11">"WB - In"</f>
        <v>WB - In</v>
      </c>
      <c r="L326" s="1">
        <v>23</v>
      </c>
      <c r="M326" t="s">
        <v>312</v>
      </c>
      <c r="O326" t="s">
        <v>28</v>
      </c>
      <c r="P326">
        <v>3</v>
      </c>
      <c r="Q326">
        <v>0</v>
      </c>
      <c r="R326">
        <v>62</v>
      </c>
      <c r="S326" s="2">
        <v>38973</v>
      </c>
      <c r="T326" s="2">
        <v>41803</v>
      </c>
      <c r="U326" s="2">
        <v>43622</v>
      </c>
    </row>
    <row r="327" spans="1:22" x14ac:dyDescent="0.2">
      <c r="A327" t="str">
        <f>"305.4 WHA"</f>
        <v>305.4 WHA</v>
      </c>
      <c r="B327" t="str">
        <f>"What I told my daughter: lessons from le"</f>
        <v>What I told my daughter: lessons from le</v>
      </c>
      <c r="C327">
        <v>334467</v>
      </c>
      <c r="F327" t="str">
        <f>"xxvi, 269 pages, 22 cm"</f>
        <v>xxvi, 269 pages, 22 cm</v>
      </c>
      <c r="G327" s="1">
        <v>16</v>
      </c>
      <c r="H327">
        <v>2016</v>
      </c>
      <c r="I327" t="str">
        <f t="shared" si="10"/>
        <v>9: 300 - 399</v>
      </c>
      <c r="K327" t="str">
        <f t="shared" si="11"/>
        <v>WB - In</v>
      </c>
      <c r="L327" s="1">
        <v>30</v>
      </c>
      <c r="M327" t="s">
        <v>313</v>
      </c>
      <c r="O327" t="s">
        <v>28</v>
      </c>
      <c r="P327">
        <v>4</v>
      </c>
      <c r="Q327">
        <v>0</v>
      </c>
      <c r="R327">
        <v>13</v>
      </c>
      <c r="S327" s="2">
        <v>42471</v>
      </c>
      <c r="T327" s="2">
        <v>42717</v>
      </c>
      <c r="U327" s="2">
        <v>43290</v>
      </c>
      <c r="V327" s="2">
        <v>42691</v>
      </c>
    </row>
    <row r="328" spans="1:22" x14ac:dyDescent="0.2">
      <c r="A328" t="str">
        <f>"305.42 BEA"</f>
        <v>305.42 BEA</v>
      </c>
      <c r="B328" t="str">
        <f>"Women &amp; power: a manifesto"</f>
        <v>Women &amp; power: a manifesto</v>
      </c>
      <c r="C328">
        <v>299179</v>
      </c>
      <c r="D328" t="str">
        <f>"Beard, Mary,"</f>
        <v>Beard, Mary,</v>
      </c>
      <c r="F328" t="str">
        <f>"xi, 115 pages, 20 cm, illustrations"</f>
        <v>xi, 115 pages, 20 cm, illustrations</v>
      </c>
      <c r="G328" s="1">
        <v>18</v>
      </c>
      <c r="H328">
        <v>2017</v>
      </c>
      <c r="I328" t="str">
        <f t="shared" ref="I328:I391" si="12">"9: 300 - 399"</f>
        <v>9: 300 - 399</v>
      </c>
      <c r="K328" t="str">
        <f t="shared" si="11"/>
        <v>WB - In</v>
      </c>
      <c r="L328" s="1">
        <v>21</v>
      </c>
      <c r="M328" t="s">
        <v>314</v>
      </c>
      <c r="O328" t="s">
        <v>28</v>
      </c>
      <c r="P328">
        <v>10</v>
      </c>
      <c r="Q328">
        <v>2</v>
      </c>
      <c r="R328">
        <v>12</v>
      </c>
      <c r="S328" s="2">
        <v>43102</v>
      </c>
      <c r="T328" s="2">
        <v>43307</v>
      </c>
      <c r="U328" s="2">
        <v>43521</v>
      </c>
      <c r="V328" s="2">
        <v>43630</v>
      </c>
    </row>
    <row r="329" spans="1:22" x14ac:dyDescent="0.2">
      <c r="A329" t="str">
        <f>"305.42 BRO"</f>
        <v>305.42 BRO</v>
      </c>
      <c r="B329" t="str">
        <f>"Subverted: how I helped the sexual revol"</f>
        <v>Subverted: how I helped the sexual revol</v>
      </c>
      <c r="C329">
        <v>407103</v>
      </c>
      <c r="D329" t="str">
        <f>"Browder, Sue"</f>
        <v>Browder, Sue</v>
      </c>
      <c r="F329" t="str">
        <f>"224 pages, 24 cm"</f>
        <v>224 pages, 24 cm</v>
      </c>
      <c r="G329" s="1">
        <v>19</v>
      </c>
      <c r="H329">
        <v>2015</v>
      </c>
      <c r="I329" t="str">
        <f t="shared" si="12"/>
        <v>9: 300 - 399</v>
      </c>
      <c r="K329" t="str">
        <f t="shared" si="11"/>
        <v>WB - In</v>
      </c>
      <c r="L329" s="1">
        <v>28</v>
      </c>
      <c r="M329" t="s">
        <v>315</v>
      </c>
      <c r="O329" t="s">
        <v>28</v>
      </c>
      <c r="P329">
        <v>1</v>
      </c>
      <c r="Q329">
        <v>0</v>
      </c>
      <c r="R329">
        <v>1</v>
      </c>
      <c r="S329" s="2">
        <v>43670</v>
      </c>
      <c r="T329" s="2">
        <v>43677</v>
      </c>
      <c r="U329" s="2">
        <v>43764</v>
      </c>
    </row>
    <row r="330" spans="1:22" x14ac:dyDescent="0.2">
      <c r="A330" t="str">
        <f>"305.42 CHO"</f>
        <v>305.42 CHO</v>
      </c>
      <c r="B330" t="str">
        <f>"You play the girl: on Playboy bunnies, S"</f>
        <v>You play the girl: on Playboy bunnies, S</v>
      </c>
      <c r="C330">
        <v>345126</v>
      </c>
      <c r="D330" t="str">
        <f>"Chocano, Carina"</f>
        <v>Chocano, Carina</v>
      </c>
      <c r="F330" t="str">
        <f>"xxvi, 275 pages, 21 cm"</f>
        <v>xxvi, 275 pages, 21 cm</v>
      </c>
      <c r="G330" s="1">
        <v>17</v>
      </c>
      <c r="H330">
        <v>2017</v>
      </c>
      <c r="I330" t="str">
        <f t="shared" si="12"/>
        <v>9: 300 - 399</v>
      </c>
      <c r="K330" t="str">
        <f t="shared" si="11"/>
        <v>WB - In</v>
      </c>
      <c r="L330" s="1">
        <v>22</v>
      </c>
      <c r="O330" t="s">
        <v>28</v>
      </c>
      <c r="P330">
        <v>5</v>
      </c>
      <c r="Q330">
        <v>0</v>
      </c>
      <c r="R330">
        <v>5</v>
      </c>
      <c r="S330" s="2">
        <v>43080</v>
      </c>
      <c r="T330" s="2">
        <v>43271</v>
      </c>
      <c r="U330" s="2">
        <v>43546</v>
      </c>
    </row>
    <row r="331" spans="1:22" x14ac:dyDescent="0.2">
      <c r="A331" t="str">
        <f>"305.42 COB"</f>
        <v>305.42 COB</v>
      </c>
      <c r="B331" t="str">
        <f>"Feminism unfinished: a short, surprising"</f>
        <v>Feminism unfinished: a short, surprising</v>
      </c>
      <c r="C331">
        <v>323453</v>
      </c>
      <c r="D331" t="str">
        <f>"Cobble, Dorothy Sue."</f>
        <v>Cobble, Dorothy Sue.</v>
      </c>
      <c r="F331" t="str">
        <f>"265 p."</f>
        <v>265 p.</v>
      </c>
      <c r="G331" s="1">
        <v>14</v>
      </c>
      <c r="H331">
        <v>2014</v>
      </c>
      <c r="I331" t="str">
        <f t="shared" si="12"/>
        <v>9: 300 - 399</v>
      </c>
      <c r="K331" t="str">
        <f t="shared" si="11"/>
        <v>WB - In</v>
      </c>
      <c r="L331" s="1">
        <v>31</v>
      </c>
      <c r="M331" t="s">
        <v>316</v>
      </c>
      <c r="O331" t="s">
        <v>28</v>
      </c>
      <c r="P331">
        <v>0</v>
      </c>
      <c r="Q331">
        <v>0</v>
      </c>
      <c r="R331">
        <v>5</v>
      </c>
      <c r="S331" s="2">
        <v>41891</v>
      </c>
      <c r="T331" s="2">
        <v>42081</v>
      </c>
      <c r="U331" s="2">
        <v>42556</v>
      </c>
    </row>
    <row r="332" spans="1:22" x14ac:dyDescent="0.2">
      <c r="A332" t="str">
        <f>"305.42 CRI"</f>
        <v>305.42 CRI</v>
      </c>
      <c r="B332" t="str">
        <f>"Invisible women: data bias in a world de"</f>
        <v>Invisible women: data bias in a world de</v>
      </c>
      <c r="C332">
        <v>353780</v>
      </c>
      <c r="D332" t="str">
        <f>"Criado-Perez, Caroline"</f>
        <v>Criado-Perez, Caroline</v>
      </c>
      <c r="F332" t="str">
        <f>"xv, 411 pages, 24 cm"</f>
        <v>xv, 411 pages, 24 cm</v>
      </c>
      <c r="G332" s="1">
        <v>19</v>
      </c>
      <c r="H332">
        <v>2019</v>
      </c>
      <c r="I332" t="str">
        <f t="shared" si="12"/>
        <v>9: 300 - 399</v>
      </c>
      <c r="K332" t="str">
        <f>"WB - Out"</f>
        <v>WB - Out</v>
      </c>
      <c r="L332" s="1">
        <v>32</v>
      </c>
      <c r="M332" t="s">
        <v>317</v>
      </c>
      <c r="O332" t="s">
        <v>28</v>
      </c>
      <c r="P332">
        <v>9</v>
      </c>
      <c r="Q332">
        <v>0</v>
      </c>
      <c r="R332">
        <v>9</v>
      </c>
      <c r="S332" s="2">
        <v>43551</v>
      </c>
      <c r="T332" s="2">
        <v>43740</v>
      </c>
      <c r="U332" s="2">
        <v>43833</v>
      </c>
    </row>
    <row r="333" spans="1:22" x14ac:dyDescent="0.2">
      <c r="A333" t="str">
        <f>"305.42 DEA"</f>
        <v>305.42 DEA</v>
      </c>
      <c r="B333" t="str">
        <f>"She the people: a graphic history of upr"</f>
        <v>She the people: a graphic history of upr</v>
      </c>
      <c r="C333">
        <v>353602</v>
      </c>
      <c r="D333" t="str">
        <f>"Deaderick, Jen"</f>
        <v>Deaderick, Jen</v>
      </c>
      <c r="F333" t="str">
        <f>"187 pages, 23 cm, illustrations"</f>
        <v>187 pages, 23 cm, illustrations</v>
      </c>
      <c r="G333" s="1">
        <v>19</v>
      </c>
      <c r="H333">
        <v>2019</v>
      </c>
      <c r="I333" t="str">
        <f t="shared" si="12"/>
        <v>9: 300 - 399</v>
      </c>
      <c r="K333" t="str">
        <f>"WB - In"</f>
        <v>WB - In</v>
      </c>
      <c r="L333" s="1">
        <v>23</v>
      </c>
      <c r="M333" t="s">
        <v>318</v>
      </c>
      <c r="O333" t="s">
        <v>28</v>
      </c>
      <c r="P333">
        <v>3</v>
      </c>
      <c r="Q333">
        <v>0</v>
      </c>
      <c r="R333">
        <v>3</v>
      </c>
      <c r="S333" s="2">
        <v>43542</v>
      </c>
      <c r="T333" s="2">
        <v>43740</v>
      </c>
      <c r="U333" s="2">
        <v>43672</v>
      </c>
    </row>
    <row r="334" spans="1:22" x14ac:dyDescent="0.2">
      <c r="A334" t="str">
        <f>"305.42 FRI"</f>
        <v>305.42 FRI</v>
      </c>
      <c r="B334" t="str">
        <f>"feminine mystique"</f>
        <v>feminine mystique</v>
      </c>
      <c r="C334">
        <v>144314</v>
      </c>
      <c r="D334" t="str">
        <f>"Friedan, Betty."</f>
        <v>Friedan, Betty.</v>
      </c>
      <c r="F334" t="str">
        <f>"xxxiv, 430 p., 21 cm."</f>
        <v>xxxiv, 430 p., 21 cm.</v>
      </c>
      <c r="G334" s="1">
        <v>10</v>
      </c>
      <c r="H334">
        <v>2001</v>
      </c>
      <c r="I334" t="str">
        <f t="shared" si="12"/>
        <v>9: 300 - 399</v>
      </c>
      <c r="K334" t="str">
        <f>"LL - Out"</f>
        <v>LL - Out</v>
      </c>
      <c r="L334" s="1">
        <v>21</v>
      </c>
      <c r="M334" t="s">
        <v>319</v>
      </c>
      <c r="O334" t="s">
        <v>28</v>
      </c>
      <c r="P334">
        <v>8</v>
      </c>
      <c r="Q334">
        <v>0</v>
      </c>
      <c r="R334">
        <v>27</v>
      </c>
      <c r="S334" s="2">
        <v>40396</v>
      </c>
      <c r="T334" s="2">
        <v>41053</v>
      </c>
      <c r="U334" s="2">
        <v>43829</v>
      </c>
      <c r="V334" s="2">
        <v>40575</v>
      </c>
    </row>
    <row r="335" spans="1:22" x14ac:dyDescent="0.2">
      <c r="A335" t="str">
        <f>"305.42 FUT"</f>
        <v>305.42 FUT</v>
      </c>
      <c r="B335" t="str">
        <f>"future is feminist: radical, funny, and "</f>
        <v xml:space="preserve">future is feminist: radical, funny, and </v>
      </c>
      <c r="C335">
        <v>356977</v>
      </c>
      <c r="F335" t="str">
        <f>"143 pages, 25 cm"</f>
        <v>143 pages, 25 cm</v>
      </c>
      <c r="G335" s="1">
        <v>19</v>
      </c>
      <c r="H335">
        <v>2019</v>
      </c>
      <c r="I335" t="str">
        <f t="shared" si="12"/>
        <v>9: 300 - 399</v>
      </c>
      <c r="K335" t="str">
        <f>"WB - In"</f>
        <v>WB - In</v>
      </c>
      <c r="L335" s="1">
        <v>30</v>
      </c>
      <c r="M335" t="s">
        <v>320</v>
      </c>
      <c r="O335" t="s">
        <v>28</v>
      </c>
      <c r="P335">
        <v>1</v>
      </c>
      <c r="Q335">
        <v>1</v>
      </c>
      <c r="R335">
        <v>2</v>
      </c>
      <c r="S335" s="2">
        <v>43696</v>
      </c>
      <c r="T335" s="2">
        <v>43852</v>
      </c>
      <c r="U335" s="2">
        <v>43761</v>
      </c>
      <c r="V335" s="2">
        <v>43776</v>
      </c>
    </row>
    <row r="336" spans="1:22" x14ac:dyDescent="0.2">
      <c r="A336" t="str">
        <f>"305.42 GAT"</f>
        <v>305.42 GAT</v>
      </c>
      <c r="B336" t="str">
        <f>"moment of lift: how empowering women cha"</f>
        <v>moment of lift: how empowering women cha</v>
      </c>
      <c r="C336">
        <v>354349</v>
      </c>
      <c r="D336" t="str">
        <f>"Gates, Melinda,"</f>
        <v>Gates, Melinda,</v>
      </c>
      <c r="F336" t="str">
        <f>"273 pages, 22 cm"</f>
        <v>273 pages, 22 cm</v>
      </c>
      <c r="G336" s="1">
        <v>19</v>
      </c>
      <c r="H336">
        <v>2019</v>
      </c>
      <c r="I336" t="str">
        <f t="shared" si="12"/>
        <v>9: 300 - 399</v>
      </c>
      <c r="K336" t="str">
        <f>"LL - In"</f>
        <v>LL - In</v>
      </c>
      <c r="L336" s="1">
        <v>32</v>
      </c>
      <c r="M336" t="s">
        <v>321</v>
      </c>
      <c r="O336" t="s">
        <v>28</v>
      </c>
      <c r="P336">
        <v>10</v>
      </c>
      <c r="Q336">
        <v>0</v>
      </c>
      <c r="R336">
        <v>10</v>
      </c>
      <c r="S336" s="2">
        <v>43578</v>
      </c>
      <c r="T336" s="2">
        <v>43745</v>
      </c>
      <c r="U336" s="2">
        <v>43774</v>
      </c>
    </row>
    <row r="337" spans="1:22" x14ac:dyDescent="0.2">
      <c r="A337" t="str">
        <f>"305.42 GAT"</f>
        <v>305.42 GAT</v>
      </c>
      <c r="B337" t="str">
        <f>"moment of lift: how empowering women cha"</f>
        <v>moment of lift: how empowering women cha</v>
      </c>
      <c r="C337">
        <v>354350</v>
      </c>
      <c r="D337" t="str">
        <f>"Gates, Melinda,"</f>
        <v>Gates, Melinda,</v>
      </c>
      <c r="F337" t="str">
        <f>"273 pages, 22 cm"</f>
        <v>273 pages, 22 cm</v>
      </c>
      <c r="G337" s="1">
        <v>19</v>
      </c>
      <c r="H337">
        <v>2019</v>
      </c>
      <c r="I337" t="str">
        <f t="shared" si="12"/>
        <v>9: 300 - 399</v>
      </c>
      <c r="K337" t="str">
        <f>"WB - In"</f>
        <v>WB - In</v>
      </c>
      <c r="L337" s="1">
        <v>32</v>
      </c>
      <c r="M337" t="s">
        <v>321</v>
      </c>
      <c r="O337" t="s">
        <v>28</v>
      </c>
      <c r="P337">
        <v>9</v>
      </c>
      <c r="Q337">
        <v>2</v>
      </c>
      <c r="R337">
        <v>11</v>
      </c>
      <c r="S337" s="2">
        <v>43578</v>
      </c>
      <c r="T337" s="2">
        <v>43754</v>
      </c>
      <c r="U337" s="2">
        <v>43791</v>
      </c>
      <c r="V337" s="2">
        <v>43755</v>
      </c>
    </row>
    <row r="338" spans="1:22" x14ac:dyDescent="0.2">
      <c r="A338" t="str">
        <f>"305.42 GAT"</f>
        <v>305.42 GAT</v>
      </c>
      <c r="B338" t="str">
        <f>"moment of lift: how empowering women cha"</f>
        <v>moment of lift: how empowering women cha</v>
      </c>
      <c r="C338">
        <v>355249</v>
      </c>
      <c r="D338" t="str">
        <f>"Gates, Melinda,"</f>
        <v>Gates, Melinda,</v>
      </c>
      <c r="F338" t="str">
        <f>"273 pages, 22 cm"</f>
        <v>273 pages, 22 cm</v>
      </c>
      <c r="G338" s="1">
        <v>19</v>
      </c>
      <c r="H338">
        <v>2019</v>
      </c>
      <c r="I338" t="str">
        <f t="shared" si="12"/>
        <v>9: 300 - 399</v>
      </c>
      <c r="K338" t="str">
        <f>"LL - In"</f>
        <v>LL - In</v>
      </c>
      <c r="L338" s="1">
        <v>32</v>
      </c>
      <c r="M338" t="s">
        <v>321</v>
      </c>
      <c r="O338" t="s">
        <v>28</v>
      </c>
      <c r="P338">
        <v>10</v>
      </c>
      <c r="Q338">
        <v>0</v>
      </c>
      <c r="R338">
        <v>10</v>
      </c>
      <c r="S338" s="2">
        <v>43620</v>
      </c>
      <c r="T338" s="2">
        <v>43808</v>
      </c>
      <c r="U338" s="2">
        <v>43838</v>
      </c>
    </row>
    <row r="339" spans="1:22" x14ac:dyDescent="0.2">
      <c r="A339" t="str">
        <f>"305.42 HIR"</f>
        <v>305.42 HIR</v>
      </c>
      <c r="B339" t="str">
        <f>"Reckoning: the epic battle against sexua"</f>
        <v>Reckoning: the epic battle against sexua</v>
      </c>
      <c r="C339">
        <v>356413</v>
      </c>
      <c r="D339" t="str">
        <f>"Hirshman, Linda R."</f>
        <v>Hirshman, Linda R.</v>
      </c>
      <c r="F339" t="str">
        <f>"xviii, 316 pages, 24 cm"</f>
        <v>xviii, 316 pages, 24 cm</v>
      </c>
      <c r="G339" s="1">
        <v>19</v>
      </c>
      <c r="H339">
        <v>2019</v>
      </c>
      <c r="I339" t="str">
        <f t="shared" si="12"/>
        <v>9: 300 - 399</v>
      </c>
      <c r="K339" t="str">
        <f>"WB - In"</f>
        <v>WB - In</v>
      </c>
      <c r="L339" s="1">
        <v>32</v>
      </c>
      <c r="M339" t="s">
        <v>322</v>
      </c>
      <c r="O339" t="s">
        <v>28</v>
      </c>
      <c r="P339">
        <v>0</v>
      </c>
      <c r="Q339">
        <v>0</v>
      </c>
      <c r="R339">
        <v>0</v>
      </c>
      <c r="S339" s="2">
        <v>43671</v>
      </c>
      <c r="T339" s="2">
        <v>43832</v>
      </c>
    </row>
    <row r="340" spans="1:22" x14ac:dyDescent="0.2">
      <c r="A340" t="str">
        <f>"305.42 LIP"</f>
        <v>305.42 LIP</v>
      </c>
      <c r="B340" t="str">
        <f>"That's what she said: what men need to k"</f>
        <v>That's what she said: what men need to k</v>
      </c>
      <c r="C340">
        <v>299843</v>
      </c>
      <c r="D340" t="str">
        <f>"Lipman, Joanne."</f>
        <v>Lipman, Joanne.</v>
      </c>
      <c r="F340" t="str">
        <f>"xxi, 297 pages, 24 cm"</f>
        <v>xxi, 297 pages, 24 cm</v>
      </c>
      <c r="G340" s="1">
        <v>18</v>
      </c>
      <c r="H340">
        <v>2018</v>
      </c>
      <c r="I340" t="str">
        <f t="shared" si="12"/>
        <v>9: 300 - 399</v>
      </c>
      <c r="K340" t="str">
        <f>"WB - In"</f>
        <v>WB - In</v>
      </c>
      <c r="L340" s="1">
        <v>34</v>
      </c>
      <c r="M340" t="s">
        <v>323</v>
      </c>
      <c r="O340" t="s">
        <v>28</v>
      </c>
      <c r="P340">
        <v>6</v>
      </c>
      <c r="Q340">
        <v>0</v>
      </c>
      <c r="R340">
        <v>6</v>
      </c>
      <c r="S340" s="2">
        <v>43137</v>
      </c>
      <c r="T340" s="2">
        <v>43318</v>
      </c>
      <c r="U340" s="2">
        <v>43799</v>
      </c>
    </row>
    <row r="341" spans="1:22" x14ac:dyDescent="0.2">
      <c r="A341" t="str">
        <f>"305.42 MIL"</f>
        <v>305.42 MIL</v>
      </c>
      <c r="B341" t="str">
        <f>"Sexual politics"</f>
        <v>Sexual politics</v>
      </c>
      <c r="C341">
        <v>288990</v>
      </c>
      <c r="D341" t="str">
        <f>"Millett, Kate."</f>
        <v>Millett, Kate.</v>
      </c>
      <c r="F341" t="str">
        <f>"368 p."</f>
        <v>368 p.</v>
      </c>
      <c r="G341" s="1">
        <v>16</v>
      </c>
      <c r="H341">
        <v>2016</v>
      </c>
      <c r="I341" t="str">
        <f t="shared" si="12"/>
        <v>9: 300 - 399</v>
      </c>
      <c r="K341" t="str">
        <f>"WB - In"</f>
        <v>WB - In</v>
      </c>
      <c r="L341" s="1">
        <v>80</v>
      </c>
      <c r="M341" t="s">
        <v>324</v>
      </c>
      <c r="O341" t="s">
        <v>28</v>
      </c>
      <c r="P341">
        <v>1</v>
      </c>
      <c r="Q341">
        <v>1</v>
      </c>
      <c r="R341">
        <v>2</v>
      </c>
      <c r="S341" s="2">
        <v>42544</v>
      </c>
      <c r="T341" s="2">
        <v>42573</v>
      </c>
      <c r="U341" s="2">
        <v>42867</v>
      </c>
      <c r="V341" s="2">
        <v>42780</v>
      </c>
    </row>
    <row r="342" spans="1:22" x14ac:dyDescent="0.2">
      <c r="A342" t="str">
        <f>"305.42 PAL"</f>
        <v>305.42 PAL</v>
      </c>
      <c r="B342" t="str">
        <f>"Dear Madam President: an open letter to "</f>
        <v xml:space="preserve">Dear Madam President: an open letter to </v>
      </c>
      <c r="C342">
        <v>347256</v>
      </c>
      <c r="D342" t="str">
        <f>"Palmieri, Jennifer"</f>
        <v>Palmieri, Jennifer</v>
      </c>
      <c r="F342" t="str">
        <f>"ix, 180 pages, 19 cm"</f>
        <v>ix, 180 pages, 19 cm</v>
      </c>
      <c r="G342" s="1">
        <v>18</v>
      </c>
      <c r="H342">
        <v>2018</v>
      </c>
      <c r="I342" t="str">
        <f t="shared" si="12"/>
        <v>9: 300 - 399</v>
      </c>
      <c r="K342" t="str">
        <f>"WB - In"</f>
        <v>WB - In</v>
      </c>
      <c r="L342" s="1">
        <v>25</v>
      </c>
      <c r="O342" t="s">
        <v>28</v>
      </c>
      <c r="P342">
        <v>4</v>
      </c>
      <c r="Q342">
        <v>0</v>
      </c>
      <c r="R342">
        <v>4</v>
      </c>
      <c r="S342" s="2">
        <v>43206</v>
      </c>
      <c r="T342" s="2">
        <v>43362</v>
      </c>
      <c r="U342" s="2">
        <v>43322</v>
      </c>
    </row>
    <row r="343" spans="1:22" x14ac:dyDescent="0.2">
      <c r="A343" t="str">
        <f>"305.42 POL"</f>
        <v>305.42 POL</v>
      </c>
      <c r="B343" t="str">
        <f>"only woman in the room: why science is s"</f>
        <v>only woman in the room: why science is s</v>
      </c>
      <c r="C343">
        <v>330423</v>
      </c>
      <c r="D343" t="str">
        <f>"Pollack, Eileen"</f>
        <v>Pollack, Eileen</v>
      </c>
      <c r="F343" t="str">
        <f>"xxii, 266 pages, 24 cm, illustration"</f>
        <v>xxii, 266 pages, 24 cm, illustration</v>
      </c>
      <c r="G343" s="1">
        <v>15</v>
      </c>
      <c r="H343">
        <v>2015</v>
      </c>
      <c r="I343" t="str">
        <f t="shared" si="12"/>
        <v>9: 300 - 399</v>
      </c>
      <c r="K343" t="str">
        <f>"WB - In"</f>
        <v>WB - In</v>
      </c>
      <c r="L343" s="1">
        <v>31</v>
      </c>
      <c r="M343" t="s">
        <v>325</v>
      </c>
      <c r="O343" t="s">
        <v>28</v>
      </c>
      <c r="P343">
        <v>2</v>
      </c>
      <c r="Q343">
        <v>0</v>
      </c>
      <c r="R343">
        <v>9</v>
      </c>
      <c r="S343" s="2">
        <v>42286</v>
      </c>
      <c r="T343" s="2">
        <v>42457</v>
      </c>
      <c r="U343" s="2">
        <v>43480</v>
      </c>
      <c r="V343" s="2">
        <v>42423</v>
      </c>
    </row>
    <row r="344" spans="1:22" x14ac:dyDescent="0.2">
      <c r="A344" t="str">
        <f>"305.42 RIV"</f>
        <v>305.42 RIV</v>
      </c>
      <c r="B344" t="str">
        <f>"new soft war on women: how the myth of f"</f>
        <v>new soft war on women: how the myth of f</v>
      </c>
      <c r="C344">
        <v>317496</v>
      </c>
      <c r="D344" t="str">
        <f>"Rivers, Caryl."</f>
        <v>Rivers, Caryl.</v>
      </c>
      <c r="F344" t="str">
        <f>"272 pages, 24 cm, illustrations"</f>
        <v>272 pages, 24 cm, illustrations</v>
      </c>
      <c r="G344" s="1">
        <v>13</v>
      </c>
      <c r="H344">
        <v>2013</v>
      </c>
      <c r="I344" t="str">
        <f t="shared" si="12"/>
        <v>9: 300 - 399</v>
      </c>
      <c r="K344" t="str">
        <f>"LL - In"</f>
        <v>LL - In</v>
      </c>
      <c r="L344" s="1">
        <v>32</v>
      </c>
      <c r="M344" t="s">
        <v>326</v>
      </c>
      <c r="O344" t="s">
        <v>28</v>
      </c>
      <c r="P344">
        <v>1</v>
      </c>
      <c r="Q344">
        <v>0</v>
      </c>
      <c r="R344">
        <v>11</v>
      </c>
      <c r="S344" s="2">
        <v>41575</v>
      </c>
      <c r="T344" s="2">
        <v>41751</v>
      </c>
      <c r="U344" s="2">
        <v>43180</v>
      </c>
      <c r="V344" s="2">
        <v>41750</v>
      </c>
    </row>
    <row r="345" spans="1:22" x14ac:dyDescent="0.2">
      <c r="A345" t="str">
        <f>"305.42 ROS"</f>
        <v>305.42 ROS</v>
      </c>
      <c r="B345" t="str">
        <f>"end of men: and the rise of women"</f>
        <v>end of men: and the rise of women</v>
      </c>
      <c r="C345">
        <v>309517</v>
      </c>
      <c r="D345" t="str">
        <f>"Rosin, Hanna."</f>
        <v>Rosin, Hanna.</v>
      </c>
      <c r="F345" t="str">
        <f>"310 p."</f>
        <v>310 p.</v>
      </c>
      <c r="G345" s="1">
        <v>12</v>
      </c>
      <c r="H345">
        <v>2012</v>
      </c>
      <c r="I345" t="str">
        <f t="shared" si="12"/>
        <v>9: 300 - 399</v>
      </c>
      <c r="K345" t="str">
        <f>"WB - In"</f>
        <v>WB - In</v>
      </c>
      <c r="L345" s="1">
        <v>33</v>
      </c>
      <c r="M345" t="s">
        <v>327</v>
      </c>
      <c r="O345" t="s">
        <v>28</v>
      </c>
      <c r="P345">
        <v>3</v>
      </c>
      <c r="Q345">
        <v>0</v>
      </c>
      <c r="R345">
        <v>9</v>
      </c>
      <c r="S345" s="2">
        <v>41164</v>
      </c>
      <c r="T345" s="2">
        <v>41352</v>
      </c>
      <c r="U345" s="2">
        <v>43356</v>
      </c>
    </row>
    <row r="346" spans="1:22" x14ac:dyDescent="0.2">
      <c r="A346" t="str">
        <f>"305.42 SOL"</f>
        <v>305.42 SOL</v>
      </c>
      <c r="B346" t="str">
        <f>"Men explain things to me"</f>
        <v>Men explain things to me</v>
      </c>
      <c r="C346">
        <v>323069</v>
      </c>
      <c r="D346" t="str">
        <f>"Solnit, Rebecca."</f>
        <v>Solnit, Rebecca.</v>
      </c>
      <c r="F346" t="str">
        <f>"126 p."</f>
        <v>126 p.</v>
      </c>
      <c r="G346" s="1">
        <v>14</v>
      </c>
      <c r="H346">
        <v>2014</v>
      </c>
      <c r="I346" t="str">
        <f t="shared" si="12"/>
        <v>9: 300 - 399</v>
      </c>
      <c r="K346" t="str">
        <f>"LL - In"</f>
        <v>LL - In</v>
      </c>
      <c r="L346" s="1">
        <v>17</v>
      </c>
      <c r="M346" t="s">
        <v>328</v>
      </c>
      <c r="O346" t="s">
        <v>28</v>
      </c>
      <c r="P346">
        <v>5</v>
      </c>
      <c r="Q346">
        <v>1</v>
      </c>
      <c r="R346">
        <v>23</v>
      </c>
      <c r="S346" s="2">
        <v>41869</v>
      </c>
      <c r="T346" s="2">
        <v>42198</v>
      </c>
      <c r="U346" s="2">
        <v>43742</v>
      </c>
      <c r="V346" s="2">
        <v>43565</v>
      </c>
    </row>
    <row r="347" spans="1:22" x14ac:dyDescent="0.2">
      <c r="A347" t="str">
        <f>"305.42 TOG"</f>
        <v>305.42 TOG</v>
      </c>
      <c r="B347" t="str">
        <f>"Together we rise: behind the scenes at t"</f>
        <v>Together we rise: behind the scenes at t</v>
      </c>
      <c r="C347">
        <v>345887</v>
      </c>
      <c r="F347" t="str">
        <f>"319 pages, 27 cm, illustrations (chiefly color)"</f>
        <v>319 pages, 27 cm, illustrations (chiefly color)</v>
      </c>
      <c r="G347" s="1">
        <v>18</v>
      </c>
      <c r="H347">
        <v>2018</v>
      </c>
      <c r="I347" t="str">
        <f t="shared" si="12"/>
        <v>9: 300 - 399</v>
      </c>
      <c r="K347" t="str">
        <f>"WB - In"</f>
        <v>WB - In</v>
      </c>
      <c r="L347" s="1">
        <v>35</v>
      </c>
      <c r="M347" t="s">
        <v>329</v>
      </c>
      <c r="O347" t="s">
        <v>28</v>
      </c>
      <c r="P347">
        <v>0</v>
      </c>
      <c r="Q347">
        <v>0</v>
      </c>
      <c r="R347">
        <v>0</v>
      </c>
      <c r="S347" s="2">
        <v>43137</v>
      </c>
      <c r="T347" s="2">
        <v>43334</v>
      </c>
    </row>
    <row r="348" spans="1:22" x14ac:dyDescent="0.2">
      <c r="A348" t="str">
        <f>"305.42 TRA"</f>
        <v>305.42 TRA</v>
      </c>
      <c r="B348" t="str">
        <f>"Good and mad: the revolutionary power of"</f>
        <v>Good and mad: the revolutionary power of</v>
      </c>
      <c r="C348">
        <v>350663</v>
      </c>
      <c r="D348" t="str">
        <f>"Traister, Rebecca"</f>
        <v>Traister, Rebecca</v>
      </c>
      <c r="F348" t="str">
        <f>"xxxi, 284 pages, 24 cm"</f>
        <v>xxxi, 284 pages, 24 cm</v>
      </c>
      <c r="G348" s="1">
        <v>18</v>
      </c>
      <c r="H348">
        <v>2018</v>
      </c>
      <c r="I348" t="str">
        <f t="shared" si="12"/>
        <v>9: 300 - 399</v>
      </c>
      <c r="K348" t="str">
        <f>"WB - In"</f>
        <v>WB - In</v>
      </c>
      <c r="L348" s="1">
        <v>32</v>
      </c>
      <c r="M348" t="s">
        <v>330</v>
      </c>
      <c r="O348" t="s">
        <v>28</v>
      </c>
      <c r="P348">
        <v>5</v>
      </c>
      <c r="Q348">
        <v>0</v>
      </c>
      <c r="R348">
        <v>5</v>
      </c>
      <c r="S348" s="2">
        <v>43389</v>
      </c>
      <c r="T348" s="2">
        <v>43558</v>
      </c>
      <c r="U348" s="2">
        <v>43547</v>
      </c>
    </row>
    <row r="349" spans="1:22" x14ac:dyDescent="0.2">
      <c r="A349" t="str">
        <f>"305.42 WHY"</f>
        <v>305.42 WHY</v>
      </c>
      <c r="B349" t="str">
        <f>"Why I march: images from the Women's Mar"</f>
        <v>Why I march: images from the Women's Mar</v>
      </c>
      <c r="C349">
        <v>345889</v>
      </c>
      <c r="F349" t="str">
        <f>"173 pages, 22 cm, chiefly color illustrations"</f>
        <v>173 pages, 22 cm, chiefly color illustrations</v>
      </c>
      <c r="G349" s="1">
        <v>18</v>
      </c>
      <c r="H349">
        <v>2017</v>
      </c>
      <c r="I349" t="str">
        <f t="shared" si="12"/>
        <v>9: 300 - 399</v>
      </c>
      <c r="K349" t="str">
        <f>"LL - In"</f>
        <v>LL - In</v>
      </c>
      <c r="L349" s="1">
        <v>20</v>
      </c>
      <c r="M349" t="s">
        <v>331</v>
      </c>
      <c r="O349" t="s">
        <v>28</v>
      </c>
      <c r="P349">
        <v>1</v>
      </c>
      <c r="Q349">
        <v>1</v>
      </c>
      <c r="R349">
        <v>2</v>
      </c>
      <c r="S349" s="2">
        <v>43137</v>
      </c>
      <c r="T349" s="2">
        <v>43388</v>
      </c>
      <c r="U349" s="2">
        <v>43368</v>
      </c>
      <c r="V349" s="2">
        <v>43566</v>
      </c>
    </row>
    <row r="350" spans="1:22" x14ac:dyDescent="0.2">
      <c r="A350" t="str">
        <f>"305.42 WOL"</f>
        <v>305.42 WOL</v>
      </c>
      <c r="B350" t="str">
        <f>"beauty myth: how images of beauty are us"</f>
        <v>beauty myth: how images of beauty are us</v>
      </c>
      <c r="C350">
        <v>305825</v>
      </c>
      <c r="D350" t="str">
        <f>"Wolf, Naomi"</f>
        <v>Wolf, Naomi</v>
      </c>
      <c r="G350" s="1">
        <v>12</v>
      </c>
      <c r="H350">
        <v>1991</v>
      </c>
      <c r="I350" t="str">
        <f t="shared" si="12"/>
        <v>9: 300 - 399</v>
      </c>
      <c r="K350" t="str">
        <f>"WB - In"</f>
        <v>WB - In</v>
      </c>
      <c r="L350" s="1">
        <v>20</v>
      </c>
      <c r="M350" t="s">
        <v>332</v>
      </c>
      <c r="O350" t="s">
        <v>28</v>
      </c>
      <c r="P350">
        <v>1</v>
      </c>
      <c r="Q350">
        <v>0</v>
      </c>
      <c r="R350">
        <v>7</v>
      </c>
      <c r="S350" s="2">
        <v>40968</v>
      </c>
      <c r="T350" s="2">
        <v>41053</v>
      </c>
      <c r="U350" s="2">
        <v>42908</v>
      </c>
    </row>
    <row r="351" spans="1:22" x14ac:dyDescent="0.2">
      <c r="A351" t="str">
        <f>"305.42 ZEI"</f>
        <v>305.42 ZEI</v>
      </c>
      <c r="B351" t="str">
        <f>"We were feminists once: from Riot Grrrl "</f>
        <v xml:space="preserve">We were feminists once: from Riot Grrrl </v>
      </c>
      <c r="C351">
        <v>335525</v>
      </c>
      <c r="D351" t="str">
        <f>"Zeisler, Andi,"</f>
        <v>Zeisler, Andi,</v>
      </c>
      <c r="F351" t="str">
        <f>"xvi, 285 pages, 25 cm"</f>
        <v>xvi, 285 pages, 25 cm</v>
      </c>
      <c r="G351" s="1">
        <v>16</v>
      </c>
      <c r="H351">
        <v>2016</v>
      </c>
      <c r="I351" t="str">
        <f t="shared" si="12"/>
        <v>9: 300 - 399</v>
      </c>
      <c r="K351" t="str">
        <f>"LL - In"</f>
        <v>LL - In</v>
      </c>
      <c r="L351" s="1">
        <v>32</v>
      </c>
      <c r="M351" t="s">
        <v>333</v>
      </c>
      <c r="O351" t="s">
        <v>28</v>
      </c>
      <c r="P351">
        <v>2</v>
      </c>
      <c r="Q351">
        <v>0</v>
      </c>
      <c r="R351">
        <v>4</v>
      </c>
      <c r="S351" s="2">
        <v>42528</v>
      </c>
      <c r="T351" s="2">
        <v>42691</v>
      </c>
      <c r="U351" s="2">
        <v>43476</v>
      </c>
    </row>
    <row r="352" spans="1:22" x14ac:dyDescent="0.2">
      <c r="A352" t="str">
        <f>"305.42 ZOE"</f>
        <v>305.42 ZOE</v>
      </c>
      <c r="B352" t="str">
        <f>"Excellent daughters: the secret lives of"</f>
        <v>Excellent daughters: the secret lives of</v>
      </c>
      <c r="C352">
        <v>333217</v>
      </c>
      <c r="D352" t="str">
        <f>"Zoepf, Katherine"</f>
        <v>Zoepf, Katherine</v>
      </c>
      <c r="F352" t="str">
        <f>"xii, 258 pages, 25 cm, illustrations"</f>
        <v>xii, 258 pages, 25 cm, illustrations</v>
      </c>
      <c r="G352" s="1">
        <v>16</v>
      </c>
      <c r="H352">
        <v>2016</v>
      </c>
      <c r="I352" t="str">
        <f t="shared" si="12"/>
        <v>9: 300 - 399</v>
      </c>
      <c r="K352" t="str">
        <f>"WB - In"</f>
        <v>WB - In</v>
      </c>
      <c r="L352" s="1">
        <v>33</v>
      </c>
      <c r="M352" t="s">
        <v>334</v>
      </c>
      <c r="O352" t="s">
        <v>28</v>
      </c>
      <c r="P352">
        <v>2</v>
      </c>
      <c r="Q352">
        <v>0</v>
      </c>
      <c r="R352">
        <v>10</v>
      </c>
      <c r="S352" s="2">
        <v>42416</v>
      </c>
      <c r="T352" s="2">
        <v>42653</v>
      </c>
      <c r="U352" s="2">
        <v>42886</v>
      </c>
    </row>
    <row r="353" spans="1:22" x14ac:dyDescent="0.2">
      <c r="A353" t="str">
        <f>"305.48 DEC"</f>
        <v>305.48 DEC</v>
      </c>
      <c r="B353" t="str">
        <f>"husband hunters: American heiresses who "</f>
        <v xml:space="preserve">husband hunters: American heiresses who </v>
      </c>
      <c r="C353">
        <v>350122</v>
      </c>
      <c r="D353" t="str">
        <f>"De Courcy, Anne"</f>
        <v>De Courcy, Anne</v>
      </c>
      <c r="F353" t="str">
        <f>"x, 307 pages, 25 cm, illustrations (some color)"</f>
        <v>x, 307 pages, 25 cm, illustrations (some color)</v>
      </c>
      <c r="G353" s="1">
        <v>18</v>
      </c>
      <c r="H353">
        <v>2018</v>
      </c>
      <c r="I353" t="str">
        <f t="shared" si="12"/>
        <v>9: 300 - 399</v>
      </c>
      <c r="K353" t="str">
        <f>"WB - Out"</f>
        <v>WB - Out</v>
      </c>
      <c r="L353" s="1">
        <v>33</v>
      </c>
      <c r="M353" t="s">
        <v>335</v>
      </c>
      <c r="O353" t="s">
        <v>28</v>
      </c>
      <c r="P353">
        <v>12</v>
      </c>
      <c r="Q353">
        <v>1</v>
      </c>
      <c r="R353">
        <v>13</v>
      </c>
      <c r="S353" s="2">
        <v>43364</v>
      </c>
      <c r="T353" s="2">
        <v>43537</v>
      </c>
      <c r="U353" s="2">
        <v>43854</v>
      </c>
      <c r="V353" s="2">
        <v>43495</v>
      </c>
    </row>
    <row r="354" spans="1:22" x14ac:dyDescent="0.2">
      <c r="A354" t="str">
        <f>"305.48 ROD"</f>
        <v>305.48 ROD</v>
      </c>
      <c r="B354" t="str">
        <f>"Kabul Beauty School: an American woman g"</f>
        <v>Kabul Beauty School: an American woman g</v>
      </c>
      <c r="C354">
        <v>346295</v>
      </c>
      <c r="D354" t="str">
        <f>"Rodriguez, Deborah"</f>
        <v>Rodriguez, Deborah</v>
      </c>
      <c r="F354" t="str">
        <f>"301 p., 21 cm"</f>
        <v>301 p., 21 cm</v>
      </c>
      <c r="G354" s="1">
        <v>18</v>
      </c>
      <c r="H354">
        <v>2007</v>
      </c>
      <c r="I354" t="str">
        <f t="shared" si="12"/>
        <v>9: 300 - 399</v>
      </c>
      <c r="K354" t="str">
        <f>"WB - In"</f>
        <v>WB - In</v>
      </c>
      <c r="L354" s="1">
        <v>22</v>
      </c>
      <c r="M354" t="s">
        <v>336</v>
      </c>
      <c r="O354" t="s">
        <v>28</v>
      </c>
      <c r="P354">
        <v>3</v>
      </c>
      <c r="Q354">
        <v>0</v>
      </c>
      <c r="R354">
        <v>3</v>
      </c>
      <c r="S354" s="2">
        <v>43152</v>
      </c>
      <c r="T354" s="2">
        <v>43158</v>
      </c>
      <c r="U354" s="2">
        <v>43240</v>
      </c>
    </row>
    <row r="355" spans="1:22" x14ac:dyDescent="0.2">
      <c r="A355" t="str">
        <f>"305.5 BOO"</f>
        <v>305.5 BOO</v>
      </c>
      <c r="B355" t="str">
        <f>"Behind the beautiful forevers: life, dea"</f>
        <v>Behind the beautiful forevers: life, dea</v>
      </c>
      <c r="C355">
        <v>296540</v>
      </c>
      <c r="D355" t="str">
        <f>"Boo, Katherine."</f>
        <v>Boo, Katherine.</v>
      </c>
      <c r="F355" t="str">
        <f>"254 p."</f>
        <v>254 p.</v>
      </c>
      <c r="G355" s="1">
        <v>17</v>
      </c>
      <c r="H355">
        <v>2011</v>
      </c>
      <c r="I355" t="str">
        <f t="shared" si="12"/>
        <v>9: 300 - 399</v>
      </c>
      <c r="K355" t="str">
        <f>"LL - In"</f>
        <v>LL - In</v>
      </c>
      <c r="L355" s="1">
        <v>32</v>
      </c>
      <c r="M355" t="s">
        <v>337</v>
      </c>
      <c r="O355" t="s">
        <v>28</v>
      </c>
      <c r="P355">
        <v>12</v>
      </c>
      <c r="Q355">
        <v>0</v>
      </c>
      <c r="R355">
        <v>12</v>
      </c>
      <c r="S355" s="2">
        <v>42956</v>
      </c>
      <c r="T355" s="2">
        <v>42969</v>
      </c>
      <c r="U355" s="2">
        <v>43764</v>
      </c>
    </row>
    <row r="356" spans="1:22" x14ac:dyDescent="0.2">
      <c r="A356" t="str">
        <f>"305.5 BRO"</f>
        <v>305.5 BRO</v>
      </c>
      <c r="B356" t="str">
        <f>"Bobos in paradise: the new upper class a"</f>
        <v>Bobos in paradise: the new upper class a</v>
      </c>
      <c r="C356">
        <v>322780</v>
      </c>
      <c r="D356" t="str">
        <f>"Brooks, David"</f>
        <v>Brooks, David</v>
      </c>
      <c r="F356" t="str">
        <f>"284 p., 22 cm"</f>
        <v>284 p., 22 cm</v>
      </c>
      <c r="G356" s="1">
        <v>14</v>
      </c>
      <c r="H356">
        <v>2004</v>
      </c>
      <c r="I356" t="str">
        <f t="shared" si="12"/>
        <v>9: 300 - 399</v>
      </c>
      <c r="K356" t="str">
        <f>"WB - In"</f>
        <v>WB - In</v>
      </c>
      <c r="L356" s="1">
        <v>21</v>
      </c>
      <c r="M356" t="s">
        <v>338</v>
      </c>
      <c r="O356" t="s">
        <v>28</v>
      </c>
      <c r="P356">
        <v>0</v>
      </c>
      <c r="Q356">
        <v>0</v>
      </c>
      <c r="R356">
        <v>8</v>
      </c>
      <c r="S356" s="2">
        <v>41848</v>
      </c>
      <c r="T356" s="2">
        <v>41856</v>
      </c>
      <c r="U356" s="2">
        <v>42714</v>
      </c>
      <c r="V356" s="2">
        <v>42459</v>
      </c>
    </row>
    <row r="357" spans="1:22" x14ac:dyDescent="0.2">
      <c r="A357" t="str">
        <f>"305.5 BRU"</f>
        <v>305.5 BRU</v>
      </c>
      <c r="B357" t="str">
        <f>"Nomadland: surviving America in the twen"</f>
        <v>Nomadland: surviving America in the twen</v>
      </c>
      <c r="C357">
        <v>343897</v>
      </c>
      <c r="D357" t="str">
        <f>"Bruder, Jessica"</f>
        <v>Bruder, Jessica</v>
      </c>
      <c r="F357" t="str">
        <f>"xiv, 273 pages, 25 cm"</f>
        <v>xiv, 273 pages, 25 cm</v>
      </c>
      <c r="G357" s="1">
        <v>17</v>
      </c>
      <c r="H357">
        <v>2017</v>
      </c>
      <c r="I357" t="str">
        <f t="shared" si="12"/>
        <v>9: 300 - 399</v>
      </c>
      <c r="K357" t="str">
        <f>"WB - In"</f>
        <v>WB - In</v>
      </c>
      <c r="L357" s="1">
        <v>32</v>
      </c>
      <c r="M357" t="s">
        <v>339</v>
      </c>
      <c r="O357" t="s">
        <v>28</v>
      </c>
      <c r="P357">
        <v>16</v>
      </c>
      <c r="Q357">
        <v>2</v>
      </c>
      <c r="R357">
        <v>18</v>
      </c>
      <c r="S357" s="2">
        <v>43010</v>
      </c>
      <c r="T357" s="2">
        <v>43246</v>
      </c>
      <c r="U357" s="2">
        <v>43733</v>
      </c>
      <c r="V357" s="2">
        <v>43214</v>
      </c>
    </row>
    <row r="358" spans="1:22" x14ac:dyDescent="0.2">
      <c r="A358" t="str">
        <f>"305.5 CAR"</f>
        <v>305.5 CAR</v>
      </c>
      <c r="B358" t="str">
        <f>"Ship of fools: how a selfish ruling clas"</f>
        <v>Ship of fools: how a selfish ruling clas</v>
      </c>
      <c r="C358">
        <v>351071</v>
      </c>
      <c r="D358" t="str">
        <f>"Carlson, Tucker"</f>
        <v>Carlson, Tucker</v>
      </c>
      <c r="F358" t="str">
        <f>"vii, 243 p., 22 cm"</f>
        <v>vii, 243 p., 22 cm</v>
      </c>
      <c r="G358" s="1">
        <v>18</v>
      </c>
      <c r="H358">
        <v>2018</v>
      </c>
      <c r="I358" t="str">
        <f t="shared" si="12"/>
        <v>9: 300 - 399</v>
      </c>
      <c r="K358" t="str">
        <f>"WB - Out"</f>
        <v>WB - Out</v>
      </c>
      <c r="L358" s="1">
        <v>33</v>
      </c>
      <c r="M358" t="s">
        <v>340</v>
      </c>
      <c r="O358" t="s">
        <v>28</v>
      </c>
      <c r="P358">
        <v>8</v>
      </c>
      <c r="Q358">
        <v>0</v>
      </c>
      <c r="R358">
        <v>8</v>
      </c>
      <c r="S358" s="2">
        <v>43406</v>
      </c>
      <c r="T358" s="2">
        <v>43579</v>
      </c>
      <c r="U358" s="2">
        <v>43836</v>
      </c>
    </row>
    <row r="359" spans="1:22" x14ac:dyDescent="0.2">
      <c r="A359" t="str">
        <f>"305.5 CHU"</f>
        <v>305.5 CHU</v>
      </c>
      <c r="B359" t="str">
        <f>"triple package: how three unlikely trait"</f>
        <v>triple package: how three unlikely trait</v>
      </c>
      <c r="C359">
        <v>319714</v>
      </c>
      <c r="D359" t="str">
        <f>"Chua, Amy."</f>
        <v>Chua, Amy.</v>
      </c>
      <c r="F359" t="str">
        <f>"320 p."</f>
        <v>320 p.</v>
      </c>
      <c r="G359" s="1">
        <v>14</v>
      </c>
      <c r="H359">
        <v>2014</v>
      </c>
      <c r="I359" t="str">
        <f t="shared" si="12"/>
        <v>9: 300 - 399</v>
      </c>
      <c r="K359" t="str">
        <f>"WB - In"</f>
        <v>WB - In</v>
      </c>
      <c r="L359" s="1">
        <v>33</v>
      </c>
      <c r="M359" t="s">
        <v>341</v>
      </c>
      <c r="O359" t="s">
        <v>28</v>
      </c>
      <c r="P359">
        <v>3</v>
      </c>
      <c r="Q359">
        <v>0</v>
      </c>
      <c r="R359">
        <v>11</v>
      </c>
      <c r="S359" s="2">
        <v>41676</v>
      </c>
      <c r="T359" s="2">
        <v>41856</v>
      </c>
      <c r="U359" s="2">
        <v>43254</v>
      </c>
      <c r="V359" s="2">
        <v>42220</v>
      </c>
    </row>
    <row r="360" spans="1:22" x14ac:dyDescent="0.2">
      <c r="A360" t="str">
        <f>"305.5 DRA"</f>
        <v>305.5 DRA</v>
      </c>
      <c r="B360" t="str">
        <f>"Sleeping giant: how the new working clas"</f>
        <v>Sleeping giant: how the new working clas</v>
      </c>
      <c r="C360">
        <v>335276</v>
      </c>
      <c r="D360" t="str">
        <f>"Draut, Tamara"</f>
        <v>Draut, Tamara</v>
      </c>
      <c r="F360" t="str">
        <f>"257 pages, 25 cm, illustrations"</f>
        <v>257 pages, 25 cm, illustrations</v>
      </c>
      <c r="G360" s="1">
        <v>16</v>
      </c>
      <c r="H360">
        <v>2016</v>
      </c>
      <c r="I360" t="str">
        <f t="shared" si="12"/>
        <v>9: 300 - 399</v>
      </c>
      <c r="K360" t="str">
        <f>"WB - In"</f>
        <v>WB - In</v>
      </c>
      <c r="L360" s="1">
        <v>32</v>
      </c>
      <c r="M360" t="s">
        <v>342</v>
      </c>
      <c r="O360" t="s">
        <v>28</v>
      </c>
      <c r="P360">
        <v>0</v>
      </c>
      <c r="Q360">
        <v>0</v>
      </c>
      <c r="R360">
        <v>6</v>
      </c>
      <c r="S360" s="2">
        <v>42513</v>
      </c>
      <c r="T360" s="2">
        <v>42670</v>
      </c>
      <c r="U360" s="2">
        <v>42652</v>
      </c>
    </row>
    <row r="361" spans="1:22" x14ac:dyDescent="0.2">
      <c r="A361" t="str">
        <f>"305.5 EHR"</f>
        <v>305.5 EHR</v>
      </c>
      <c r="B361" t="str">
        <f>"Nickel and dimed: on (not) getting by in"</f>
        <v>Nickel and dimed: on (not) getting by in</v>
      </c>
      <c r="C361">
        <v>212415</v>
      </c>
      <c r="D361" t="str">
        <f>"Ehrenreich, Barbara"</f>
        <v>Ehrenreich, Barbara</v>
      </c>
      <c r="F361" t="str">
        <f>"221 p."</f>
        <v>221 p.</v>
      </c>
      <c r="G361">
        <v>8</v>
      </c>
      <c r="H361">
        <v>2001</v>
      </c>
      <c r="I361" t="str">
        <f t="shared" si="12"/>
        <v>9: 300 - 399</v>
      </c>
      <c r="K361" t="str">
        <f>"WB - In"</f>
        <v>WB - In</v>
      </c>
      <c r="L361" s="1">
        <v>28</v>
      </c>
      <c r="M361" t="s">
        <v>343</v>
      </c>
      <c r="O361" t="s">
        <v>28</v>
      </c>
      <c r="P361">
        <v>7</v>
      </c>
      <c r="Q361">
        <v>0</v>
      </c>
      <c r="R361">
        <v>24</v>
      </c>
      <c r="S361" s="2">
        <v>39645</v>
      </c>
      <c r="T361" s="2">
        <v>41053</v>
      </c>
      <c r="U361" s="2">
        <v>43694</v>
      </c>
      <c r="V361" s="2">
        <v>42430</v>
      </c>
    </row>
    <row r="362" spans="1:22" x14ac:dyDescent="0.2">
      <c r="A362" t="str">
        <f>"305.5 FRE"</f>
        <v>305.5 FRE</v>
      </c>
      <c r="B362" t="str">
        <f>"Plutocrats: the rise of the new global s"</f>
        <v>Plutocrats: the rise of the new global s</v>
      </c>
      <c r="C362">
        <v>310549</v>
      </c>
      <c r="D362" t="str">
        <f>"Freeland, Chrystia,"</f>
        <v>Freeland, Chrystia,</v>
      </c>
      <c r="F362" t="str">
        <f>"xv, 330 p., 25 cm."</f>
        <v>xv, 330 p., 25 cm.</v>
      </c>
      <c r="G362" s="1">
        <v>12</v>
      </c>
      <c r="H362">
        <v>2012</v>
      </c>
      <c r="I362" t="str">
        <f t="shared" si="12"/>
        <v>9: 300 - 399</v>
      </c>
      <c r="K362" t="str">
        <f>"WB - Out"</f>
        <v>WB - Out</v>
      </c>
      <c r="L362" s="1">
        <v>33</v>
      </c>
      <c r="M362" t="s">
        <v>344</v>
      </c>
      <c r="O362" t="s">
        <v>28</v>
      </c>
      <c r="P362">
        <v>1</v>
      </c>
      <c r="Q362">
        <v>1</v>
      </c>
      <c r="R362">
        <v>30</v>
      </c>
      <c r="S362" s="2">
        <v>41201</v>
      </c>
      <c r="T362" s="2">
        <v>41591</v>
      </c>
      <c r="U362" s="2">
        <v>43859</v>
      </c>
      <c r="V362" s="2">
        <v>43070</v>
      </c>
    </row>
    <row r="363" spans="1:22" x14ac:dyDescent="0.2">
      <c r="A363" t="str">
        <f>"305.5 FRI"</f>
        <v>305.5 FRI</v>
      </c>
      <c r="B363" t="str">
        <f>"class ceiling: why it pays to be privile"</f>
        <v>class ceiling: why it pays to be privile</v>
      </c>
      <c r="C363">
        <v>353775</v>
      </c>
      <c r="D363" t="str">
        <f>"Friedman, Samantha,"</f>
        <v>Friedman, Samantha,</v>
      </c>
      <c r="G363" s="1">
        <v>19</v>
      </c>
      <c r="H363">
        <v>2019</v>
      </c>
      <c r="I363" t="str">
        <f t="shared" si="12"/>
        <v>9: 300 - 399</v>
      </c>
      <c r="K363" t="str">
        <f>"LL - In"</f>
        <v>LL - In</v>
      </c>
      <c r="L363" s="1">
        <v>40</v>
      </c>
      <c r="M363" t="s">
        <v>345</v>
      </c>
      <c r="O363" t="s">
        <v>28</v>
      </c>
      <c r="P363">
        <v>7</v>
      </c>
      <c r="Q363">
        <v>2</v>
      </c>
      <c r="R363">
        <v>9</v>
      </c>
      <c r="S363" s="2">
        <v>43551</v>
      </c>
      <c r="T363" s="2">
        <v>43761</v>
      </c>
      <c r="U363" s="2">
        <v>43757</v>
      </c>
      <c r="V363" s="2">
        <v>43608</v>
      </c>
    </row>
    <row r="364" spans="1:22" x14ac:dyDescent="0.2">
      <c r="A364" t="str">
        <f>"305.5 HED"</f>
        <v>305.5 HED</v>
      </c>
      <c r="B364" t="str">
        <f>"America: the farewell tour"</f>
        <v>America: the farewell tour</v>
      </c>
      <c r="C364">
        <v>349430</v>
      </c>
      <c r="D364" t="str">
        <f>"Hedges, Chris"</f>
        <v>Hedges, Chris</v>
      </c>
      <c r="F364" t="str">
        <f>"388 pages, 24 cm"</f>
        <v>388 pages, 24 cm</v>
      </c>
      <c r="G364" s="1">
        <v>18</v>
      </c>
      <c r="H364">
        <v>2018</v>
      </c>
      <c r="I364" t="str">
        <f t="shared" si="12"/>
        <v>9: 300 - 399</v>
      </c>
      <c r="K364" t="str">
        <f>"WB - In"</f>
        <v>WB - In</v>
      </c>
      <c r="L364" s="1">
        <v>32</v>
      </c>
      <c r="M364" t="s">
        <v>346</v>
      </c>
      <c r="O364" t="s">
        <v>28</v>
      </c>
      <c r="P364">
        <v>7</v>
      </c>
      <c r="Q364">
        <v>0</v>
      </c>
      <c r="R364">
        <v>7</v>
      </c>
      <c r="S364" s="2">
        <v>43333</v>
      </c>
      <c r="T364" s="2">
        <v>43502</v>
      </c>
      <c r="U364" s="2">
        <v>43587</v>
      </c>
    </row>
    <row r="365" spans="1:22" x14ac:dyDescent="0.2">
      <c r="A365" t="str">
        <f>"305.5 HIL"</f>
        <v>305.5 HIL</v>
      </c>
      <c r="B365" t="str">
        <f>"Nobody: casualties of America's war on t"</f>
        <v>Nobody: casualties of America's war on t</v>
      </c>
      <c r="C365">
        <v>336733</v>
      </c>
      <c r="D365" t="str">
        <f>"Hill, Marc Lamont"</f>
        <v>Hill, Marc Lamont</v>
      </c>
      <c r="F365" t="str">
        <f>"xx, 250 pages, 24 cm"</f>
        <v>xx, 250 pages, 24 cm</v>
      </c>
      <c r="G365" s="1">
        <v>16</v>
      </c>
      <c r="H365">
        <v>2016</v>
      </c>
      <c r="I365" t="str">
        <f t="shared" si="12"/>
        <v>9: 300 - 399</v>
      </c>
      <c r="K365" t="str">
        <f>"WB - In"</f>
        <v>WB - In</v>
      </c>
      <c r="L365" s="1">
        <v>31</v>
      </c>
      <c r="M365" t="s">
        <v>347</v>
      </c>
      <c r="O365" t="s">
        <v>28</v>
      </c>
      <c r="P365">
        <v>0</v>
      </c>
      <c r="Q365">
        <v>1</v>
      </c>
      <c r="R365">
        <v>4</v>
      </c>
      <c r="S365" s="2">
        <v>42591</v>
      </c>
      <c r="T365" s="2">
        <v>42732</v>
      </c>
      <c r="U365" s="2">
        <v>42716</v>
      </c>
      <c r="V365" s="2">
        <v>43521</v>
      </c>
    </row>
    <row r="366" spans="1:22" x14ac:dyDescent="0.2">
      <c r="A366" t="str">
        <f>"305.5 ISE"</f>
        <v>305.5 ISE</v>
      </c>
      <c r="B366" t="str">
        <f>"White trash: the 400-year untold history"</f>
        <v>White trash: the 400-year untold history</v>
      </c>
      <c r="C366">
        <v>336024</v>
      </c>
      <c r="D366" t="str">
        <f>"Isenberg, Nancy"</f>
        <v>Isenberg, Nancy</v>
      </c>
      <c r="F366" t="str">
        <f>"xvii, 460 pages, 25 cm, illustrations"</f>
        <v>xvii, 460 pages, 25 cm, illustrations</v>
      </c>
      <c r="G366" s="1">
        <v>16</v>
      </c>
      <c r="H366">
        <v>2016</v>
      </c>
      <c r="I366" t="str">
        <f t="shared" si="12"/>
        <v>9: 300 - 399</v>
      </c>
      <c r="K366" t="str">
        <f>"WB - Out"</f>
        <v>WB - Out</v>
      </c>
      <c r="L366" s="1">
        <v>33</v>
      </c>
      <c r="M366" t="s">
        <v>348</v>
      </c>
      <c r="O366" t="s">
        <v>28</v>
      </c>
      <c r="P366">
        <v>12</v>
      </c>
      <c r="Q366">
        <v>1</v>
      </c>
      <c r="R366">
        <v>28</v>
      </c>
      <c r="S366" s="2">
        <v>42557</v>
      </c>
      <c r="T366" s="2">
        <v>42772</v>
      </c>
      <c r="U366" s="2">
        <v>43859</v>
      </c>
      <c r="V366" s="2">
        <v>43157</v>
      </c>
    </row>
    <row r="367" spans="1:22" x14ac:dyDescent="0.2">
      <c r="A367" t="str">
        <f>"305.5 PAY"</f>
        <v>305.5 PAY</v>
      </c>
      <c r="B367" t="str">
        <f>"broken ladder: how inequality affects th"</f>
        <v>broken ladder: how inequality affects th</v>
      </c>
      <c r="C367">
        <v>350956</v>
      </c>
      <c r="D367" t="str">
        <f>"Payne, Keith"</f>
        <v>Payne, Keith</v>
      </c>
      <c r="F367" t="str">
        <f>"246 pages, 21 cm, illustrations"</f>
        <v>246 pages, 21 cm, illustrations</v>
      </c>
      <c r="G367" s="1">
        <v>18</v>
      </c>
      <c r="H367">
        <v>2018</v>
      </c>
      <c r="I367" t="str">
        <f t="shared" si="12"/>
        <v>9: 300 - 399</v>
      </c>
      <c r="K367" t="str">
        <f>"WB - In"</f>
        <v>WB - In</v>
      </c>
      <c r="L367" s="1">
        <v>22</v>
      </c>
      <c r="M367" t="s">
        <v>349</v>
      </c>
      <c r="O367" t="s">
        <v>28</v>
      </c>
      <c r="P367">
        <v>7</v>
      </c>
      <c r="Q367">
        <v>0</v>
      </c>
      <c r="R367">
        <v>7</v>
      </c>
      <c r="S367" s="2">
        <v>43402</v>
      </c>
      <c r="T367" s="2">
        <v>43614</v>
      </c>
      <c r="U367" s="2">
        <v>43649</v>
      </c>
    </row>
    <row r="368" spans="1:22" x14ac:dyDescent="0.2">
      <c r="A368" t="str">
        <f>"305.5 PUT"</f>
        <v>305.5 PUT</v>
      </c>
      <c r="B368" t="str">
        <f>"Our kids: the American Dream in crisis"</f>
        <v>Our kids: the American Dream in crisis</v>
      </c>
      <c r="C368">
        <v>326681</v>
      </c>
      <c r="D368" t="str">
        <f>"Putnam, Robert D.,"</f>
        <v>Putnam, Robert D.,</v>
      </c>
      <c r="F368" t="str">
        <f>"386 pages, 24 cm, illustrations, map"</f>
        <v>386 pages, 24 cm, illustrations, map</v>
      </c>
      <c r="G368" s="1">
        <v>15</v>
      </c>
      <c r="H368">
        <v>2015</v>
      </c>
      <c r="I368" t="str">
        <f t="shared" si="12"/>
        <v>9: 300 - 399</v>
      </c>
      <c r="K368" t="str">
        <f>"WB - In"</f>
        <v>WB - In</v>
      </c>
      <c r="L368" s="1">
        <v>32</v>
      </c>
      <c r="M368" t="s">
        <v>350</v>
      </c>
      <c r="O368" t="s">
        <v>28</v>
      </c>
      <c r="P368">
        <v>3</v>
      </c>
      <c r="Q368">
        <v>0</v>
      </c>
      <c r="R368">
        <v>12</v>
      </c>
      <c r="S368" s="2">
        <v>42089</v>
      </c>
      <c r="T368" s="2">
        <v>42295</v>
      </c>
      <c r="U368" s="2">
        <v>43700</v>
      </c>
    </row>
    <row r="369" spans="1:22" x14ac:dyDescent="0.2">
      <c r="A369" t="str">
        <f>"305.5 QUA"</f>
        <v>305.5 QUA</v>
      </c>
      <c r="B369" t="str">
        <f>"Squeezed: why our families can't afford "</f>
        <v xml:space="preserve">Squeezed: why our families can't afford </v>
      </c>
      <c r="C369">
        <v>348773</v>
      </c>
      <c r="D369" t="str">
        <f>"Quart, Alissa"</f>
        <v>Quart, Alissa</v>
      </c>
      <c r="F369" t="str">
        <f>"312 pages, 24 cm"</f>
        <v>312 pages, 24 cm</v>
      </c>
      <c r="G369" s="1">
        <v>18</v>
      </c>
      <c r="H369">
        <v>2018</v>
      </c>
      <c r="I369" t="str">
        <f t="shared" si="12"/>
        <v>9: 300 - 399</v>
      </c>
      <c r="K369" t="str">
        <f>"LL - In"</f>
        <v>LL - In</v>
      </c>
      <c r="L369" s="1">
        <v>33</v>
      </c>
      <c r="M369" t="s">
        <v>351</v>
      </c>
      <c r="O369" t="s">
        <v>28</v>
      </c>
      <c r="P369">
        <v>5</v>
      </c>
      <c r="Q369">
        <v>0</v>
      </c>
      <c r="R369">
        <v>5</v>
      </c>
      <c r="S369" s="2">
        <v>43298</v>
      </c>
      <c r="T369" s="2">
        <v>43428</v>
      </c>
      <c r="U369" s="2">
        <v>43388</v>
      </c>
    </row>
    <row r="370" spans="1:22" x14ac:dyDescent="0.2">
      <c r="A370" t="str">
        <f>"305.5 REE"</f>
        <v>305.5 REE</v>
      </c>
      <c r="B370" t="str">
        <f>"Dream hoarders: how the American upper m"</f>
        <v>Dream hoarders: how the American upper m</v>
      </c>
      <c r="C370">
        <v>342186</v>
      </c>
      <c r="D370" t="str">
        <f>"Reeves, Richard V."</f>
        <v>Reeves, Richard V.</v>
      </c>
      <c r="F370" t="str">
        <f>"196 pages, 24 cm, illustrations"</f>
        <v>196 pages, 24 cm, illustrations</v>
      </c>
      <c r="G370" s="1">
        <v>17</v>
      </c>
      <c r="H370">
        <v>2017</v>
      </c>
      <c r="I370" t="str">
        <f t="shared" si="12"/>
        <v>9: 300 - 399</v>
      </c>
      <c r="K370" t="str">
        <f>"WB - In"</f>
        <v>WB - In</v>
      </c>
      <c r="L370" s="1">
        <v>29</v>
      </c>
      <c r="M370" t="s">
        <v>352</v>
      </c>
      <c r="O370" t="s">
        <v>28</v>
      </c>
      <c r="P370">
        <v>5</v>
      </c>
      <c r="Q370">
        <v>0</v>
      </c>
      <c r="R370">
        <v>5</v>
      </c>
      <c r="S370" s="2">
        <v>42914</v>
      </c>
      <c r="T370" s="2">
        <v>43124</v>
      </c>
      <c r="U370" s="2">
        <v>43033</v>
      </c>
    </row>
    <row r="371" spans="1:22" x14ac:dyDescent="0.2">
      <c r="A371" t="str">
        <f>"305.5 SAB"</f>
        <v>305.5 SAB</v>
      </c>
      <c r="B371" t="str">
        <f>"What self-made millionaires do that most"</f>
        <v>What self-made millionaires do that most</v>
      </c>
      <c r="C371">
        <v>351116</v>
      </c>
      <c r="D371" t="str">
        <f>"Sabath, Ann Marie"</f>
        <v>Sabath, Ann Marie</v>
      </c>
      <c r="F371" t="str">
        <f>"222 pages, 22 cm"</f>
        <v>222 pages, 22 cm</v>
      </c>
      <c r="G371" s="1">
        <v>18</v>
      </c>
      <c r="H371">
        <v>2018</v>
      </c>
      <c r="I371" t="str">
        <f t="shared" si="12"/>
        <v>9: 300 - 399</v>
      </c>
      <c r="K371" t="str">
        <f>"LL - In"</f>
        <v>LL - In</v>
      </c>
      <c r="L371" s="1">
        <v>22</v>
      </c>
      <c r="M371" t="s">
        <v>353</v>
      </c>
      <c r="O371" t="s">
        <v>28</v>
      </c>
      <c r="P371">
        <v>8</v>
      </c>
      <c r="Q371">
        <v>0</v>
      </c>
      <c r="R371">
        <v>8</v>
      </c>
      <c r="S371" s="2">
        <v>43410</v>
      </c>
      <c r="T371" s="2">
        <v>43647</v>
      </c>
      <c r="U371" s="2">
        <v>43722</v>
      </c>
    </row>
    <row r="372" spans="1:22" x14ac:dyDescent="0.2">
      <c r="A372" t="str">
        <f>"305.5 SHE"</f>
        <v>305.5 SHE</v>
      </c>
      <c r="B372" t="str">
        <f>"Uneasy street: the anxieties of affluenc"</f>
        <v>Uneasy street: the anxieties of affluenc</v>
      </c>
      <c r="C372">
        <v>344161</v>
      </c>
      <c r="D372" t="str">
        <f>"Sherman, Rachel,"</f>
        <v>Sherman, Rachel,</v>
      </c>
      <c r="F372" t="str">
        <f>"258 p."</f>
        <v>258 p.</v>
      </c>
      <c r="G372" s="1">
        <v>17</v>
      </c>
      <c r="H372">
        <v>2017</v>
      </c>
      <c r="I372" t="str">
        <f t="shared" si="12"/>
        <v>9: 300 - 399</v>
      </c>
      <c r="K372" t="str">
        <f>"WB - In"</f>
        <v>WB - In</v>
      </c>
      <c r="L372" s="1">
        <v>35</v>
      </c>
      <c r="M372" t="s">
        <v>354</v>
      </c>
      <c r="O372" t="s">
        <v>28</v>
      </c>
      <c r="P372">
        <v>6</v>
      </c>
      <c r="Q372">
        <v>0</v>
      </c>
      <c r="R372">
        <v>6</v>
      </c>
      <c r="S372" s="2">
        <v>43027</v>
      </c>
      <c r="T372" s="2">
        <v>43215</v>
      </c>
      <c r="U372" s="2">
        <v>43342</v>
      </c>
    </row>
    <row r="373" spans="1:22" x14ac:dyDescent="0.2">
      <c r="A373" t="str">
        <f>"305.5 SHI"</f>
        <v>305.5 SHI</v>
      </c>
      <c r="B373" t="str">
        <f>"working poor: invisible in America"</f>
        <v>working poor: invisible in America</v>
      </c>
      <c r="C373">
        <v>326396</v>
      </c>
      <c r="D373" t="str">
        <f>"Shipler, David K.,"</f>
        <v>Shipler, David K.,</v>
      </c>
      <c r="F373" t="str">
        <f>"xii, 329 p., 21 cm"</f>
        <v>xii, 329 p., 21 cm</v>
      </c>
      <c r="G373" s="1">
        <v>15</v>
      </c>
      <c r="H373">
        <v>2005</v>
      </c>
      <c r="I373" t="str">
        <f t="shared" si="12"/>
        <v>9: 300 - 399</v>
      </c>
      <c r="K373" t="str">
        <f>"WB - In"</f>
        <v>WB - In</v>
      </c>
      <c r="L373" s="1">
        <v>22</v>
      </c>
      <c r="M373" t="s">
        <v>355</v>
      </c>
      <c r="O373" t="s">
        <v>28</v>
      </c>
      <c r="P373">
        <v>0</v>
      </c>
      <c r="Q373">
        <v>0</v>
      </c>
      <c r="R373">
        <v>1</v>
      </c>
      <c r="S373" s="2">
        <v>42072</v>
      </c>
      <c r="T373" s="2">
        <v>42080</v>
      </c>
      <c r="U373" s="2">
        <v>42543</v>
      </c>
    </row>
    <row r="374" spans="1:22" x14ac:dyDescent="0.2">
      <c r="A374" t="str">
        <f>"305.5 STI"</f>
        <v>305.5 STI</v>
      </c>
      <c r="B374" t="str">
        <f>"great divide: unequal societies and what"</f>
        <v>great divide: unequal societies and what</v>
      </c>
      <c r="C374">
        <v>327028</v>
      </c>
      <c r="D374" t="str">
        <f>"Stiglitz, Joseph E."</f>
        <v>Stiglitz, Joseph E.</v>
      </c>
      <c r="F374" t="str">
        <f>"425 p."</f>
        <v>425 p.</v>
      </c>
      <c r="G374" s="1">
        <v>15</v>
      </c>
      <c r="H374">
        <v>2015</v>
      </c>
      <c r="I374" t="str">
        <f t="shared" si="12"/>
        <v>9: 300 - 399</v>
      </c>
      <c r="K374" t="str">
        <f>"LL - In"</f>
        <v>LL - In</v>
      </c>
      <c r="L374" s="1">
        <v>34</v>
      </c>
      <c r="M374" t="s">
        <v>356</v>
      </c>
      <c r="O374" t="s">
        <v>28</v>
      </c>
      <c r="P374">
        <v>2</v>
      </c>
      <c r="Q374">
        <v>0</v>
      </c>
      <c r="R374">
        <v>13</v>
      </c>
      <c r="S374" s="2">
        <v>42117</v>
      </c>
      <c r="T374" s="2">
        <v>42379</v>
      </c>
      <c r="U374" s="2">
        <v>43451</v>
      </c>
    </row>
    <row r="375" spans="1:22" x14ac:dyDescent="0.2">
      <c r="A375" t="str">
        <f>"305.5 STO"</f>
        <v>305.5 STO</v>
      </c>
      <c r="B375" t="str">
        <f>"American aristocrats: a family, a fortun"</f>
        <v>American aristocrats: a family, a fortun</v>
      </c>
      <c r="C375">
        <v>345068</v>
      </c>
      <c r="D375" t="str">
        <f>"Stout, Harry S."</f>
        <v>Stout, Harry S.</v>
      </c>
      <c r="F375" t="str">
        <f>"xix, 411 pages, 25 cm"</f>
        <v>xix, 411 pages, 25 cm</v>
      </c>
      <c r="G375" s="1">
        <v>17</v>
      </c>
      <c r="H375">
        <v>2017</v>
      </c>
      <c r="I375" t="str">
        <f t="shared" si="12"/>
        <v>9: 300 - 399</v>
      </c>
      <c r="K375" t="str">
        <f>"WB - In"</f>
        <v>WB - In</v>
      </c>
      <c r="L375" s="1">
        <v>37</v>
      </c>
      <c r="M375" t="s">
        <v>357</v>
      </c>
      <c r="O375" t="s">
        <v>28</v>
      </c>
      <c r="P375">
        <v>8</v>
      </c>
      <c r="Q375">
        <v>0</v>
      </c>
      <c r="R375">
        <v>8</v>
      </c>
      <c r="S375" s="2">
        <v>43080</v>
      </c>
      <c r="T375" s="2">
        <v>43271</v>
      </c>
      <c r="U375" s="2">
        <v>43245</v>
      </c>
    </row>
    <row r="376" spans="1:22" x14ac:dyDescent="0.2">
      <c r="A376" t="str">
        <f>"305.5 TIN"</f>
        <v>305.5 TIN</v>
      </c>
      <c r="B376" t="str">
        <f>"long weekend: life in the English countr"</f>
        <v>long weekend: life in the English countr</v>
      </c>
      <c r="C376">
        <v>335257</v>
      </c>
      <c r="D376" t="str">
        <f>"Tinniswood, Adrian"</f>
        <v>Tinniswood, Adrian</v>
      </c>
      <c r="F376" t="str">
        <f>"xi, 322 pages, 25 cm, illustrations (some color)"</f>
        <v>xi, 322 pages, 25 cm, illustrations (some color)</v>
      </c>
      <c r="G376" s="1">
        <v>16</v>
      </c>
      <c r="H376">
        <v>2016</v>
      </c>
      <c r="I376" t="str">
        <f t="shared" si="12"/>
        <v>9: 300 - 399</v>
      </c>
      <c r="K376" t="str">
        <f>"LL - In"</f>
        <v>LL - In</v>
      </c>
      <c r="L376" s="1">
        <v>35</v>
      </c>
      <c r="M376" t="s">
        <v>358</v>
      </c>
      <c r="O376" t="s">
        <v>28</v>
      </c>
      <c r="P376">
        <v>1</v>
      </c>
      <c r="Q376">
        <v>0</v>
      </c>
      <c r="R376">
        <v>13</v>
      </c>
      <c r="S376" s="2">
        <v>42513</v>
      </c>
      <c r="T376" s="2">
        <v>42781</v>
      </c>
      <c r="U376" s="2">
        <v>43292</v>
      </c>
      <c r="V376" s="2">
        <v>42535</v>
      </c>
    </row>
    <row r="377" spans="1:22" x14ac:dyDescent="0.2">
      <c r="A377" t="str">
        <f>"305.5 WAR"</f>
        <v>305.5 WAR</v>
      </c>
      <c r="B377" t="str">
        <f>"This fight is our fight: the battle to s"</f>
        <v>This fight is our fight: the battle to s</v>
      </c>
      <c r="C377">
        <v>340986</v>
      </c>
      <c r="D377" t="str">
        <f>"Warren, Elizabeth."</f>
        <v>Warren, Elizabeth.</v>
      </c>
      <c r="F377" t="str">
        <f>"337 pages, 24 cm, illustrations"</f>
        <v>337 pages, 24 cm, illustrations</v>
      </c>
      <c r="G377" s="1">
        <v>17</v>
      </c>
      <c r="H377">
        <v>2017</v>
      </c>
      <c r="I377" t="str">
        <f t="shared" si="12"/>
        <v>9: 300 - 399</v>
      </c>
      <c r="K377" t="str">
        <f>"WB - In"</f>
        <v>WB - In</v>
      </c>
      <c r="L377" s="1">
        <v>33</v>
      </c>
      <c r="M377" t="s">
        <v>359</v>
      </c>
      <c r="O377" t="s">
        <v>28</v>
      </c>
      <c r="P377">
        <v>11</v>
      </c>
      <c r="Q377">
        <v>0</v>
      </c>
      <c r="R377">
        <v>11</v>
      </c>
      <c r="S377" s="2">
        <v>42849</v>
      </c>
      <c r="T377" s="2">
        <v>43040</v>
      </c>
      <c r="U377" s="2">
        <v>43818</v>
      </c>
    </row>
    <row r="378" spans="1:22" x14ac:dyDescent="0.2">
      <c r="A378" t="str">
        <f>"305.5 WIL"</f>
        <v>305.5 WIL</v>
      </c>
      <c r="B378" t="str">
        <f>"White working class: overcoming class cl"</f>
        <v>White working class: overcoming class cl</v>
      </c>
      <c r="C378">
        <v>342460</v>
      </c>
      <c r="D378" t="str">
        <f>"Williams, Joan"</f>
        <v>Williams, Joan</v>
      </c>
      <c r="F378" t="str">
        <f>"x, 180 pages, 22 cm"</f>
        <v>x, 180 pages, 22 cm</v>
      </c>
      <c r="G378" s="1">
        <v>17</v>
      </c>
      <c r="H378">
        <v>2017</v>
      </c>
      <c r="I378" t="str">
        <f t="shared" si="12"/>
        <v>9: 300 - 399</v>
      </c>
      <c r="K378" t="str">
        <f>"WB - In"</f>
        <v>WB - In</v>
      </c>
      <c r="L378" s="1">
        <v>28</v>
      </c>
      <c r="M378" t="s">
        <v>360</v>
      </c>
      <c r="O378" t="s">
        <v>28</v>
      </c>
      <c r="P378">
        <v>11</v>
      </c>
      <c r="Q378">
        <v>0</v>
      </c>
      <c r="R378">
        <v>11</v>
      </c>
      <c r="S378" s="2">
        <v>42929</v>
      </c>
      <c r="T378" s="2">
        <v>43152</v>
      </c>
      <c r="U378" s="2">
        <v>43700</v>
      </c>
    </row>
    <row r="379" spans="1:22" x14ac:dyDescent="0.2">
      <c r="A379" t="str">
        <f>"305.51 BRO"</f>
        <v>305.51 BRO</v>
      </c>
      <c r="B379" t="str">
        <f>"social animal: the hidden sources of lov"</f>
        <v>social animal: the hidden sources of lov</v>
      </c>
      <c r="C379">
        <v>148622</v>
      </c>
      <c r="D379" t="str">
        <f>"Brooks, David,"</f>
        <v>Brooks, David,</v>
      </c>
      <c r="F379" t="str">
        <f>"424 p."</f>
        <v>424 p.</v>
      </c>
      <c r="G379" s="1">
        <v>11</v>
      </c>
      <c r="H379">
        <v>2011</v>
      </c>
      <c r="I379" t="str">
        <f t="shared" si="12"/>
        <v>9: 300 - 399</v>
      </c>
      <c r="K379" t="str">
        <f>"LL - In"</f>
        <v>LL - In</v>
      </c>
      <c r="L379" s="1">
        <v>32</v>
      </c>
      <c r="M379" t="s">
        <v>361</v>
      </c>
      <c r="O379" t="s">
        <v>28</v>
      </c>
      <c r="P379">
        <v>4</v>
      </c>
      <c r="Q379">
        <v>0</v>
      </c>
      <c r="R379">
        <v>33</v>
      </c>
      <c r="S379" s="2">
        <v>40606</v>
      </c>
      <c r="T379" s="2">
        <v>43235</v>
      </c>
      <c r="U379" s="2">
        <v>43293</v>
      </c>
      <c r="V379" s="2">
        <v>42726</v>
      </c>
    </row>
    <row r="380" spans="1:22" x14ac:dyDescent="0.2">
      <c r="A380" t="str">
        <f>"305.7 MOY"</f>
        <v>305.7 MOY</v>
      </c>
      <c r="B380" t="str">
        <f>"Foreign accent: the phenomenon of non-na"</f>
        <v>Foreign accent: the phenomenon of non-na</v>
      </c>
      <c r="C380">
        <v>270078</v>
      </c>
      <c r="D380" t="str">
        <f>"Moyer, Alene,"</f>
        <v>Moyer, Alene,</v>
      </c>
      <c r="F380" t="str">
        <f>"xi, 218 pages, 24 cm"</f>
        <v>xi, 218 pages, 24 cm</v>
      </c>
      <c r="G380" s="1">
        <v>13</v>
      </c>
      <c r="H380">
        <v>2013</v>
      </c>
      <c r="I380" t="str">
        <f t="shared" si="12"/>
        <v>9: 300 - 399</v>
      </c>
      <c r="K380" t="str">
        <f>"WB - In"</f>
        <v>WB - In</v>
      </c>
      <c r="L380" s="1">
        <v>90</v>
      </c>
      <c r="M380" t="s">
        <v>362</v>
      </c>
      <c r="O380" t="s">
        <v>28</v>
      </c>
      <c r="P380">
        <v>1</v>
      </c>
      <c r="Q380">
        <v>0</v>
      </c>
      <c r="R380">
        <v>3</v>
      </c>
      <c r="S380" s="2">
        <v>41586</v>
      </c>
      <c r="T380" s="2">
        <v>41599</v>
      </c>
      <c r="U380" s="2">
        <v>42823</v>
      </c>
    </row>
    <row r="381" spans="1:22" x14ac:dyDescent="0.2">
      <c r="A381" t="str">
        <f>"305.8 AND"</f>
        <v>305.8 AND</v>
      </c>
      <c r="B381" t="str">
        <f>"White rage: the unspoken truth of our ra"</f>
        <v>White rage: the unspoken truth of our ra</v>
      </c>
      <c r="C381">
        <v>343671</v>
      </c>
      <c r="D381" t="str">
        <f>"Anderson, Carol"</f>
        <v>Anderson, Carol</v>
      </c>
      <c r="F381" t="str">
        <f>"246 pages, 25 cm"</f>
        <v>246 pages, 25 cm</v>
      </c>
      <c r="G381" s="1">
        <v>17</v>
      </c>
      <c r="H381">
        <v>2016</v>
      </c>
      <c r="I381" t="str">
        <f t="shared" si="12"/>
        <v>9: 300 - 399</v>
      </c>
      <c r="K381" t="str">
        <f>"WB - Out"</f>
        <v>WB - Out</v>
      </c>
      <c r="L381" s="1">
        <v>22</v>
      </c>
      <c r="M381" t="s">
        <v>363</v>
      </c>
      <c r="O381" t="s">
        <v>28</v>
      </c>
      <c r="P381">
        <v>2</v>
      </c>
      <c r="Q381">
        <v>0</v>
      </c>
      <c r="R381">
        <v>2</v>
      </c>
      <c r="S381" s="2">
        <v>43004</v>
      </c>
      <c r="T381" s="2">
        <v>43014</v>
      </c>
      <c r="U381" s="2">
        <v>43839</v>
      </c>
    </row>
    <row r="382" spans="1:22" x14ac:dyDescent="0.2">
      <c r="A382" t="str">
        <f>"305.8 BRO"</f>
        <v>305.8 BRO</v>
      </c>
      <c r="B382" t="str">
        <f>"accident of color: a story of race in Re"</f>
        <v>accident of color: a story of race in Re</v>
      </c>
      <c r="C382">
        <v>356102</v>
      </c>
      <c r="D382" t="str">
        <f>"Brook, Daniel"</f>
        <v>Brook, Daniel</v>
      </c>
      <c r="F382" t="str">
        <f>"xxiv, 344 pages, 25 cm, illustrations, maps"</f>
        <v>xxiv, 344 pages, 25 cm, illustrations, maps</v>
      </c>
      <c r="G382" s="1">
        <v>19</v>
      </c>
      <c r="H382">
        <v>2019</v>
      </c>
      <c r="I382" t="str">
        <f t="shared" si="12"/>
        <v>9: 300 - 399</v>
      </c>
      <c r="K382" t="str">
        <f>"WB - Out"</f>
        <v>WB - Out</v>
      </c>
      <c r="L382" s="1">
        <v>33</v>
      </c>
      <c r="M382" t="s">
        <v>364</v>
      </c>
      <c r="O382" t="s">
        <v>28</v>
      </c>
      <c r="P382">
        <v>4</v>
      </c>
      <c r="Q382">
        <v>0</v>
      </c>
      <c r="R382">
        <v>4</v>
      </c>
      <c r="S382" s="2">
        <v>43655</v>
      </c>
      <c r="T382" s="2">
        <v>43817</v>
      </c>
      <c r="U382" s="2">
        <v>43839</v>
      </c>
    </row>
    <row r="383" spans="1:22" x14ac:dyDescent="0.2">
      <c r="A383" t="str">
        <f>"305.8 CHA"</f>
        <v>305.8 CHA</v>
      </c>
      <c r="B383" t="str">
        <f>"We gon' be alright: notes on race and re"</f>
        <v>We gon' be alright: notes on race and re</v>
      </c>
      <c r="C383">
        <v>338492</v>
      </c>
      <c r="D383" t="str">
        <f>"Chang, Jeff"</f>
        <v>Chang, Jeff</v>
      </c>
      <c r="F383" t="str">
        <f>"192 pages, 19 cm"</f>
        <v>192 pages, 19 cm</v>
      </c>
      <c r="G383" s="1">
        <v>16</v>
      </c>
      <c r="H383">
        <v>2016</v>
      </c>
      <c r="I383" t="str">
        <f t="shared" si="12"/>
        <v>9: 300 - 399</v>
      </c>
      <c r="K383" t="str">
        <f>"WB - Out"</f>
        <v>WB - Out</v>
      </c>
      <c r="L383" s="1">
        <v>21</v>
      </c>
      <c r="M383" t="s">
        <v>365</v>
      </c>
      <c r="O383" t="s">
        <v>28</v>
      </c>
      <c r="P383">
        <v>5</v>
      </c>
      <c r="Q383">
        <v>0</v>
      </c>
      <c r="R383">
        <v>6</v>
      </c>
      <c r="S383" s="2">
        <v>42695</v>
      </c>
      <c r="T383" s="2">
        <v>42907</v>
      </c>
      <c r="U383" s="2">
        <v>43839</v>
      </c>
    </row>
    <row r="384" spans="1:22" x14ac:dyDescent="0.2">
      <c r="A384" t="str">
        <f>"305.8 DIA"</f>
        <v>305.8 DIA</v>
      </c>
      <c r="B384" t="str">
        <f>"White fragility: why it's so hard for wh"</f>
        <v>White fragility: why it's so hard for wh</v>
      </c>
      <c r="C384">
        <v>353004</v>
      </c>
      <c r="D384" t="str">
        <f>"DiAngelo, Robin"</f>
        <v>DiAngelo, Robin</v>
      </c>
      <c r="F384" t="str">
        <f>"xvii, 169 pages, 23 cm"</f>
        <v>xvii, 169 pages, 23 cm</v>
      </c>
      <c r="G384" s="1">
        <v>19</v>
      </c>
      <c r="H384">
        <v>2018</v>
      </c>
      <c r="I384" t="str">
        <f t="shared" si="12"/>
        <v>9: 300 - 399</v>
      </c>
      <c r="K384" t="str">
        <f>"WB - Out"</f>
        <v>WB - Out</v>
      </c>
      <c r="L384" s="1">
        <v>21</v>
      </c>
      <c r="M384" t="s">
        <v>366</v>
      </c>
      <c r="O384" t="s">
        <v>28</v>
      </c>
      <c r="P384">
        <v>7</v>
      </c>
      <c r="Q384">
        <v>0</v>
      </c>
      <c r="R384">
        <v>8</v>
      </c>
      <c r="S384" s="2">
        <v>43515</v>
      </c>
      <c r="T384" s="2">
        <v>43525</v>
      </c>
      <c r="U384" s="2">
        <v>43854</v>
      </c>
    </row>
    <row r="385" spans="1:22" x14ac:dyDescent="0.2">
      <c r="A385" t="str">
        <f>"305.8 DYS"</f>
        <v>305.8 DYS</v>
      </c>
      <c r="B385" t="str">
        <f>"Black presidency: Barack Obama and the p"</f>
        <v>Black presidency: Barack Obama and the p</v>
      </c>
      <c r="C385">
        <v>332762</v>
      </c>
      <c r="D385" t="str">
        <f>"Dyson, Michael Eric"</f>
        <v>Dyson, Michael Eric</v>
      </c>
      <c r="F385" t="str">
        <f>"271 p."</f>
        <v>271 p.</v>
      </c>
      <c r="G385" s="1">
        <v>16</v>
      </c>
      <c r="H385">
        <v>2016</v>
      </c>
      <c r="I385" t="str">
        <f t="shared" si="12"/>
        <v>9: 300 - 399</v>
      </c>
      <c r="K385" t="str">
        <f>"WB - In"</f>
        <v>WB - In</v>
      </c>
      <c r="L385" s="1">
        <v>32</v>
      </c>
      <c r="M385" t="s">
        <v>367</v>
      </c>
      <c r="O385" t="s">
        <v>28</v>
      </c>
      <c r="P385">
        <v>0</v>
      </c>
      <c r="Q385">
        <v>0</v>
      </c>
      <c r="R385">
        <v>3</v>
      </c>
      <c r="S385" s="2">
        <v>42402</v>
      </c>
      <c r="T385" s="2">
        <v>42560</v>
      </c>
      <c r="U385" s="2">
        <v>42503</v>
      </c>
    </row>
    <row r="386" spans="1:22" x14ac:dyDescent="0.2">
      <c r="A386" t="str">
        <f>"305.8 EDD"</f>
        <v>305.8 EDD</v>
      </c>
      <c r="B386" t="str">
        <f>"Why I'm no longer talking to white peopl"</f>
        <v>Why I'm no longer talking to white peopl</v>
      </c>
      <c r="C386">
        <v>349879</v>
      </c>
      <c r="D386" t="str">
        <f>"Eddo-Lodge, Reni"</f>
        <v>Eddo-Lodge, Reni</v>
      </c>
      <c r="F386" t="str">
        <f>"xvii, 249 pages, 22 cm"</f>
        <v>xvii, 249 pages, 22 cm</v>
      </c>
      <c r="G386" s="1">
        <v>18</v>
      </c>
      <c r="H386">
        <v>2017</v>
      </c>
      <c r="I386" t="str">
        <f t="shared" si="12"/>
        <v>9: 300 - 399</v>
      </c>
      <c r="K386" t="str">
        <f>"LL - In"</f>
        <v>LL - In</v>
      </c>
      <c r="L386" s="1">
        <v>32</v>
      </c>
      <c r="M386" t="s">
        <v>368</v>
      </c>
      <c r="O386" t="s">
        <v>28</v>
      </c>
      <c r="P386">
        <v>3</v>
      </c>
      <c r="Q386">
        <v>0</v>
      </c>
      <c r="R386">
        <v>3</v>
      </c>
      <c r="S386" s="2">
        <v>43354</v>
      </c>
      <c r="T386" s="2">
        <v>43539</v>
      </c>
      <c r="U386" s="2">
        <v>43495</v>
      </c>
    </row>
    <row r="387" spans="1:22" x14ac:dyDescent="0.2">
      <c r="A387" t="str">
        <f>"305.8 GUO"</f>
        <v>305.8 GUO</v>
      </c>
      <c r="B387" t="str">
        <f>"Tell me who you are: sharing our stories"</f>
        <v>Tell me who you are: sharing our stories</v>
      </c>
      <c r="C387">
        <v>355796</v>
      </c>
      <c r="D387" t="str">
        <f>"Guo, Winona"</f>
        <v>Guo, Winona</v>
      </c>
      <c r="F387" t="str">
        <f>"389 pages, 24 cm, color illustrations"</f>
        <v>389 pages, 24 cm, color illustrations</v>
      </c>
      <c r="G387" s="1">
        <v>19</v>
      </c>
      <c r="H387">
        <v>2019</v>
      </c>
      <c r="I387" t="str">
        <f t="shared" si="12"/>
        <v>9: 300 - 399</v>
      </c>
      <c r="K387" t="str">
        <f t="shared" ref="K387:K392" si="13">"WB - In"</f>
        <v>WB - In</v>
      </c>
      <c r="L387" s="1">
        <v>30</v>
      </c>
      <c r="M387" t="s">
        <v>369</v>
      </c>
      <c r="O387" t="s">
        <v>28</v>
      </c>
      <c r="P387">
        <v>0</v>
      </c>
      <c r="Q387">
        <v>0</v>
      </c>
      <c r="R387">
        <v>0</v>
      </c>
      <c r="S387" s="2">
        <v>43640</v>
      </c>
      <c r="T387" s="2">
        <v>43803</v>
      </c>
    </row>
    <row r="388" spans="1:22" x14ac:dyDescent="0.2">
      <c r="A388" t="str">
        <f>"305.8 HAR"</f>
        <v>305.8 HAR</v>
      </c>
      <c r="B388" t="str">
        <f>"Burden: a preacher, a klansman, and a tr"</f>
        <v>Burden: a preacher, a klansman, and a tr</v>
      </c>
      <c r="C388">
        <v>350648</v>
      </c>
      <c r="D388" t="str">
        <f>"Hargrave, Courtney"</f>
        <v>Hargrave, Courtney</v>
      </c>
      <c r="F388" t="str">
        <f>"xii, 227 pages, 25 cm"</f>
        <v>xii, 227 pages, 25 cm</v>
      </c>
      <c r="G388" s="1">
        <v>18</v>
      </c>
      <c r="H388">
        <v>2018</v>
      </c>
      <c r="I388" t="str">
        <f t="shared" si="12"/>
        <v>9: 300 - 399</v>
      </c>
      <c r="K388" t="str">
        <f t="shared" si="13"/>
        <v>WB - In</v>
      </c>
      <c r="L388" s="1">
        <v>31</v>
      </c>
      <c r="M388" t="s">
        <v>370</v>
      </c>
      <c r="O388" t="s">
        <v>28</v>
      </c>
      <c r="P388">
        <v>5</v>
      </c>
      <c r="Q388">
        <v>0</v>
      </c>
      <c r="R388">
        <v>5</v>
      </c>
      <c r="S388" s="2">
        <v>43389</v>
      </c>
      <c r="T388" s="2">
        <v>43544</v>
      </c>
      <c r="U388" s="2">
        <v>43484</v>
      </c>
    </row>
    <row r="389" spans="1:22" x14ac:dyDescent="0.2">
      <c r="A389" t="str">
        <f>"305.8 HEA"</f>
        <v>305.8 HEA</v>
      </c>
      <c r="B389" t="str">
        <f>"Healing our divided society: investing i"</f>
        <v>Healing our divided society: investing i</v>
      </c>
      <c r="C389">
        <v>360220</v>
      </c>
      <c r="F389" t="str">
        <f>"xii, 469 pages, 23 cm, charts"</f>
        <v>xii, 469 pages, 23 cm, charts</v>
      </c>
      <c r="G389" s="1">
        <v>19</v>
      </c>
      <c r="H389">
        <v>2018</v>
      </c>
      <c r="I389" t="str">
        <f t="shared" si="12"/>
        <v>9: 300 - 399</v>
      </c>
      <c r="K389" t="str">
        <f t="shared" si="13"/>
        <v>WB - In</v>
      </c>
      <c r="L389" s="1">
        <v>30</v>
      </c>
      <c r="M389" t="s">
        <v>371</v>
      </c>
      <c r="O389" t="s">
        <v>28</v>
      </c>
      <c r="P389">
        <v>0</v>
      </c>
      <c r="Q389">
        <v>0</v>
      </c>
      <c r="R389">
        <v>0</v>
      </c>
      <c r="S389" s="2">
        <v>43844</v>
      </c>
      <c r="T389" s="2">
        <v>43854</v>
      </c>
    </row>
    <row r="390" spans="1:22" x14ac:dyDescent="0.2">
      <c r="A390" t="str">
        <f>"305.8 HOR"</f>
        <v>305.8 HOR</v>
      </c>
      <c r="B390" t="str">
        <f>"Progressive racism: how the civil rights"</f>
        <v>Progressive racism: how the civil rights</v>
      </c>
      <c r="C390">
        <v>336368</v>
      </c>
      <c r="D390" t="str">
        <f>"Horowitz, David,"</f>
        <v>Horowitz, David,</v>
      </c>
      <c r="F390" t="str">
        <f>"xiii, 343 pages, 24 cm"</f>
        <v>xiii, 343 pages, 24 cm</v>
      </c>
      <c r="G390" s="1">
        <v>16</v>
      </c>
      <c r="H390">
        <v>2016</v>
      </c>
      <c r="I390" t="str">
        <f t="shared" si="12"/>
        <v>9: 300 - 399</v>
      </c>
      <c r="K390" t="str">
        <f t="shared" si="13"/>
        <v>WB - In</v>
      </c>
      <c r="L390" s="1">
        <v>33</v>
      </c>
      <c r="M390" t="s">
        <v>372</v>
      </c>
      <c r="O390" t="s">
        <v>28</v>
      </c>
      <c r="P390">
        <v>1</v>
      </c>
      <c r="Q390">
        <v>0</v>
      </c>
      <c r="R390">
        <v>8</v>
      </c>
      <c r="S390" s="2">
        <v>42576</v>
      </c>
      <c r="T390" s="2">
        <v>42816</v>
      </c>
      <c r="U390" s="2">
        <v>42846</v>
      </c>
      <c r="V390" s="2">
        <v>42752</v>
      </c>
    </row>
    <row r="391" spans="1:22" x14ac:dyDescent="0.2">
      <c r="A391" t="str">
        <f>"305.8 KEN"</f>
        <v>305.8 KEN</v>
      </c>
      <c r="B391" t="str">
        <f>"How to be an antiracist"</f>
        <v>How to be an antiracist</v>
      </c>
      <c r="C391">
        <v>356825</v>
      </c>
      <c r="D391" t="str">
        <f>"Kendi, Ibram X."</f>
        <v>Kendi, Ibram X.</v>
      </c>
      <c r="F391" t="str">
        <f>"pages cm"</f>
        <v>pages cm</v>
      </c>
      <c r="G391" s="1">
        <v>19</v>
      </c>
      <c r="H391">
        <v>2019</v>
      </c>
      <c r="I391" t="str">
        <f t="shared" si="12"/>
        <v>9: 300 - 399</v>
      </c>
      <c r="K391" t="str">
        <f t="shared" si="13"/>
        <v>WB - In</v>
      </c>
      <c r="L391" s="1">
        <v>32</v>
      </c>
      <c r="M391" t="s">
        <v>373</v>
      </c>
      <c r="O391" t="s">
        <v>28</v>
      </c>
      <c r="P391">
        <v>5</v>
      </c>
      <c r="Q391">
        <v>1</v>
      </c>
      <c r="R391">
        <v>6</v>
      </c>
      <c r="S391" s="2">
        <v>43691</v>
      </c>
      <c r="T391" s="2">
        <v>43852</v>
      </c>
      <c r="U391" s="2">
        <v>43838</v>
      </c>
      <c r="V391" s="2">
        <v>43755</v>
      </c>
    </row>
    <row r="392" spans="1:22" x14ac:dyDescent="0.2">
      <c r="A392" t="str">
        <f>"305.8 KEN"</f>
        <v>305.8 KEN</v>
      </c>
      <c r="B392" t="str">
        <f>"Stamped from the beginning: the definiti"</f>
        <v>Stamped from the beginning: the definiti</v>
      </c>
      <c r="C392">
        <v>337576</v>
      </c>
      <c r="D392" t="str">
        <f>"Kendi, Ibram X."</f>
        <v>Kendi, Ibram X.</v>
      </c>
      <c r="F392" t="str">
        <f>"viii, 582 pages, 25 cm"</f>
        <v>viii, 582 pages, 25 cm</v>
      </c>
      <c r="G392" s="1">
        <v>16</v>
      </c>
      <c r="H392">
        <v>2016</v>
      </c>
      <c r="I392" t="str">
        <f t="shared" ref="I392:I455" si="14">"9: 300 - 399"</f>
        <v>9: 300 - 399</v>
      </c>
      <c r="K392" t="str">
        <f t="shared" si="13"/>
        <v>WB - In</v>
      </c>
      <c r="L392" s="1">
        <v>38</v>
      </c>
      <c r="M392" t="s">
        <v>374</v>
      </c>
      <c r="O392" t="s">
        <v>28</v>
      </c>
      <c r="P392">
        <v>4</v>
      </c>
      <c r="Q392">
        <v>0</v>
      </c>
      <c r="R392">
        <v>8</v>
      </c>
      <c r="S392" s="2">
        <v>42639</v>
      </c>
      <c r="T392" s="2">
        <v>42803</v>
      </c>
      <c r="U392" s="2">
        <v>43511</v>
      </c>
    </row>
    <row r="393" spans="1:22" x14ac:dyDescent="0.2">
      <c r="A393" t="str">
        <f>"305.8 KIM"</f>
        <v>305.8 KIM</v>
      </c>
      <c r="B393" t="str">
        <f>"Angry white men: American masculinity at"</f>
        <v>Angry white men: American masculinity at</v>
      </c>
      <c r="C393">
        <v>346636</v>
      </c>
      <c r="D393" t="str">
        <f>"Kimmel, Michael S."</f>
        <v>Kimmel, Michael S.</v>
      </c>
      <c r="F393" t="str">
        <f>"xxvi, 314 pages, 21 cm"</f>
        <v>xxvi, 314 pages, 21 cm</v>
      </c>
      <c r="G393" s="1">
        <v>18</v>
      </c>
      <c r="H393">
        <v>2017</v>
      </c>
      <c r="I393" t="str">
        <f t="shared" si="14"/>
        <v>9: 300 - 399</v>
      </c>
      <c r="K393" t="str">
        <f>"LL - In"</f>
        <v>LL - In</v>
      </c>
      <c r="L393" s="1">
        <v>23</v>
      </c>
      <c r="M393" t="s">
        <v>375</v>
      </c>
      <c r="O393" t="s">
        <v>28</v>
      </c>
      <c r="P393">
        <v>0</v>
      </c>
      <c r="Q393">
        <v>1</v>
      </c>
      <c r="R393">
        <v>1</v>
      </c>
      <c r="S393" s="2">
        <v>43172</v>
      </c>
      <c r="T393" s="2">
        <v>43186</v>
      </c>
      <c r="V393" s="2">
        <v>43506</v>
      </c>
    </row>
    <row r="394" spans="1:22" x14ac:dyDescent="0.2">
      <c r="A394" t="str">
        <f>"305.8 KIM"</f>
        <v>305.8 KIM</v>
      </c>
      <c r="B394" t="str">
        <f>"Angry white men: American masculinity at"</f>
        <v>Angry white men: American masculinity at</v>
      </c>
      <c r="C394">
        <v>348613</v>
      </c>
      <c r="D394" t="str">
        <f>"Kimmel, Michael S."</f>
        <v>Kimmel, Michael S.</v>
      </c>
      <c r="F394" t="str">
        <f>"xxvi, 314 pages, 21 cm"</f>
        <v>xxvi, 314 pages, 21 cm</v>
      </c>
      <c r="G394" s="1">
        <v>18</v>
      </c>
      <c r="H394">
        <v>2017</v>
      </c>
      <c r="I394" t="str">
        <f t="shared" si="14"/>
        <v>9: 300 - 399</v>
      </c>
      <c r="K394" t="str">
        <f>"WB - In"</f>
        <v>WB - In</v>
      </c>
      <c r="L394" s="1">
        <v>23</v>
      </c>
      <c r="M394" t="s">
        <v>375</v>
      </c>
      <c r="O394" t="s">
        <v>28</v>
      </c>
      <c r="P394">
        <v>0</v>
      </c>
      <c r="Q394">
        <v>0</v>
      </c>
      <c r="R394">
        <v>0</v>
      </c>
      <c r="S394" s="2">
        <v>43292</v>
      </c>
      <c r="T394" s="2">
        <v>43298</v>
      </c>
    </row>
    <row r="395" spans="1:22" x14ac:dyDescent="0.2">
      <c r="A395" t="str">
        <f>"305.8 LUK"</f>
        <v>305.8 LUK</v>
      </c>
      <c r="B395" t="str">
        <f>"White like her: my family's story of rac"</f>
        <v>White like her: my family's story of rac</v>
      </c>
      <c r="C395">
        <v>352814</v>
      </c>
      <c r="D395" t="str">
        <f>"Lukasik, Gail"</f>
        <v>Lukasik, Gail</v>
      </c>
      <c r="F395" t="str">
        <f>"xiii, 294 pages, 8 unnumbered pages of plates, 24 cm, illustrations"</f>
        <v>xiii, 294 pages, 8 unnumbered pages of plates, 24 cm, illustrations</v>
      </c>
      <c r="G395" s="1">
        <v>19</v>
      </c>
      <c r="H395">
        <v>2017</v>
      </c>
      <c r="I395" t="str">
        <f t="shared" si="14"/>
        <v>9: 300 - 399</v>
      </c>
      <c r="K395" t="str">
        <f>"LL - In"</f>
        <v>LL - In</v>
      </c>
      <c r="L395" s="1">
        <v>28</v>
      </c>
      <c r="M395" t="s">
        <v>376</v>
      </c>
      <c r="O395" t="s">
        <v>28</v>
      </c>
      <c r="P395">
        <v>6</v>
      </c>
      <c r="Q395">
        <v>0</v>
      </c>
      <c r="R395">
        <v>6</v>
      </c>
      <c r="S395" s="2">
        <v>43507</v>
      </c>
      <c r="T395" s="2">
        <v>43675</v>
      </c>
      <c r="U395" s="2">
        <v>43628</v>
      </c>
    </row>
    <row r="396" spans="1:22" x14ac:dyDescent="0.2">
      <c r="A396" t="str">
        <f>"305.8 MEH"</f>
        <v>305.8 MEH</v>
      </c>
      <c r="B396" t="str">
        <f>"Brown, white, black: an American family "</f>
        <v xml:space="preserve">Brown, white, black: an American family </v>
      </c>
      <c r="C396">
        <v>352755</v>
      </c>
      <c r="D396" t="str">
        <f>"Mehra, Nishta,"</f>
        <v>Mehra, Nishta,</v>
      </c>
      <c r="F396" t="str">
        <f>"224 p."</f>
        <v>224 p.</v>
      </c>
      <c r="G396" s="1">
        <v>19</v>
      </c>
      <c r="H396">
        <v>2019</v>
      </c>
      <c r="I396" t="str">
        <f t="shared" si="14"/>
        <v>9: 300 - 399</v>
      </c>
      <c r="K396" t="str">
        <f>"WB - In"</f>
        <v>WB - In</v>
      </c>
      <c r="L396" s="1">
        <v>30</v>
      </c>
      <c r="M396" t="s">
        <v>377</v>
      </c>
      <c r="O396" t="s">
        <v>28</v>
      </c>
      <c r="P396">
        <v>2</v>
      </c>
      <c r="Q396">
        <v>0</v>
      </c>
      <c r="R396">
        <v>3</v>
      </c>
      <c r="S396" s="2">
        <v>43507</v>
      </c>
      <c r="T396" s="2">
        <v>43677</v>
      </c>
      <c r="U396" s="2">
        <v>43634</v>
      </c>
    </row>
    <row r="397" spans="1:22" x14ac:dyDescent="0.2">
      <c r="A397" t="str">
        <f>"305.8 MEH"</f>
        <v>305.8 MEH</v>
      </c>
      <c r="B397" t="str">
        <f>"This land is our land: an immigrant's ma"</f>
        <v>This land is our land: an immigrant's ma</v>
      </c>
      <c r="C397">
        <v>355593</v>
      </c>
      <c r="D397" t="str">
        <f>"Mehta, Suketu"</f>
        <v>Mehta, Suketu</v>
      </c>
      <c r="F397" t="str">
        <f>"x, 306 pages, 22 cm"</f>
        <v>x, 306 pages, 22 cm</v>
      </c>
      <c r="G397" s="1">
        <v>19</v>
      </c>
      <c r="H397">
        <v>2019</v>
      </c>
      <c r="I397" t="str">
        <f t="shared" si="14"/>
        <v>9: 300 - 399</v>
      </c>
      <c r="K397" t="str">
        <f>"WB - In"</f>
        <v>WB - In</v>
      </c>
      <c r="L397" s="1">
        <v>32</v>
      </c>
      <c r="M397" t="s">
        <v>378</v>
      </c>
      <c r="O397" t="s">
        <v>28</v>
      </c>
      <c r="P397">
        <v>6</v>
      </c>
      <c r="Q397">
        <v>0</v>
      </c>
      <c r="R397">
        <v>6</v>
      </c>
      <c r="S397" s="2">
        <v>43633</v>
      </c>
      <c r="T397" s="2">
        <v>43803</v>
      </c>
      <c r="U397" s="2">
        <v>43842</v>
      </c>
    </row>
    <row r="398" spans="1:22" x14ac:dyDescent="0.2">
      <c r="A398" t="str">
        <f>"305.8 MUR"</f>
        <v>305.8 MUR</v>
      </c>
      <c r="B398" t="str">
        <f>"Coming apart: the state of white America"</f>
        <v>Coming apart: the state of white America</v>
      </c>
      <c r="C398">
        <v>358600</v>
      </c>
      <c r="D398" t="str">
        <f>"Murray, Charles A."</f>
        <v>Murray, Charles A.</v>
      </c>
      <c r="F398" t="str">
        <f>"x, 417 pages, 21 cm, illustrations"</f>
        <v>x, 417 pages, 21 cm, illustrations</v>
      </c>
      <c r="G398" s="1">
        <v>19</v>
      </c>
      <c r="H398">
        <v>2013</v>
      </c>
      <c r="I398" t="str">
        <f t="shared" si="14"/>
        <v>9: 300 - 399</v>
      </c>
      <c r="K398" t="str">
        <f>"WB - In"</f>
        <v>WB - In</v>
      </c>
      <c r="L398" s="1">
        <v>22</v>
      </c>
      <c r="M398" t="s">
        <v>379</v>
      </c>
      <c r="O398" t="s">
        <v>28</v>
      </c>
      <c r="P398">
        <v>0</v>
      </c>
      <c r="Q398">
        <v>0</v>
      </c>
      <c r="R398">
        <v>0</v>
      </c>
      <c r="S398" s="2">
        <v>43753</v>
      </c>
      <c r="T398" s="2">
        <v>43819</v>
      </c>
    </row>
    <row r="399" spans="1:22" x14ac:dyDescent="0.2">
      <c r="A399" t="str">
        <f>"305.8 PAI"</f>
        <v>305.8 PAI</v>
      </c>
      <c r="B399" t="str">
        <f>"history of white people"</f>
        <v>history of white people</v>
      </c>
      <c r="C399">
        <v>345849</v>
      </c>
      <c r="D399" t="str">
        <f>"Painter, Nell Irvin."</f>
        <v>Painter, Nell Irvin.</v>
      </c>
      <c r="F399" t="str">
        <f>"xii, 496 p., 21 cm, ill., maps"</f>
        <v>xii, 496 p., 21 cm, ill., maps</v>
      </c>
      <c r="G399" s="1">
        <v>18</v>
      </c>
      <c r="H399">
        <v>2011</v>
      </c>
      <c r="I399" t="str">
        <f t="shared" si="14"/>
        <v>9: 300 - 399</v>
      </c>
      <c r="K399" t="str">
        <f>"WB - In"</f>
        <v>WB - In</v>
      </c>
      <c r="L399" s="1">
        <v>24</v>
      </c>
      <c r="M399" t="s">
        <v>380</v>
      </c>
      <c r="O399" t="s">
        <v>28</v>
      </c>
      <c r="P399">
        <v>4</v>
      </c>
      <c r="Q399">
        <v>0</v>
      </c>
      <c r="R399">
        <v>4</v>
      </c>
      <c r="S399" s="2">
        <v>43132</v>
      </c>
      <c r="T399" s="2">
        <v>43136</v>
      </c>
      <c r="U399" s="2">
        <v>43298</v>
      </c>
    </row>
    <row r="400" spans="1:22" x14ac:dyDescent="0.2">
      <c r="A400" t="str">
        <f>"305.8 RAY"</f>
        <v>305.8 RAY</v>
      </c>
      <c r="B400" t="str">
        <f>"My first white friend: confessions on ra"</f>
        <v>My first white friend: confessions on ra</v>
      </c>
      <c r="C400">
        <v>328539</v>
      </c>
      <c r="D400" t="str">
        <f>"Raybon, Patricia."</f>
        <v>Raybon, Patricia.</v>
      </c>
      <c r="F400" t="str">
        <f>"xii, 236 p., 20 cm"</f>
        <v>xii, 236 p., 20 cm</v>
      </c>
      <c r="G400" s="1">
        <v>15</v>
      </c>
      <c r="H400">
        <v>1997</v>
      </c>
      <c r="I400" t="str">
        <f t="shared" si="14"/>
        <v>9: 300 - 399</v>
      </c>
      <c r="K400" t="str">
        <f>"LL - In"</f>
        <v>LL - In</v>
      </c>
      <c r="L400" s="1">
        <v>20</v>
      </c>
      <c r="M400" t="s">
        <v>381</v>
      </c>
      <c r="O400" t="s">
        <v>28</v>
      </c>
      <c r="P400">
        <v>0</v>
      </c>
      <c r="Q400">
        <v>0</v>
      </c>
      <c r="R400">
        <v>1</v>
      </c>
      <c r="S400" s="2">
        <v>42191</v>
      </c>
      <c r="T400" s="2">
        <v>42194</v>
      </c>
      <c r="U400" s="2">
        <v>42196</v>
      </c>
    </row>
    <row r="401" spans="1:22" x14ac:dyDescent="0.2">
      <c r="A401" t="str">
        <f>"305.8 VAN"</f>
        <v>305.8 VAN</v>
      </c>
      <c r="B401" t="str">
        <f>"We are not such things: the murder of a "</f>
        <v xml:space="preserve">We are not such things: the murder of a </v>
      </c>
      <c r="C401">
        <v>336155</v>
      </c>
      <c r="D401" t="str">
        <f>"Van der Leun, Justine"</f>
        <v>Van der Leun, Justine</v>
      </c>
      <c r="F401" t="str">
        <f>"528 pages, 25 cm, maps"</f>
        <v>528 pages, 25 cm, maps</v>
      </c>
      <c r="G401" s="1">
        <v>16</v>
      </c>
      <c r="H401">
        <v>2016</v>
      </c>
      <c r="I401" t="str">
        <f t="shared" si="14"/>
        <v>9: 300 - 399</v>
      </c>
      <c r="K401" t="str">
        <f>"WB - In"</f>
        <v>WB - In</v>
      </c>
      <c r="L401" s="1">
        <v>33</v>
      </c>
      <c r="M401" t="s">
        <v>382</v>
      </c>
      <c r="O401" t="s">
        <v>28</v>
      </c>
      <c r="P401">
        <v>1</v>
      </c>
      <c r="Q401">
        <v>1</v>
      </c>
      <c r="R401">
        <v>6</v>
      </c>
      <c r="S401" s="2">
        <v>42565</v>
      </c>
      <c r="T401" s="2">
        <v>42767</v>
      </c>
      <c r="U401" s="2">
        <v>42775</v>
      </c>
      <c r="V401" s="2">
        <v>42795</v>
      </c>
    </row>
    <row r="402" spans="1:22" x14ac:dyDescent="0.2">
      <c r="A402" t="str">
        <f>"305.8 WAT"</f>
        <v>305.8 WAT</v>
      </c>
      <c r="B402" t="str">
        <f>"Beast side: living (and dying) while bla"</f>
        <v>Beast side: living (and dying) while bla</v>
      </c>
      <c r="C402">
        <v>330250</v>
      </c>
      <c r="D402" t="str">
        <f>"Watkins, D."</f>
        <v>Watkins, D.</v>
      </c>
      <c r="F402" t="str">
        <f>"xxii, 153 pages, 24 cm"</f>
        <v>xxii, 153 pages, 24 cm</v>
      </c>
      <c r="G402" s="1">
        <v>15</v>
      </c>
      <c r="H402">
        <v>2015</v>
      </c>
      <c r="I402" t="str">
        <f t="shared" si="14"/>
        <v>9: 300 - 399</v>
      </c>
      <c r="K402" t="str">
        <f>"WB - In"</f>
        <v>WB - In</v>
      </c>
      <c r="L402" s="1">
        <v>27</v>
      </c>
      <c r="M402" t="s">
        <v>383</v>
      </c>
      <c r="O402" t="s">
        <v>28</v>
      </c>
      <c r="P402">
        <v>0</v>
      </c>
      <c r="Q402">
        <v>0</v>
      </c>
      <c r="R402">
        <v>4</v>
      </c>
      <c r="S402" s="2">
        <v>42279</v>
      </c>
      <c r="T402" s="2">
        <v>42443</v>
      </c>
      <c r="U402" s="2">
        <v>42748</v>
      </c>
    </row>
    <row r="403" spans="1:22" x14ac:dyDescent="0.2">
      <c r="A403" t="str">
        <f>"305.89 DIA"</f>
        <v>305.89 DIA</v>
      </c>
      <c r="B403" t="str">
        <f>"world until yesterday: what can we learn"</f>
        <v>world until yesterday: what can we learn</v>
      </c>
      <c r="C403">
        <v>311865</v>
      </c>
      <c r="D403" t="str">
        <f>"Diamond, Jared M."</f>
        <v>Diamond, Jared M.</v>
      </c>
      <c r="F403" t="str">
        <f>"499 p., 25 cm., ill. (some col.), maps"</f>
        <v>499 p., 25 cm., ill. (some col.), maps</v>
      </c>
      <c r="G403" s="1">
        <v>12</v>
      </c>
      <c r="H403">
        <v>2012</v>
      </c>
      <c r="I403" t="str">
        <f t="shared" si="14"/>
        <v>9: 300 - 399</v>
      </c>
      <c r="K403" t="str">
        <f>"WB - Out"</f>
        <v>WB - Out</v>
      </c>
      <c r="L403" s="1">
        <v>41</v>
      </c>
      <c r="M403" t="s">
        <v>384</v>
      </c>
      <c r="O403" t="s">
        <v>28</v>
      </c>
      <c r="P403">
        <v>4</v>
      </c>
      <c r="Q403">
        <v>2</v>
      </c>
      <c r="R403">
        <v>21</v>
      </c>
      <c r="S403" s="2">
        <v>41278</v>
      </c>
      <c r="T403" s="2">
        <v>41576</v>
      </c>
      <c r="U403" s="2">
        <v>43840</v>
      </c>
      <c r="V403" s="2">
        <v>43563</v>
      </c>
    </row>
    <row r="404" spans="1:22" x14ac:dyDescent="0.2">
      <c r="A404" t="str">
        <f>"305.89 TAL"</f>
        <v>305.89 TAL</v>
      </c>
      <c r="B404" t="str">
        <f>"Seven fallen feathers: racism, death, an"</f>
        <v>Seven fallen feathers: racism, death, an</v>
      </c>
      <c r="C404">
        <v>345015</v>
      </c>
      <c r="D404" t="str">
        <f>"Talaga, Tanya"</f>
        <v>Talaga, Tanya</v>
      </c>
      <c r="F404" t="str">
        <f>"361 pages, 22 cm, maps"</f>
        <v>361 pages, 22 cm, maps</v>
      </c>
      <c r="G404" s="1">
        <v>17</v>
      </c>
      <c r="H404">
        <v>2017</v>
      </c>
      <c r="I404" t="str">
        <f t="shared" si="14"/>
        <v>9: 300 - 399</v>
      </c>
      <c r="K404" t="str">
        <f>"LL - In"</f>
        <v>LL - In</v>
      </c>
      <c r="L404" s="1">
        <v>24</v>
      </c>
      <c r="M404" t="s">
        <v>385</v>
      </c>
      <c r="O404" t="s">
        <v>28</v>
      </c>
      <c r="P404">
        <v>1</v>
      </c>
      <c r="Q404">
        <v>0</v>
      </c>
      <c r="R404">
        <v>1</v>
      </c>
      <c r="S404" s="2">
        <v>43073</v>
      </c>
      <c r="T404" s="2">
        <v>43076</v>
      </c>
      <c r="U404" s="2">
        <v>43078</v>
      </c>
    </row>
    <row r="405" spans="1:22" x14ac:dyDescent="0.2">
      <c r="A405" t="str">
        <f>"305.892 WAS"</f>
        <v>305.892 WAS</v>
      </c>
      <c r="B405" t="str">
        <f>"On the eve: the Jews of Europe before th"</f>
        <v>On the eve: the Jews of Europe before th</v>
      </c>
      <c r="C405">
        <v>307394</v>
      </c>
      <c r="D405" t="str">
        <f>"Wasserstein, Bernard."</f>
        <v>Wasserstein, Bernard.</v>
      </c>
      <c r="F405" t="str">
        <f>"552 p."</f>
        <v>552 p.</v>
      </c>
      <c r="G405" s="1">
        <v>12</v>
      </c>
      <c r="H405">
        <v>2012</v>
      </c>
      <c r="I405" t="str">
        <f t="shared" si="14"/>
        <v>9: 300 - 399</v>
      </c>
      <c r="K405" t="str">
        <f>"WB - In"</f>
        <v>WB - In</v>
      </c>
      <c r="L405" s="1">
        <v>38</v>
      </c>
      <c r="M405" t="s">
        <v>386</v>
      </c>
      <c r="O405" t="s">
        <v>28</v>
      </c>
      <c r="P405">
        <v>0</v>
      </c>
      <c r="Q405">
        <v>0</v>
      </c>
      <c r="R405">
        <v>8</v>
      </c>
      <c r="S405" s="2">
        <v>41037</v>
      </c>
      <c r="T405" s="2">
        <v>41192</v>
      </c>
      <c r="U405" s="2">
        <v>41285</v>
      </c>
    </row>
    <row r="406" spans="1:22" x14ac:dyDescent="0.2">
      <c r="A406" t="str">
        <f>"305.892 WEI"</f>
        <v>305.892 WEI</v>
      </c>
      <c r="B406" t="str">
        <f>"Semitism: being Jewish in America in the"</f>
        <v>Semitism: being Jewish in America in the</v>
      </c>
      <c r="C406">
        <v>347352</v>
      </c>
      <c r="D406" t="str">
        <f>"Weisman, Jonathan."</f>
        <v>Weisman, Jonathan.</v>
      </c>
      <c r="F406" t="str">
        <f>"238 pages, 22 cm"</f>
        <v>238 pages, 22 cm</v>
      </c>
      <c r="G406" s="1">
        <v>18</v>
      </c>
      <c r="H406">
        <v>2018</v>
      </c>
      <c r="I406" t="str">
        <f t="shared" si="14"/>
        <v>9: 300 - 399</v>
      </c>
      <c r="K406" t="str">
        <f>"LL - In"</f>
        <v>LL - In</v>
      </c>
      <c r="L406" s="1">
        <v>31</v>
      </c>
      <c r="M406" t="s">
        <v>387</v>
      </c>
      <c r="O406" t="s">
        <v>28</v>
      </c>
      <c r="P406">
        <v>1</v>
      </c>
      <c r="Q406">
        <v>1</v>
      </c>
      <c r="R406">
        <v>2</v>
      </c>
      <c r="S406" s="2">
        <v>43214</v>
      </c>
      <c r="T406" s="2">
        <v>43388</v>
      </c>
      <c r="U406" s="2">
        <v>43279</v>
      </c>
      <c r="V406" s="2">
        <v>43842</v>
      </c>
    </row>
    <row r="407" spans="1:22" x14ac:dyDescent="0.2">
      <c r="A407" t="str">
        <f>"305.896 ASI"</f>
        <v>305.896 ASI</v>
      </c>
      <c r="B407" t="str">
        <f>"We can't breathe: on black lives, white "</f>
        <v xml:space="preserve">We can't breathe: on black lives, white </v>
      </c>
      <c r="C407">
        <v>350989</v>
      </c>
      <c r="D407" t="str">
        <f>"Asim, Jabari,"</f>
        <v>Asim, Jabari,</v>
      </c>
      <c r="F407" t="str">
        <f>"193 pages, 18 cm"</f>
        <v>193 pages, 18 cm</v>
      </c>
      <c r="G407" s="1">
        <v>18</v>
      </c>
      <c r="H407">
        <v>2018</v>
      </c>
      <c r="I407" t="str">
        <f t="shared" si="14"/>
        <v>9: 300 - 399</v>
      </c>
      <c r="K407" t="str">
        <f>"WB - In"</f>
        <v>WB - In</v>
      </c>
      <c r="L407" s="1">
        <v>22</v>
      </c>
      <c r="M407" t="s">
        <v>388</v>
      </c>
      <c r="O407" t="s">
        <v>28</v>
      </c>
      <c r="P407">
        <v>1</v>
      </c>
      <c r="Q407">
        <v>1</v>
      </c>
      <c r="R407">
        <v>2</v>
      </c>
      <c r="S407" s="2">
        <v>43402</v>
      </c>
      <c r="T407" s="2">
        <v>43565</v>
      </c>
      <c r="U407" s="2">
        <v>43543</v>
      </c>
      <c r="V407" s="2">
        <v>43574</v>
      </c>
    </row>
    <row r="408" spans="1:22" x14ac:dyDescent="0.2">
      <c r="A408" t="str">
        <f>"305.896 COA"</f>
        <v>305.896 COA</v>
      </c>
      <c r="B408" t="str">
        <f>"Between the world and me"</f>
        <v>Between the world and me</v>
      </c>
      <c r="C408">
        <v>328749</v>
      </c>
      <c r="D408" t="str">
        <f>"Coates, Ta-Nehisi"</f>
        <v>Coates, Ta-Nehisi</v>
      </c>
      <c r="F408" t="str">
        <f>"152 pages, 20 cm, illustrations"</f>
        <v>152 pages, 20 cm, illustrations</v>
      </c>
      <c r="G408" s="1">
        <v>15</v>
      </c>
      <c r="H408">
        <v>2015</v>
      </c>
      <c r="I408" t="str">
        <f t="shared" si="14"/>
        <v>9: 300 - 399</v>
      </c>
      <c r="K408" t="str">
        <f>"WB - In"</f>
        <v>WB - In</v>
      </c>
      <c r="L408" s="1">
        <v>29</v>
      </c>
      <c r="M408" t="s">
        <v>389</v>
      </c>
      <c r="O408" t="s">
        <v>28</v>
      </c>
      <c r="P408">
        <v>16</v>
      </c>
      <c r="Q408">
        <v>0</v>
      </c>
      <c r="R408">
        <v>37</v>
      </c>
      <c r="S408" s="2">
        <v>42206</v>
      </c>
      <c r="T408" s="2">
        <v>42470</v>
      </c>
      <c r="U408" s="2">
        <v>43685</v>
      </c>
    </row>
    <row r="409" spans="1:22" x14ac:dyDescent="0.2">
      <c r="A409" t="str">
        <f>"305.896 COA"</f>
        <v>305.896 COA</v>
      </c>
      <c r="B409" t="str">
        <f>"Between the world and me"</f>
        <v>Between the world and me</v>
      </c>
      <c r="C409">
        <v>336714</v>
      </c>
      <c r="D409" t="str">
        <f>"Coates, Ta-Nehisi"</f>
        <v>Coates, Ta-Nehisi</v>
      </c>
      <c r="F409" t="str">
        <f>"152 pages, 20 cm, illustrations"</f>
        <v>152 pages, 20 cm, illustrations</v>
      </c>
      <c r="G409" s="1">
        <v>16</v>
      </c>
      <c r="H409">
        <v>2015</v>
      </c>
      <c r="I409" t="str">
        <f t="shared" si="14"/>
        <v>9: 300 - 399</v>
      </c>
      <c r="K409" t="str">
        <f>"LL - In"</f>
        <v>LL - In</v>
      </c>
      <c r="L409" s="1">
        <v>29</v>
      </c>
      <c r="M409" t="s">
        <v>389</v>
      </c>
      <c r="O409" t="s">
        <v>28</v>
      </c>
      <c r="P409">
        <v>10</v>
      </c>
      <c r="Q409">
        <v>4</v>
      </c>
      <c r="R409">
        <v>17</v>
      </c>
      <c r="S409" s="2">
        <v>42591</v>
      </c>
      <c r="T409" s="2">
        <v>42605</v>
      </c>
      <c r="U409" s="2">
        <v>43676</v>
      </c>
      <c r="V409" s="2">
        <v>43673</v>
      </c>
    </row>
    <row r="410" spans="1:22" x14ac:dyDescent="0.2">
      <c r="A410" t="str">
        <f>"305.896 DAV"</f>
        <v>305.896 DAV</v>
      </c>
      <c r="B410" t="str">
        <f>"Best of enemies: race and redemption in "</f>
        <v xml:space="preserve">Best of enemies: race and redemption in </v>
      </c>
      <c r="C410">
        <v>352399</v>
      </c>
      <c r="D410" t="str">
        <f>"Davidson, Osha Gray."</f>
        <v>Davidson, Osha Gray.</v>
      </c>
      <c r="F410" t="str">
        <f>"352 p."</f>
        <v>352 p.</v>
      </c>
      <c r="G410" s="1">
        <v>19</v>
      </c>
      <c r="H410">
        <v>2019</v>
      </c>
      <c r="I410" t="str">
        <f t="shared" si="14"/>
        <v>9: 300 - 399</v>
      </c>
      <c r="K410" t="str">
        <f>"LL - In"</f>
        <v>LL - In</v>
      </c>
      <c r="L410" s="1">
        <v>23</v>
      </c>
      <c r="M410" t="s">
        <v>390</v>
      </c>
      <c r="O410" t="s">
        <v>28</v>
      </c>
      <c r="P410">
        <v>2</v>
      </c>
      <c r="Q410">
        <v>0</v>
      </c>
      <c r="R410">
        <v>2</v>
      </c>
      <c r="S410" s="2">
        <v>43488</v>
      </c>
      <c r="T410" s="2">
        <v>43497</v>
      </c>
      <c r="U410" s="2">
        <v>43559</v>
      </c>
    </row>
    <row r="411" spans="1:22" x14ac:dyDescent="0.2">
      <c r="A411" t="str">
        <f>"305.896 DYS"</f>
        <v>305.896 DYS</v>
      </c>
      <c r="B411" t="str">
        <f>"Tears we cannot stop: a sermon to white "</f>
        <v xml:space="preserve">Tears we cannot stop: a sermon to white </v>
      </c>
      <c r="C411">
        <v>339237</v>
      </c>
      <c r="D411" t="str">
        <f>"Dyson, Michael Eric"</f>
        <v>Dyson, Michael Eric</v>
      </c>
      <c r="F411" t="str">
        <f>"228 pages, 20 cm"</f>
        <v>228 pages, 20 cm</v>
      </c>
      <c r="G411" s="1">
        <v>17</v>
      </c>
      <c r="H411">
        <v>2017</v>
      </c>
      <c r="I411" t="str">
        <f t="shared" si="14"/>
        <v>9: 300 - 399</v>
      </c>
      <c r="K411" t="str">
        <f>"LL - In"</f>
        <v>LL - In</v>
      </c>
      <c r="L411" s="1">
        <v>30</v>
      </c>
      <c r="M411" t="s">
        <v>391</v>
      </c>
      <c r="O411" t="s">
        <v>28</v>
      </c>
      <c r="P411">
        <v>7</v>
      </c>
      <c r="Q411">
        <v>0</v>
      </c>
      <c r="R411">
        <v>8</v>
      </c>
      <c r="S411" s="2">
        <v>42755</v>
      </c>
      <c r="T411" s="2">
        <v>42942</v>
      </c>
      <c r="U411" s="2">
        <v>42976</v>
      </c>
    </row>
    <row r="412" spans="1:22" x14ac:dyDescent="0.2">
      <c r="A412" t="str">
        <f>"305.896 DYS"</f>
        <v>305.896 DYS</v>
      </c>
      <c r="B412" t="str">
        <f>"What truth sounds like: Robert F. Kenned"</f>
        <v>What truth sounds like: Robert F. Kenned</v>
      </c>
      <c r="C412">
        <v>348045</v>
      </c>
      <c r="D412" t="str">
        <f>"Dyson, Michael Eric"</f>
        <v>Dyson, Michael Eric</v>
      </c>
      <c r="F412" t="str">
        <f>"294 pages, 20 cm"</f>
        <v>294 pages, 20 cm</v>
      </c>
      <c r="G412" s="1">
        <v>18</v>
      </c>
      <c r="H412">
        <v>2018</v>
      </c>
      <c r="I412" t="str">
        <f t="shared" si="14"/>
        <v>9: 300 - 399</v>
      </c>
      <c r="K412" t="str">
        <f>"WB - In"</f>
        <v>WB - In</v>
      </c>
      <c r="L412" s="1">
        <v>30</v>
      </c>
      <c r="M412" t="s">
        <v>392</v>
      </c>
      <c r="O412" t="s">
        <v>28</v>
      </c>
      <c r="P412">
        <v>5</v>
      </c>
      <c r="Q412">
        <v>1</v>
      </c>
      <c r="R412">
        <v>6</v>
      </c>
      <c r="S412" s="2">
        <v>43257</v>
      </c>
      <c r="T412" s="2">
        <v>43451</v>
      </c>
      <c r="U412" s="2">
        <v>43493</v>
      </c>
      <c r="V412" s="2">
        <v>43352</v>
      </c>
    </row>
    <row r="413" spans="1:22" x14ac:dyDescent="0.2">
      <c r="A413" t="str">
        <f>"305.896 ELS"</f>
        <v>305.896 ELS</v>
      </c>
      <c r="B413" t="str">
        <f>"True south: Henry Hampton and Eyes on th"</f>
        <v>True south: Henry Hampton and Eyes on th</v>
      </c>
      <c r="C413">
        <v>339369</v>
      </c>
      <c r="D413" t="str">
        <f>"Else, Jon,"</f>
        <v>Else, Jon,</v>
      </c>
      <c r="F413" t="str">
        <f>"404 pages, 16 unnumbered pages of plates, 24 cm, illustrations"</f>
        <v>404 pages, 16 unnumbered pages of plates, 24 cm, illustrations</v>
      </c>
      <c r="G413" s="1">
        <v>17</v>
      </c>
      <c r="H413">
        <v>2017</v>
      </c>
      <c r="I413" t="str">
        <f t="shared" si="14"/>
        <v>9: 300 - 399</v>
      </c>
      <c r="K413" t="str">
        <f>"WB - In"</f>
        <v>WB - In</v>
      </c>
      <c r="L413" s="1">
        <v>35</v>
      </c>
      <c r="M413" t="s">
        <v>393</v>
      </c>
      <c r="O413" t="s">
        <v>28</v>
      </c>
      <c r="P413">
        <v>1</v>
      </c>
      <c r="Q413">
        <v>1</v>
      </c>
      <c r="R413">
        <v>2</v>
      </c>
      <c r="S413" s="2">
        <v>42765</v>
      </c>
      <c r="T413" s="2">
        <v>42935</v>
      </c>
      <c r="U413" s="2">
        <v>42886</v>
      </c>
      <c r="V413" s="2">
        <v>42790</v>
      </c>
    </row>
    <row r="414" spans="1:22" x14ac:dyDescent="0.2">
      <c r="A414" t="str">
        <f>"305.896 FIR"</f>
        <v>305.896 FIR</v>
      </c>
      <c r="B414" t="str">
        <f>"fire this time: a new generation speaks "</f>
        <v xml:space="preserve">fire this time: a new generation speaks </v>
      </c>
      <c r="C414">
        <v>336881</v>
      </c>
      <c r="F414" t="str">
        <f>"viii, 226 pages, 22 cm, illustrations"</f>
        <v>viii, 226 pages, 22 cm, illustrations</v>
      </c>
      <c r="G414" s="1">
        <v>16</v>
      </c>
      <c r="H414">
        <v>2016</v>
      </c>
      <c r="I414" t="str">
        <f t="shared" si="14"/>
        <v>9: 300 - 399</v>
      </c>
      <c r="K414" t="str">
        <f>"LL - In"</f>
        <v>LL - In</v>
      </c>
      <c r="L414" s="1">
        <v>30</v>
      </c>
      <c r="M414" t="s">
        <v>394</v>
      </c>
      <c r="O414" t="s">
        <v>28</v>
      </c>
      <c r="P414">
        <v>2</v>
      </c>
      <c r="Q414">
        <v>0</v>
      </c>
      <c r="R414">
        <v>8</v>
      </c>
      <c r="S414" s="2">
        <v>42600</v>
      </c>
      <c r="T414" s="2">
        <v>42788</v>
      </c>
      <c r="U414" s="2">
        <v>43739</v>
      </c>
    </row>
    <row r="415" spans="1:22" x14ac:dyDescent="0.2">
      <c r="A415" t="str">
        <f>"305.896 GAT"</f>
        <v>305.896 GAT</v>
      </c>
      <c r="B415" t="str">
        <f>"And still I rise: black America since ML"</f>
        <v>And still I rise: black America since ML</v>
      </c>
      <c r="C415">
        <v>283298</v>
      </c>
      <c r="D415" t="str">
        <f>"Gates, Henry Louis"</f>
        <v>Gates, Henry Louis</v>
      </c>
      <c r="F415" t="str">
        <f>"xiii, 321 pages, 27 cm, illustrations (chiefly color)"</f>
        <v>xiii, 321 pages, 27 cm, illustrations (chiefly color)</v>
      </c>
      <c r="G415" s="1">
        <v>15</v>
      </c>
      <c r="H415">
        <v>2015</v>
      </c>
      <c r="I415" t="str">
        <f t="shared" si="14"/>
        <v>9: 300 - 399</v>
      </c>
      <c r="K415" t="str">
        <f t="shared" ref="K415:K421" si="15">"WB - In"</f>
        <v>WB - In</v>
      </c>
      <c r="L415" s="1">
        <v>40</v>
      </c>
      <c r="M415" t="s">
        <v>395</v>
      </c>
      <c r="O415" t="s">
        <v>28</v>
      </c>
      <c r="P415">
        <v>0</v>
      </c>
      <c r="Q415">
        <v>1</v>
      </c>
      <c r="R415">
        <v>1</v>
      </c>
      <c r="S415" s="2">
        <v>42326</v>
      </c>
      <c r="T415" s="2">
        <v>42470</v>
      </c>
      <c r="V415" s="2">
        <v>42795</v>
      </c>
    </row>
    <row r="416" spans="1:22" x14ac:dyDescent="0.2">
      <c r="A416" t="str">
        <f>"305.896 JAC"</f>
        <v>305.896 JAC</v>
      </c>
      <c r="B416" t="str">
        <f>"Survival math: notes on an All-American "</f>
        <v xml:space="preserve">Survival math: notes on an All-American </v>
      </c>
      <c r="C416">
        <v>353319</v>
      </c>
      <c r="D416" t="str">
        <f>"Jackson, Mitchell S."</f>
        <v>Jackson, Mitchell S.</v>
      </c>
      <c r="F416" t="str">
        <f>"xv, 315 pages, 24 cm, illustrations"</f>
        <v>xv, 315 pages, 24 cm, illustrations</v>
      </c>
      <c r="G416" s="1">
        <v>19</v>
      </c>
      <c r="H416">
        <v>2019</v>
      </c>
      <c r="I416" t="str">
        <f t="shared" si="14"/>
        <v>9: 300 - 399</v>
      </c>
      <c r="K416" t="str">
        <f t="shared" si="15"/>
        <v>WB - In</v>
      </c>
      <c r="L416" s="1">
        <v>31</v>
      </c>
      <c r="M416" t="s">
        <v>396</v>
      </c>
      <c r="O416" t="s">
        <v>28</v>
      </c>
      <c r="P416">
        <v>4</v>
      </c>
      <c r="Q416">
        <v>0</v>
      </c>
      <c r="R416">
        <v>4</v>
      </c>
      <c r="S416" s="2">
        <v>43529</v>
      </c>
      <c r="T416" s="2">
        <v>43691</v>
      </c>
      <c r="U416" s="2">
        <v>43663</v>
      </c>
    </row>
    <row r="417" spans="1:22" x14ac:dyDescent="0.2">
      <c r="A417" t="str">
        <f>"305.896 LOW"</f>
        <v>305.896 LOW</v>
      </c>
      <c r="B417" t="str">
        <f>"They can't kill us all: Ferguson, Baltim"</f>
        <v>They can't kill us all: Ferguson, Baltim</v>
      </c>
      <c r="C417">
        <v>338695</v>
      </c>
      <c r="D417" t="str">
        <f>"Lowery, Wesley,"</f>
        <v>Lowery, Wesley,</v>
      </c>
      <c r="F417" t="str">
        <f>"248 pages, 25 cm"</f>
        <v>248 pages, 25 cm</v>
      </c>
      <c r="G417" s="1">
        <v>16</v>
      </c>
      <c r="H417">
        <v>2016</v>
      </c>
      <c r="I417" t="str">
        <f t="shared" si="14"/>
        <v>9: 300 - 399</v>
      </c>
      <c r="K417" t="str">
        <f t="shared" si="15"/>
        <v>WB - In</v>
      </c>
      <c r="L417" s="1">
        <v>32</v>
      </c>
      <c r="M417" t="s">
        <v>397</v>
      </c>
      <c r="O417" t="s">
        <v>28</v>
      </c>
      <c r="P417">
        <v>1</v>
      </c>
      <c r="Q417">
        <v>0</v>
      </c>
      <c r="R417">
        <v>2</v>
      </c>
      <c r="S417" s="2">
        <v>42716</v>
      </c>
      <c r="T417" s="2">
        <v>42864</v>
      </c>
      <c r="U417" s="2">
        <v>42776</v>
      </c>
    </row>
    <row r="418" spans="1:22" x14ac:dyDescent="0.2">
      <c r="A418" t="str">
        <f>"305.896 PAT"</f>
        <v>305.896 PAT</v>
      </c>
      <c r="B418" t="str">
        <f>"Freedom is not enough: the Moynihan repo"</f>
        <v>Freedom is not enough: the Moynihan repo</v>
      </c>
      <c r="C418">
        <v>323682</v>
      </c>
      <c r="D418" t="str">
        <f>"Patterson, James T."</f>
        <v>Patterson, James T.</v>
      </c>
      <c r="F418" t="str">
        <f>"xvii, 264 p., 25 cm"</f>
        <v>xvii, 264 p., 25 cm</v>
      </c>
      <c r="G418" s="1">
        <v>14</v>
      </c>
      <c r="H418">
        <v>2010</v>
      </c>
      <c r="I418" t="str">
        <f t="shared" si="14"/>
        <v>9: 300 - 399</v>
      </c>
      <c r="K418" t="str">
        <f t="shared" si="15"/>
        <v>WB - In</v>
      </c>
      <c r="L418" s="1">
        <v>23</v>
      </c>
      <c r="M418" t="s">
        <v>398</v>
      </c>
      <c r="O418" t="s">
        <v>28</v>
      </c>
      <c r="P418">
        <v>1</v>
      </c>
      <c r="Q418">
        <v>1</v>
      </c>
      <c r="R418">
        <v>2</v>
      </c>
      <c r="S418" s="2">
        <v>41892</v>
      </c>
      <c r="T418" s="2">
        <v>41898</v>
      </c>
      <c r="U418" s="2">
        <v>43029</v>
      </c>
      <c r="V418" s="2">
        <v>42795</v>
      </c>
    </row>
    <row r="419" spans="1:22" x14ac:dyDescent="0.2">
      <c r="A419" t="str">
        <f>"305.896 RIL"</f>
        <v>305.896 RIL</v>
      </c>
      <c r="B419" t="str">
        <f>"Please stop helping us: how liberals mak"</f>
        <v>Please stop helping us: how liberals mak</v>
      </c>
      <c r="C419">
        <v>323214</v>
      </c>
      <c r="D419" t="str">
        <f>"Riley, Jason"</f>
        <v>Riley, Jason</v>
      </c>
      <c r="F419" t="str">
        <f>"205 pages, 24 cm"</f>
        <v>205 pages, 24 cm</v>
      </c>
      <c r="G419" s="1">
        <v>14</v>
      </c>
      <c r="H419">
        <v>2014</v>
      </c>
      <c r="I419" t="str">
        <f t="shared" si="14"/>
        <v>9: 300 - 399</v>
      </c>
      <c r="K419" t="str">
        <f t="shared" si="15"/>
        <v>WB - In</v>
      </c>
      <c r="L419" s="1">
        <v>24</v>
      </c>
      <c r="M419" t="s">
        <v>399</v>
      </c>
      <c r="O419" t="s">
        <v>28</v>
      </c>
      <c r="P419">
        <v>0</v>
      </c>
      <c r="Q419">
        <v>0</v>
      </c>
      <c r="R419">
        <v>7</v>
      </c>
      <c r="S419" s="2">
        <v>41873</v>
      </c>
      <c r="T419" s="2">
        <v>42563</v>
      </c>
      <c r="U419" s="2">
        <v>42621</v>
      </c>
    </row>
    <row r="420" spans="1:22" x14ac:dyDescent="0.2">
      <c r="A420" t="str">
        <f>"305.896 ROT"</f>
        <v>305.896 ROT</v>
      </c>
      <c r="B420" t="str">
        <f>"color of law: a forgotten history of how"</f>
        <v>color of law: a forgotten history of how</v>
      </c>
      <c r="C420">
        <v>341345</v>
      </c>
      <c r="D420" t="str">
        <f>"Rothstein, Richard"</f>
        <v>Rothstein, Richard</v>
      </c>
      <c r="F420" t="str">
        <f>"xvii, 345 pages, 25 cm, illustrations"</f>
        <v>xvii, 345 pages, 25 cm, illustrations</v>
      </c>
      <c r="G420" s="1">
        <v>17</v>
      </c>
      <c r="H420">
        <v>2017</v>
      </c>
      <c r="I420" t="str">
        <f t="shared" si="14"/>
        <v>9: 300 - 399</v>
      </c>
      <c r="K420" t="str">
        <f t="shared" si="15"/>
        <v>WB - In</v>
      </c>
      <c r="L420" s="1">
        <v>33</v>
      </c>
      <c r="M420" t="s">
        <v>400</v>
      </c>
      <c r="O420" t="s">
        <v>28</v>
      </c>
      <c r="P420">
        <v>8</v>
      </c>
      <c r="Q420">
        <v>0</v>
      </c>
      <c r="R420">
        <v>8</v>
      </c>
      <c r="S420" s="2">
        <v>42873</v>
      </c>
      <c r="T420" s="2">
        <v>43041</v>
      </c>
      <c r="U420" s="2">
        <v>43694</v>
      </c>
    </row>
    <row r="421" spans="1:22" x14ac:dyDescent="0.2">
      <c r="A421" t="str">
        <f>"305.896 STA"</f>
        <v>305.896 STA</v>
      </c>
      <c r="B421" t="str">
        <f>"un-civil war: blacks vs niggers :confron"</f>
        <v>un-civil war: blacks vs niggers :confron</v>
      </c>
      <c r="C421">
        <v>275052</v>
      </c>
      <c r="D421" t="str">
        <f>"Starkes, Taleeb"</f>
        <v>Starkes, Taleeb</v>
      </c>
      <c r="F421" t="str">
        <f>"245 p."</f>
        <v>245 p.</v>
      </c>
      <c r="G421" s="1">
        <v>14</v>
      </c>
      <c r="H421">
        <v>2013</v>
      </c>
      <c r="I421" t="str">
        <f t="shared" si="14"/>
        <v>9: 300 - 399</v>
      </c>
      <c r="K421" t="str">
        <f t="shared" si="15"/>
        <v>WB - In</v>
      </c>
      <c r="L421" s="1">
        <v>20</v>
      </c>
      <c r="M421" t="s">
        <v>401</v>
      </c>
      <c r="O421" t="s">
        <v>28</v>
      </c>
      <c r="P421">
        <v>0</v>
      </c>
      <c r="Q421">
        <v>0</v>
      </c>
      <c r="R421">
        <v>1</v>
      </c>
      <c r="S421" s="2">
        <v>41855</v>
      </c>
      <c r="T421" s="2">
        <v>41857</v>
      </c>
      <c r="V421" s="2">
        <v>41897</v>
      </c>
    </row>
    <row r="422" spans="1:22" x14ac:dyDescent="0.2">
      <c r="A422" t="str">
        <f>"305.896 THU"</f>
        <v>305.896 THU</v>
      </c>
      <c r="B422" t="str">
        <f>"How to be black"</f>
        <v>How to be black</v>
      </c>
      <c r="C422">
        <v>319541</v>
      </c>
      <c r="D422" t="str">
        <f>"Thurston, Baratunde."</f>
        <v>Thurston, Baratunde.</v>
      </c>
      <c r="F422" t="str">
        <f>"viii, 254 p., 22 cm, ill."</f>
        <v>viii, 254 p., 22 cm, ill.</v>
      </c>
      <c r="G422" s="1">
        <v>14</v>
      </c>
      <c r="H422">
        <v>2012</v>
      </c>
      <c r="I422" t="str">
        <f t="shared" si="14"/>
        <v>9: 300 - 399</v>
      </c>
      <c r="K422" t="str">
        <f>"LL - In"</f>
        <v>LL - In</v>
      </c>
      <c r="L422" s="1">
        <v>20</v>
      </c>
      <c r="M422" t="s">
        <v>402</v>
      </c>
      <c r="O422" t="s">
        <v>28</v>
      </c>
      <c r="P422">
        <v>0</v>
      </c>
      <c r="Q422">
        <v>0</v>
      </c>
      <c r="R422">
        <v>5</v>
      </c>
      <c r="S422" s="2">
        <v>41673</v>
      </c>
      <c r="T422" s="2">
        <v>41681</v>
      </c>
      <c r="U422" s="2">
        <v>42717</v>
      </c>
      <c r="V422" s="2">
        <v>42487</v>
      </c>
    </row>
    <row r="423" spans="1:22" x14ac:dyDescent="0.2">
      <c r="A423" t="str">
        <f>"305.9 EBE"</f>
        <v>305.9 EBE</v>
      </c>
      <c r="B423" t="str">
        <f>"Men without work: America's invisible cr"</f>
        <v>Men without work: America's invisible cr</v>
      </c>
      <c r="C423">
        <v>338562</v>
      </c>
      <c r="D423" t="str">
        <f>"Eberstadt, Nick,"</f>
        <v>Eberstadt, Nick,</v>
      </c>
      <c r="F423" t="str">
        <f>"x, 206 pages, 18 cm, color illustrations"</f>
        <v>x, 206 pages, 18 cm, color illustrations</v>
      </c>
      <c r="G423" s="1">
        <v>16</v>
      </c>
      <c r="H423">
        <v>2016</v>
      </c>
      <c r="I423" t="str">
        <f t="shared" si="14"/>
        <v>9: 300 - 399</v>
      </c>
      <c r="K423" t="str">
        <f>"WB - In"</f>
        <v>WB - In</v>
      </c>
      <c r="L423" s="1">
        <v>18</v>
      </c>
      <c r="M423" t="s">
        <v>403</v>
      </c>
      <c r="O423" t="s">
        <v>28</v>
      </c>
      <c r="P423">
        <v>5</v>
      </c>
      <c r="Q423">
        <v>0</v>
      </c>
      <c r="R423">
        <v>7</v>
      </c>
      <c r="S423" s="2">
        <v>42702</v>
      </c>
      <c r="T423" s="2">
        <v>42864</v>
      </c>
      <c r="U423" s="2">
        <v>42833</v>
      </c>
    </row>
    <row r="424" spans="1:22" x14ac:dyDescent="0.2">
      <c r="A424" t="str">
        <f>"306 BRI"</f>
        <v>306 BRI</v>
      </c>
      <c r="B424" t="str">
        <f>"Tailspin: the people and forces behind A"</f>
        <v>Tailspin: the people and forces behind A</v>
      </c>
      <c r="C424">
        <v>348138</v>
      </c>
      <c r="D424" t="str">
        <f>"Brill, Steven"</f>
        <v>Brill, Steven</v>
      </c>
      <c r="F424" t="str">
        <f>"441 pages, 16 unnumbered pages of plates, 25 cm, illustrations"</f>
        <v>441 pages, 16 unnumbered pages of plates, 25 cm, illustrations</v>
      </c>
      <c r="G424" s="1">
        <v>18</v>
      </c>
      <c r="H424">
        <v>2018</v>
      </c>
      <c r="I424" t="str">
        <f t="shared" si="14"/>
        <v>9: 300 - 399</v>
      </c>
      <c r="K424" t="str">
        <f>"WB - In"</f>
        <v>WB - In</v>
      </c>
      <c r="L424" s="1">
        <v>34</v>
      </c>
      <c r="M424" t="s">
        <v>404</v>
      </c>
      <c r="O424" t="s">
        <v>28</v>
      </c>
      <c r="P424">
        <v>8</v>
      </c>
      <c r="Q424">
        <v>0</v>
      </c>
      <c r="R424">
        <v>8</v>
      </c>
      <c r="S424" s="2">
        <v>43262</v>
      </c>
      <c r="T424" s="2">
        <v>43446</v>
      </c>
      <c r="U424" s="2">
        <v>43472</v>
      </c>
    </row>
    <row r="425" spans="1:22" x14ac:dyDescent="0.2">
      <c r="A425" t="str">
        <f>"306 BRI"</f>
        <v>306 BRI</v>
      </c>
      <c r="B425" t="str">
        <f>"Tailspin: the people and forces behind A"</f>
        <v>Tailspin: the people and forces behind A</v>
      </c>
      <c r="C425">
        <v>348272</v>
      </c>
      <c r="D425" t="str">
        <f>"Brill, Steven"</f>
        <v>Brill, Steven</v>
      </c>
      <c r="F425" t="str">
        <f>"441 pages, 16 unnumbered pages of plates, 25 cm, illustrations"</f>
        <v>441 pages, 16 unnumbered pages of plates, 25 cm, illustrations</v>
      </c>
      <c r="G425" s="1">
        <v>18</v>
      </c>
      <c r="H425">
        <v>2018</v>
      </c>
      <c r="I425" t="str">
        <f t="shared" si="14"/>
        <v>9: 300 - 399</v>
      </c>
      <c r="K425" t="str">
        <f>"LL - In"</f>
        <v>LL - In</v>
      </c>
      <c r="L425" s="1">
        <v>34</v>
      </c>
      <c r="M425" t="s">
        <v>404</v>
      </c>
      <c r="O425" t="s">
        <v>28</v>
      </c>
      <c r="P425">
        <v>5</v>
      </c>
      <c r="Q425">
        <v>0</v>
      </c>
      <c r="R425">
        <v>5</v>
      </c>
      <c r="S425" s="2">
        <v>43269</v>
      </c>
      <c r="T425" s="2">
        <v>43416</v>
      </c>
      <c r="U425" s="2">
        <v>43373</v>
      </c>
    </row>
    <row r="426" spans="1:22" x14ac:dyDescent="0.2">
      <c r="A426" t="str">
        <f>"306 CAR"</f>
        <v>306 CAR</v>
      </c>
      <c r="B426" t="str">
        <f>"Alienated America: why some places thriv"</f>
        <v>Alienated America: why some places thriv</v>
      </c>
      <c r="C426">
        <v>359996</v>
      </c>
      <c r="D426" t="str">
        <f>"Carney, Timothy P.,"</f>
        <v>Carney, Timothy P.,</v>
      </c>
      <c r="F426" t="str">
        <f>"xiv, 348 pages, 24 cm, illustrations"</f>
        <v>xiv, 348 pages, 24 cm, illustrations</v>
      </c>
      <c r="G426" s="1">
        <v>19</v>
      </c>
      <c r="H426">
        <v>2019</v>
      </c>
      <c r="I426" t="str">
        <f t="shared" si="14"/>
        <v>9: 300 - 399</v>
      </c>
      <c r="K426" t="str">
        <f>"LL - In"</f>
        <v>LL - In</v>
      </c>
      <c r="L426" s="1">
        <v>33</v>
      </c>
      <c r="M426" t="s">
        <v>405</v>
      </c>
      <c r="O426" t="s">
        <v>28</v>
      </c>
      <c r="P426">
        <v>0</v>
      </c>
      <c r="Q426">
        <v>1</v>
      </c>
      <c r="R426">
        <v>1</v>
      </c>
      <c r="S426" s="2">
        <v>43826</v>
      </c>
      <c r="T426" s="2">
        <v>43847</v>
      </c>
      <c r="V426" s="2">
        <v>43848</v>
      </c>
    </row>
    <row r="427" spans="1:22" x14ac:dyDescent="0.2">
      <c r="A427" t="str">
        <f>"306 FAL"</f>
        <v>306 FAL</v>
      </c>
      <c r="B427" t="str">
        <f>"Our towns: a 100,000-mile journey into t"</f>
        <v>Our towns: a 100,000-mile journey into t</v>
      </c>
      <c r="C427">
        <v>347643</v>
      </c>
      <c r="D427" t="str">
        <f>"Fallows, James M."</f>
        <v>Fallows, James M.</v>
      </c>
      <c r="F427" t="str">
        <f>"x, 413 pages, 25 cm"</f>
        <v>x, 413 pages, 25 cm</v>
      </c>
      <c r="G427" s="1">
        <v>18</v>
      </c>
      <c r="H427">
        <v>2018</v>
      </c>
      <c r="I427" t="str">
        <f t="shared" si="14"/>
        <v>9: 300 - 399</v>
      </c>
      <c r="K427" t="str">
        <f>"WB - In"</f>
        <v>WB - In</v>
      </c>
      <c r="L427" s="1">
        <v>34</v>
      </c>
      <c r="M427" t="s">
        <v>406</v>
      </c>
      <c r="O427" t="s">
        <v>28</v>
      </c>
      <c r="P427">
        <v>8</v>
      </c>
      <c r="Q427">
        <v>0</v>
      </c>
      <c r="R427">
        <v>8</v>
      </c>
      <c r="S427" s="2">
        <v>43234</v>
      </c>
      <c r="T427" s="2">
        <v>43411</v>
      </c>
      <c r="U427" s="2">
        <v>43372</v>
      </c>
    </row>
    <row r="428" spans="1:22" x14ac:dyDescent="0.2">
      <c r="A428" t="str">
        <f>"306 FER"</f>
        <v>306 FER</v>
      </c>
      <c r="B428" t="str">
        <f>"great degeneration: how institutions dec"</f>
        <v>great degeneration: how institutions dec</v>
      </c>
      <c r="C428">
        <v>314948</v>
      </c>
      <c r="D428" t="str">
        <f>"Ferguson, Niall"</f>
        <v>Ferguson, Niall</v>
      </c>
      <c r="F428" t="str">
        <f>"153 p."</f>
        <v>153 p.</v>
      </c>
      <c r="G428" s="1">
        <v>13</v>
      </c>
      <c r="H428">
        <v>2013</v>
      </c>
      <c r="I428" t="str">
        <f t="shared" si="14"/>
        <v>9: 300 - 399</v>
      </c>
      <c r="K428" t="str">
        <f>"LL - Reserve Cart"</f>
        <v>LL - Reserve Cart</v>
      </c>
      <c r="L428" s="1">
        <v>32</v>
      </c>
      <c r="M428" t="s">
        <v>407</v>
      </c>
      <c r="O428" t="s">
        <v>28</v>
      </c>
      <c r="P428">
        <v>3</v>
      </c>
      <c r="Q428">
        <v>3</v>
      </c>
      <c r="R428">
        <v>12</v>
      </c>
      <c r="S428" s="2">
        <v>41439</v>
      </c>
      <c r="T428" s="2">
        <v>41631</v>
      </c>
      <c r="U428" s="2">
        <v>43813</v>
      </c>
      <c r="V428" s="2">
        <v>43822</v>
      </c>
    </row>
    <row r="429" spans="1:22" x14ac:dyDescent="0.2">
      <c r="A429" t="str">
        <f>"306 GEL"</f>
        <v>306 GEL</v>
      </c>
      <c r="B429" t="str">
        <f>"Rule makers, rule breakers: how tight an"</f>
        <v>Rule makers, rule breakers: how tight an</v>
      </c>
      <c r="C429">
        <v>350321</v>
      </c>
      <c r="D429" t="str">
        <f>"Gelfand, Michele J."</f>
        <v>Gelfand, Michele J.</v>
      </c>
      <c r="F429" t="str">
        <f>"376 pages, 24 cm, illustrations"</f>
        <v>376 pages, 24 cm, illustrations</v>
      </c>
      <c r="G429" s="1">
        <v>18</v>
      </c>
      <c r="H429">
        <v>2018</v>
      </c>
      <c r="I429" t="str">
        <f t="shared" si="14"/>
        <v>9: 300 - 399</v>
      </c>
      <c r="K429" t="str">
        <f>"WB - In"</f>
        <v>WB - In</v>
      </c>
      <c r="L429" s="1">
        <v>33</v>
      </c>
      <c r="M429" t="s">
        <v>408</v>
      </c>
      <c r="O429" t="s">
        <v>28</v>
      </c>
      <c r="P429">
        <v>5</v>
      </c>
      <c r="Q429">
        <v>1</v>
      </c>
      <c r="R429">
        <v>6</v>
      </c>
      <c r="S429" s="2">
        <v>43375</v>
      </c>
      <c r="T429" s="2">
        <v>43607</v>
      </c>
      <c r="U429" s="2">
        <v>43564</v>
      </c>
      <c r="V429" s="2">
        <v>43615</v>
      </c>
    </row>
    <row r="430" spans="1:22" x14ac:dyDescent="0.2">
      <c r="A430" t="str">
        <f>"306 HAR"</f>
        <v>306 HAR</v>
      </c>
      <c r="B430" t="str">
        <f>"50 popular beliefs that people think are"</f>
        <v>50 popular beliefs that people think are</v>
      </c>
      <c r="C430">
        <v>304841</v>
      </c>
      <c r="D430" t="str">
        <f>"Harrison, Guy P."</f>
        <v>Harrison, Guy P.</v>
      </c>
      <c r="F430" t="str">
        <f>"458 p."</f>
        <v>458 p.</v>
      </c>
      <c r="G430" s="1">
        <v>11</v>
      </c>
      <c r="H430">
        <v>2011</v>
      </c>
      <c r="I430" t="str">
        <f t="shared" si="14"/>
        <v>9: 300 - 399</v>
      </c>
      <c r="K430" t="str">
        <f>"WB - In"</f>
        <v>WB - In</v>
      </c>
      <c r="L430" s="1">
        <v>23</v>
      </c>
      <c r="M430" t="s">
        <v>409</v>
      </c>
      <c r="O430" t="s">
        <v>28</v>
      </c>
      <c r="P430">
        <v>1</v>
      </c>
      <c r="Q430">
        <v>1</v>
      </c>
      <c r="R430">
        <v>25</v>
      </c>
      <c r="S430" s="2">
        <v>40906</v>
      </c>
      <c r="T430" s="2">
        <v>41418</v>
      </c>
      <c r="U430" s="2">
        <v>42784</v>
      </c>
      <c r="V430" s="2">
        <v>43767</v>
      </c>
    </row>
    <row r="431" spans="1:22" x14ac:dyDescent="0.2">
      <c r="A431" t="str">
        <f>"306 KAP"</f>
        <v>306 KAP</v>
      </c>
      <c r="B431" t="str">
        <f>"Earning the Rockies: how geography shape"</f>
        <v>Earning the Rockies: how geography shape</v>
      </c>
      <c r="C431">
        <v>339713</v>
      </c>
      <c r="D431" t="str">
        <f>"Kaplan, Robert D."</f>
        <v>Kaplan, Robert D.</v>
      </c>
      <c r="F431" t="str">
        <f>"201 pages, 25 cm, illustrations, map"</f>
        <v>201 pages, 25 cm, illustrations, map</v>
      </c>
      <c r="G431" s="1">
        <v>17</v>
      </c>
      <c r="H431">
        <v>2017</v>
      </c>
      <c r="I431" t="str">
        <f t="shared" si="14"/>
        <v>9: 300 - 399</v>
      </c>
      <c r="K431" t="str">
        <f>"WB - In"</f>
        <v>WB - In</v>
      </c>
      <c r="L431" s="1">
        <v>32</v>
      </c>
      <c r="M431" t="s">
        <v>410</v>
      </c>
      <c r="O431" t="s">
        <v>28</v>
      </c>
      <c r="P431">
        <v>9</v>
      </c>
      <c r="Q431">
        <v>0</v>
      </c>
      <c r="R431">
        <v>9</v>
      </c>
      <c r="S431" s="2">
        <v>42779</v>
      </c>
      <c r="T431" s="2">
        <v>42943</v>
      </c>
      <c r="U431" s="2">
        <v>43803</v>
      </c>
    </row>
    <row r="432" spans="1:22" x14ac:dyDescent="0.2">
      <c r="A432" t="str">
        <f>"306 LED"</f>
        <v>306 LED</v>
      </c>
      <c r="B432" t="str">
        <f>"Sh*tshow!: the country's collapsing-- an"</f>
        <v>Sh*tshow!: the country's collapsing-- an</v>
      </c>
      <c r="C432">
        <v>348927</v>
      </c>
      <c r="D432" t="str">
        <f>"LeDuff, Charlie."</f>
        <v>LeDuff, Charlie.</v>
      </c>
      <c r="F432" t="str">
        <f>"276 pages, 24 cm"</f>
        <v>276 pages, 24 cm</v>
      </c>
      <c r="G432" s="1">
        <v>18</v>
      </c>
      <c r="H432">
        <v>2018</v>
      </c>
      <c r="I432" t="str">
        <f t="shared" si="14"/>
        <v>9: 300 - 399</v>
      </c>
      <c r="K432" t="str">
        <f>"WB - In"</f>
        <v>WB - In</v>
      </c>
      <c r="L432" s="1">
        <v>32</v>
      </c>
      <c r="M432" t="s">
        <v>411</v>
      </c>
      <c r="O432" t="s">
        <v>28</v>
      </c>
      <c r="P432">
        <v>4</v>
      </c>
      <c r="Q432">
        <v>1</v>
      </c>
      <c r="R432">
        <v>5</v>
      </c>
      <c r="S432" s="2">
        <v>43304</v>
      </c>
      <c r="T432" s="2">
        <v>43461</v>
      </c>
      <c r="U432" s="2">
        <v>43404</v>
      </c>
      <c r="V432" s="2">
        <v>43673</v>
      </c>
    </row>
    <row r="433" spans="1:22" x14ac:dyDescent="0.2">
      <c r="A433" t="str">
        <f>"306 MEA"</f>
        <v>306 MEA</v>
      </c>
      <c r="B433" t="str">
        <f>"Coming of age in Samoa: a psychological "</f>
        <v xml:space="preserve">Coming of age in Samoa: a psychological </v>
      </c>
      <c r="C433">
        <v>322815</v>
      </c>
      <c r="D433" t="str">
        <f>"Mead, Margaret,"</f>
        <v>Mead, Margaret,</v>
      </c>
      <c r="F433" t="str">
        <f>"xxviii, 223 p., 21 cm"</f>
        <v>xxviii, 223 p., 21 cm</v>
      </c>
      <c r="G433" s="1">
        <v>14</v>
      </c>
      <c r="H433">
        <v>2001</v>
      </c>
      <c r="I433" t="str">
        <f t="shared" si="14"/>
        <v>9: 300 - 399</v>
      </c>
      <c r="K433" t="str">
        <f>"LL - In"</f>
        <v>LL - In</v>
      </c>
      <c r="L433" s="1">
        <v>20</v>
      </c>
      <c r="M433" t="s">
        <v>412</v>
      </c>
      <c r="O433" t="s">
        <v>28</v>
      </c>
      <c r="P433">
        <v>0</v>
      </c>
      <c r="Q433">
        <v>0</v>
      </c>
      <c r="R433">
        <v>3</v>
      </c>
      <c r="S433" s="2">
        <v>41849</v>
      </c>
      <c r="T433" s="2">
        <v>41859</v>
      </c>
      <c r="U433" s="2">
        <v>42012</v>
      </c>
      <c r="V433" s="2">
        <v>42383</v>
      </c>
    </row>
    <row r="434" spans="1:22" x14ac:dyDescent="0.2">
      <c r="A434" t="str">
        <f>"306 PAR"</f>
        <v>306 PAR</v>
      </c>
      <c r="B434" t="str">
        <f>"Nordic theory of everything: in search o"</f>
        <v>Nordic theory of everything: in search o</v>
      </c>
      <c r="C434">
        <v>340702</v>
      </c>
      <c r="D434" t="str">
        <f>"Partanen, Anu"</f>
        <v>Partanen, Anu</v>
      </c>
      <c r="F434" t="str">
        <f>"v, 418 pages, 24 cm"</f>
        <v>v, 418 pages, 24 cm</v>
      </c>
      <c r="G434" s="1">
        <v>17</v>
      </c>
      <c r="H434">
        <v>2016</v>
      </c>
      <c r="I434" t="str">
        <f t="shared" si="14"/>
        <v>9: 300 - 399</v>
      </c>
      <c r="K434" t="str">
        <f>"WB - In"</f>
        <v>WB - In</v>
      </c>
      <c r="L434" s="1">
        <v>33</v>
      </c>
      <c r="M434" t="s">
        <v>413</v>
      </c>
      <c r="O434" t="s">
        <v>28</v>
      </c>
      <c r="P434">
        <v>14</v>
      </c>
      <c r="Q434">
        <v>0</v>
      </c>
      <c r="R434">
        <v>14</v>
      </c>
      <c r="S434" s="2">
        <v>42835</v>
      </c>
      <c r="T434" s="2">
        <v>43082</v>
      </c>
      <c r="U434" s="2">
        <v>43782</v>
      </c>
    </row>
    <row r="435" spans="1:22" x14ac:dyDescent="0.2">
      <c r="A435" t="str">
        <f>"306 POU"</f>
        <v>306 POU</v>
      </c>
      <c r="B435" t="str">
        <f>"Head in the cloud: why knowing things st"</f>
        <v>Head in the cloud: why knowing things st</v>
      </c>
      <c r="C435">
        <v>336723</v>
      </c>
      <c r="D435" t="str">
        <f>"Poundstone, William"</f>
        <v>Poundstone, William</v>
      </c>
      <c r="F435" t="str">
        <f>"x, 340 pages, 22 cm, illustrations"</f>
        <v>x, 340 pages, 22 cm, illustrations</v>
      </c>
      <c r="G435" s="1">
        <v>16</v>
      </c>
      <c r="H435">
        <v>2016</v>
      </c>
      <c r="I435" t="str">
        <f t="shared" si="14"/>
        <v>9: 300 - 399</v>
      </c>
      <c r="K435" t="str">
        <f>"LL - In"</f>
        <v>LL - In</v>
      </c>
      <c r="L435" s="1">
        <v>31</v>
      </c>
      <c r="M435" t="s">
        <v>414</v>
      </c>
      <c r="O435" t="s">
        <v>28</v>
      </c>
      <c r="P435">
        <v>3</v>
      </c>
      <c r="Q435">
        <v>1</v>
      </c>
      <c r="R435">
        <v>13</v>
      </c>
      <c r="S435" s="2">
        <v>42591</v>
      </c>
      <c r="T435" s="2">
        <v>42796</v>
      </c>
      <c r="U435" s="2">
        <v>43701</v>
      </c>
      <c r="V435" s="2">
        <v>42793</v>
      </c>
    </row>
    <row r="436" spans="1:22" x14ac:dyDescent="0.2">
      <c r="A436" t="str">
        <f>"306 RAT"</f>
        <v>306 RAT</v>
      </c>
      <c r="B436" t="str">
        <f>"Don't make me pull over!: an informal hi"</f>
        <v>Don't make me pull over!: an informal hi</v>
      </c>
      <c r="C436">
        <v>349554</v>
      </c>
      <c r="D436" t="str">
        <f>"Ratay, Richard"</f>
        <v>Ratay, Richard</v>
      </c>
      <c r="F436" t="str">
        <f>"xii, 272 pages, 24 cm"</f>
        <v>xii, 272 pages, 24 cm</v>
      </c>
      <c r="G436" s="1">
        <v>18</v>
      </c>
      <c r="H436">
        <v>2018</v>
      </c>
      <c r="I436" t="str">
        <f t="shared" si="14"/>
        <v>9: 300 - 399</v>
      </c>
      <c r="K436" t="str">
        <f>"LL - In"</f>
        <v>LL - In</v>
      </c>
      <c r="L436" s="1">
        <v>32</v>
      </c>
      <c r="M436" t="s">
        <v>415</v>
      </c>
      <c r="O436" t="s">
        <v>28</v>
      </c>
      <c r="P436">
        <v>7</v>
      </c>
      <c r="Q436">
        <v>0</v>
      </c>
      <c r="R436">
        <v>7</v>
      </c>
      <c r="S436" s="2">
        <v>43340</v>
      </c>
      <c r="T436" s="2">
        <v>43495</v>
      </c>
      <c r="U436" s="2">
        <v>43509</v>
      </c>
    </row>
    <row r="437" spans="1:22" x14ac:dyDescent="0.2">
      <c r="A437" t="str">
        <f>"306 SHA"</f>
        <v>306 SHA</v>
      </c>
      <c r="B437" t="str">
        <f>"right side of history: how reason and mo"</f>
        <v>right side of history: how reason and mo</v>
      </c>
      <c r="C437">
        <v>354222</v>
      </c>
      <c r="D437" t="str">
        <f>"Shapiro, Ben."</f>
        <v>Shapiro, Ben.</v>
      </c>
      <c r="F437" t="str">
        <f>"xxvii, 256 pages, 24 cm"</f>
        <v>xxvii, 256 pages, 24 cm</v>
      </c>
      <c r="G437" s="1">
        <v>19</v>
      </c>
      <c r="H437">
        <v>2019</v>
      </c>
      <c r="I437" t="str">
        <f t="shared" si="14"/>
        <v>9: 300 - 399</v>
      </c>
      <c r="K437" t="str">
        <f>"WB - In"</f>
        <v>WB - In</v>
      </c>
      <c r="L437" s="1">
        <v>33</v>
      </c>
      <c r="M437" t="s">
        <v>416</v>
      </c>
      <c r="O437" t="s">
        <v>28</v>
      </c>
      <c r="P437">
        <v>7</v>
      </c>
      <c r="Q437">
        <v>0</v>
      </c>
      <c r="R437">
        <v>7</v>
      </c>
      <c r="S437" s="2">
        <v>43572</v>
      </c>
      <c r="T437" s="2">
        <v>43780</v>
      </c>
      <c r="U437" s="2">
        <v>43758</v>
      </c>
    </row>
    <row r="438" spans="1:22" x14ac:dyDescent="0.2">
      <c r="A438" t="str">
        <f>"306 SUS"</f>
        <v>306 SUS</v>
      </c>
      <c r="B438" t="str">
        <f>"Sustainable planet: solutions for the tw"</f>
        <v>Sustainable planet: solutions for the tw</v>
      </c>
      <c r="C438">
        <v>305900</v>
      </c>
      <c r="F438" t="str">
        <f>"xi, 273 p., 23 cm., ill."</f>
        <v>xi, 273 p., 23 cm., ill.</v>
      </c>
      <c r="G438" s="1">
        <v>12</v>
      </c>
      <c r="H438">
        <v>2002</v>
      </c>
      <c r="I438" t="str">
        <f t="shared" si="14"/>
        <v>9: 300 - 399</v>
      </c>
      <c r="K438" t="str">
        <f>"WB - In"</f>
        <v>WB - In</v>
      </c>
      <c r="L438" s="1">
        <v>27</v>
      </c>
      <c r="M438" t="s">
        <v>417</v>
      </c>
      <c r="O438" t="s">
        <v>28</v>
      </c>
      <c r="P438">
        <v>2</v>
      </c>
      <c r="Q438">
        <v>0</v>
      </c>
      <c r="R438">
        <v>6</v>
      </c>
      <c r="S438" s="2">
        <v>40967</v>
      </c>
      <c r="T438" s="2">
        <v>41053</v>
      </c>
      <c r="U438" s="2">
        <v>43196</v>
      </c>
      <c r="V438" s="2">
        <v>41540</v>
      </c>
    </row>
    <row r="439" spans="1:22" x14ac:dyDescent="0.2">
      <c r="A439" t="str">
        <f>"306.2 DOW"</f>
        <v>306.2 DOW</v>
      </c>
      <c r="B439" t="str">
        <f>"new way: embracing the paradox as we lea"</f>
        <v>new way: embracing the paradox as we lea</v>
      </c>
      <c r="C439">
        <v>341013</v>
      </c>
      <c r="D439" t="str">
        <f>"Dowd, Matthew J."</f>
        <v>Dowd, Matthew J.</v>
      </c>
      <c r="F439" t="str">
        <f>"205 pages, 22 cm"</f>
        <v>205 pages, 22 cm</v>
      </c>
      <c r="G439" s="1">
        <v>17</v>
      </c>
      <c r="H439">
        <v>2017</v>
      </c>
      <c r="I439" t="str">
        <f t="shared" si="14"/>
        <v>9: 300 - 399</v>
      </c>
      <c r="K439" t="str">
        <f>"WB - In"</f>
        <v>WB - In</v>
      </c>
      <c r="L439" s="1">
        <v>20</v>
      </c>
      <c r="M439" t="s">
        <v>418</v>
      </c>
      <c r="O439" t="s">
        <v>28</v>
      </c>
      <c r="P439">
        <v>7</v>
      </c>
      <c r="Q439">
        <v>0</v>
      </c>
      <c r="R439">
        <v>7</v>
      </c>
      <c r="S439" s="2">
        <v>42849</v>
      </c>
      <c r="T439" s="2">
        <v>43040</v>
      </c>
      <c r="U439" s="2">
        <v>43573</v>
      </c>
    </row>
    <row r="440" spans="1:22" x14ac:dyDescent="0.2">
      <c r="A440" t="str">
        <f>"306.2 FIE"</f>
        <v>306.2 FIE</v>
      </c>
      <c r="B440" t="str">
        <f>"Barons of the Beltway: inside the prince"</f>
        <v>Barons of the Beltway: inside the prince</v>
      </c>
      <c r="C440">
        <v>335833</v>
      </c>
      <c r="D440" t="str">
        <f>"Fields, Michelle"</f>
        <v>Fields, Michelle</v>
      </c>
      <c r="F440" t="str">
        <f>"285 p."</f>
        <v>285 p.</v>
      </c>
      <c r="G440" s="1">
        <v>16</v>
      </c>
      <c r="H440">
        <v>2016</v>
      </c>
      <c r="I440" t="str">
        <f t="shared" si="14"/>
        <v>9: 300 - 399</v>
      </c>
      <c r="K440" t="str">
        <f>"WB - In"</f>
        <v>WB - In</v>
      </c>
      <c r="L440" s="1">
        <v>31</v>
      </c>
      <c r="M440" t="s">
        <v>419</v>
      </c>
      <c r="O440" t="s">
        <v>28</v>
      </c>
      <c r="P440">
        <v>0</v>
      </c>
      <c r="Q440">
        <v>0</v>
      </c>
      <c r="R440">
        <v>6</v>
      </c>
      <c r="S440" s="2">
        <v>42548</v>
      </c>
      <c r="T440" s="2">
        <v>42678</v>
      </c>
      <c r="U440" s="2">
        <v>42642</v>
      </c>
      <c r="V440" s="2">
        <v>42633</v>
      </c>
    </row>
    <row r="441" spans="1:22" x14ac:dyDescent="0.2">
      <c r="A441" t="str">
        <f>"306.2 HIT"</f>
        <v>306.2 HIT</v>
      </c>
      <c r="B441" t="str">
        <f>"Love, poverty, and war: journeys and ess"</f>
        <v>Love, poverty, and war: journeys and ess</v>
      </c>
      <c r="C441">
        <v>117782</v>
      </c>
      <c r="D441" t="str">
        <f>"Hitchens, Christopher"</f>
        <v>Hitchens, Christopher</v>
      </c>
      <c r="F441" t="str">
        <f>"xv, 475 p., 23 cm."</f>
        <v>xv, 475 p., 23 cm.</v>
      </c>
      <c r="G441" s="1">
        <v>5</v>
      </c>
      <c r="H441">
        <v>2004</v>
      </c>
      <c r="I441" t="str">
        <f t="shared" si="14"/>
        <v>9: 300 - 399</v>
      </c>
      <c r="K441" t="str">
        <f>"WB - In"</f>
        <v>WB - In</v>
      </c>
      <c r="L441" s="1">
        <v>22</v>
      </c>
      <c r="M441" t="s">
        <v>420</v>
      </c>
      <c r="O441" t="s">
        <v>28</v>
      </c>
      <c r="P441">
        <v>4</v>
      </c>
      <c r="Q441">
        <v>0</v>
      </c>
      <c r="R441">
        <v>38</v>
      </c>
      <c r="S441" s="2">
        <v>38398</v>
      </c>
      <c r="T441" s="2">
        <v>41053</v>
      </c>
      <c r="U441" s="2">
        <v>43386</v>
      </c>
    </row>
    <row r="442" spans="1:22" x14ac:dyDescent="0.2">
      <c r="A442" t="str">
        <f>"306.2 HOW"</f>
        <v>306.2 HOW</v>
      </c>
      <c r="B442" t="str">
        <f>"Try common sense: replacing the failed i"</f>
        <v>Try common sense: replacing the failed i</v>
      </c>
      <c r="C442">
        <v>352695</v>
      </c>
      <c r="D442" t="str">
        <f>"Howard, Philip K."</f>
        <v>Howard, Philip K.</v>
      </c>
      <c r="F442" t="str">
        <f>"240 pages, 22 cm"</f>
        <v>240 pages, 22 cm</v>
      </c>
      <c r="G442" s="1">
        <v>19</v>
      </c>
      <c r="H442">
        <v>2019</v>
      </c>
      <c r="I442" t="str">
        <f t="shared" si="14"/>
        <v>9: 300 - 399</v>
      </c>
      <c r="K442" t="str">
        <f>"LL - In"</f>
        <v>LL - In</v>
      </c>
      <c r="L442" s="1">
        <v>31</v>
      </c>
      <c r="M442" t="s">
        <v>421</v>
      </c>
      <c r="O442" t="s">
        <v>28</v>
      </c>
      <c r="P442">
        <v>3</v>
      </c>
      <c r="Q442">
        <v>0</v>
      </c>
      <c r="R442">
        <v>4</v>
      </c>
      <c r="S442" s="2">
        <v>43501</v>
      </c>
      <c r="T442" s="2">
        <v>43689</v>
      </c>
      <c r="U442" s="2">
        <v>43670</v>
      </c>
    </row>
    <row r="443" spans="1:22" x14ac:dyDescent="0.2">
      <c r="A443" t="str">
        <f>"306.2 KOR"</f>
        <v>306.2 KOR</v>
      </c>
      <c r="B443" t="str">
        <f>"red and the blue: the 1990s and the birt"</f>
        <v>red and the blue: the 1990s and the birt</v>
      </c>
      <c r="C443">
        <v>350976</v>
      </c>
      <c r="D443" t="str">
        <f>"Kornacki, Steve,"</f>
        <v>Kornacki, Steve,</v>
      </c>
      <c r="F443" t="str">
        <f>"497 pages, 16 pages of unnumbered plates, 24 cm"</f>
        <v>497 pages, 16 pages of unnumbered plates, 24 cm</v>
      </c>
      <c r="G443" s="1">
        <v>18</v>
      </c>
      <c r="H443">
        <v>2018</v>
      </c>
      <c r="I443" t="str">
        <f t="shared" si="14"/>
        <v>9: 300 - 399</v>
      </c>
      <c r="K443" t="str">
        <f>"WB - In"</f>
        <v>WB - In</v>
      </c>
      <c r="L443" s="1">
        <v>35</v>
      </c>
      <c r="M443" t="s">
        <v>422</v>
      </c>
      <c r="O443" t="s">
        <v>28</v>
      </c>
      <c r="P443">
        <v>3</v>
      </c>
      <c r="Q443">
        <v>0</v>
      </c>
      <c r="R443">
        <v>3</v>
      </c>
      <c r="S443" s="2">
        <v>43402</v>
      </c>
      <c r="T443" s="2">
        <v>43586</v>
      </c>
      <c r="U443" s="2">
        <v>43546</v>
      </c>
    </row>
    <row r="444" spans="1:22" x14ac:dyDescent="0.2">
      <c r="A444" t="str">
        <f>"306.2 LEV"</f>
        <v>306.2 LEV</v>
      </c>
      <c r="B444" t="str">
        <f>"fractured republic: renewing America's s"</f>
        <v>fractured republic: renewing America's s</v>
      </c>
      <c r="C444">
        <v>335510</v>
      </c>
      <c r="D444" t="str">
        <f>"Levin, Yuval"</f>
        <v>Levin, Yuval</v>
      </c>
      <c r="F444" t="str">
        <f>"vii, 262 pages, 24 cm, illustrations"</f>
        <v>vii, 262 pages, 24 cm, illustrations</v>
      </c>
      <c r="G444" s="1">
        <v>16</v>
      </c>
      <c r="H444">
        <v>2016</v>
      </c>
      <c r="I444" t="str">
        <f t="shared" si="14"/>
        <v>9: 300 - 399</v>
      </c>
      <c r="K444" t="str">
        <f>"WB - Out"</f>
        <v>WB - Out</v>
      </c>
      <c r="L444" s="1">
        <v>33</v>
      </c>
      <c r="M444" t="s">
        <v>423</v>
      </c>
      <c r="O444" t="s">
        <v>28</v>
      </c>
      <c r="P444">
        <v>2</v>
      </c>
      <c r="Q444">
        <v>0</v>
      </c>
      <c r="R444">
        <v>5</v>
      </c>
      <c r="S444" s="2">
        <v>42528</v>
      </c>
      <c r="T444" s="2">
        <v>42677</v>
      </c>
      <c r="U444" s="2">
        <v>43852</v>
      </c>
    </row>
    <row r="445" spans="1:22" x14ac:dyDescent="0.2">
      <c r="A445" t="str">
        <f>"306.2 LUK"</f>
        <v>306.2 LUK</v>
      </c>
      <c r="B445" t="str">
        <f>"coddling of the American mind: how good "</f>
        <v xml:space="preserve">coddling of the American mind: how good </v>
      </c>
      <c r="C445">
        <v>349849</v>
      </c>
      <c r="D445" t="str">
        <f>"Lukianoff, Greg."</f>
        <v>Lukianoff, Greg.</v>
      </c>
      <c r="F445" t="str">
        <f>"338 pages, 25 cm, illustrations"</f>
        <v>338 pages, 25 cm, illustrations</v>
      </c>
      <c r="G445" s="1">
        <v>18</v>
      </c>
      <c r="H445">
        <v>2018</v>
      </c>
      <c r="I445" t="str">
        <f t="shared" si="14"/>
        <v>9: 300 - 399</v>
      </c>
      <c r="K445" t="str">
        <f>"LL - Out"</f>
        <v>LL - Out</v>
      </c>
      <c r="L445" s="1">
        <v>33</v>
      </c>
      <c r="M445" t="s">
        <v>424</v>
      </c>
      <c r="O445" t="s">
        <v>28</v>
      </c>
      <c r="P445">
        <v>16</v>
      </c>
      <c r="Q445">
        <v>0</v>
      </c>
      <c r="R445">
        <v>16</v>
      </c>
      <c r="S445" s="2">
        <v>43354</v>
      </c>
      <c r="T445" s="2">
        <v>43605</v>
      </c>
      <c r="U445" s="2">
        <v>43815</v>
      </c>
    </row>
    <row r="446" spans="1:22" x14ac:dyDescent="0.2">
      <c r="A446" t="str">
        <f>"306.2 MAR"</f>
        <v>306.2 MAR</v>
      </c>
      <c r="B446" t="str">
        <f>"flag worth dying for: the power and poli"</f>
        <v>flag worth dying for: the power and poli</v>
      </c>
      <c r="C446">
        <v>342621</v>
      </c>
      <c r="D446" t="str">
        <f>"Marshall, Tim,"</f>
        <v>Marshall, Tim,</v>
      </c>
      <c r="F446" t="str">
        <f>"x, 290 pages, 24 cm, color illustrations"</f>
        <v>x, 290 pages, 24 cm, color illustrations</v>
      </c>
      <c r="G446" s="1">
        <v>17</v>
      </c>
      <c r="H446">
        <v>2017</v>
      </c>
      <c r="I446" t="str">
        <f t="shared" si="14"/>
        <v>9: 300 - 399</v>
      </c>
      <c r="K446" t="str">
        <f t="shared" ref="K446:K451" si="16">"WB - In"</f>
        <v>WB - In</v>
      </c>
      <c r="L446" s="1">
        <v>31</v>
      </c>
      <c r="M446" t="s">
        <v>425</v>
      </c>
      <c r="O446" t="s">
        <v>28</v>
      </c>
      <c r="P446">
        <v>3</v>
      </c>
      <c r="Q446">
        <v>1</v>
      </c>
      <c r="R446">
        <v>4</v>
      </c>
      <c r="S446" s="2">
        <v>42940</v>
      </c>
      <c r="T446" s="2">
        <v>43122</v>
      </c>
      <c r="U446" s="2">
        <v>43091</v>
      </c>
      <c r="V446" s="2">
        <v>42958</v>
      </c>
    </row>
    <row r="447" spans="1:22" x14ac:dyDescent="0.2">
      <c r="A447" t="str">
        <f>"306.2 MET"</f>
        <v>306.2 MET</v>
      </c>
      <c r="B447" t="str">
        <f>"government-citizen disconnect"</f>
        <v>government-citizen disconnect</v>
      </c>
      <c r="C447">
        <v>402473</v>
      </c>
      <c r="D447" t="str">
        <f>"Mettler, Suzanne"</f>
        <v>Mettler, Suzanne</v>
      </c>
      <c r="F447" t="str">
        <f>"182 p."</f>
        <v>182 p.</v>
      </c>
      <c r="G447" s="1">
        <v>18</v>
      </c>
      <c r="H447">
        <v>2018</v>
      </c>
      <c r="I447" t="str">
        <f t="shared" si="14"/>
        <v>9: 300 - 399</v>
      </c>
      <c r="K447" t="str">
        <f t="shared" si="16"/>
        <v>WB - In</v>
      </c>
      <c r="L447" s="1">
        <v>35</v>
      </c>
      <c r="M447" t="s">
        <v>426</v>
      </c>
      <c r="O447" t="s">
        <v>28</v>
      </c>
      <c r="P447">
        <v>3</v>
      </c>
      <c r="Q447">
        <v>0</v>
      </c>
      <c r="R447">
        <v>3</v>
      </c>
      <c r="S447" s="2">
        <v>43314</v>
      </c>
      <c r="T447" s="2">
        <v>43474</v>
      </c>
      <c r="U447" s="2">
        <v>43442</v>
      </c>
    </row>
    <row r="448" spans="1:22" x14ac:dyDescent="0.2">
      <c r="A448" t="str">
        <f>"306.2 MON"</f>
        <v>306.2 MON</v>
      </c>
      <c r="B448" t="str">
        <f>"Out of the wreckage: a new politics for "</f>
        <v xml:space="preserve">Out of the wreckage: a new politics for </v>
      </c>
      <c r="C448">
        <v>343993</v>
      </c>
      <c r="D448" t="str">
        <f>"Monbiot, George"</f>
        <v>Monbiot, George</v>
      </c>
      <c r="F448" t="str">
        <f>"214 p."</f>
        <v>214 p.</v>
      </c>
      <c r="G448" s="1">
        <v>17</v>
      </c>
      <c r="H448">
        <v>2017</v>
      </c>
      <c r="I448" t="str">
        <f t="shared" si="14"/>
        <v>9: 300 - 399</v>
      </c>
      <c r="K448" t="str">
        <f t="shared" si="16"/>
        <v>WB - In</v>
      </c>
      <c r="L448" s="1">
        <v>30</v>
      </c>
      <c r="M448" t="s">
        <v>427</v>
      </c>
      <c r="O448" t="s">
        <v>28</v>
      </c>
      <c r="P448">
        <v>2</v>
      </c>
      <c r="Q448">
        <v>0</v>
      </c>
      <c r="R448">
        <v>2</v>
      </c>
      <c r="S448" s="2">
        <v>43018</v>
      </c>
      <c r="T448" s="2">
        <v>43187</v>
      </c>
      <c r="U448" s="2">
        <v>43125</v>
      </c>
    </row>
    <row r="449" spans="1:22" x14ac:dyDescent="0.2">
      <c r="A449" t="str">
        <f>"306.2 NUS"</f>
        <v>306.2 NUS</v>
      </c>
      <c r="B449" t="str">
        <f>"monarchy of fear: a philosopher looks at"</f>
        <v>monarchy of fear: a philosopher looks at</v>
      </c>
      <c r="C449">
        <v>349334</v>
      </c>
      <c r="D449" t="str">
        <f>"Nussbaum, Martha Craven"</f>
        <v>Nussbaum, Martha Craven</v>
      </c>
      <c r="F449" t="str">
        <f>"xviii, 249 pages, 22 cm"</f>
        <v>xviii, 249 pages, 22 cm</v>
      </c>
      <c r="G449" s="1">
        <v>18</v>
      </c>
      <c r="H449">
        <v>2018</v>
      </c>
      <c r="I449" t="str">
        <f t="shared" si="14"/>
        <v>9: 300 - 399</v>
      </c>
      <c r="K449" t="str">
        <f t="shared" si="16"/>
        <v>WB - In</v>
      </c>
      <c r="L449" s="1">
        <v>31</v>
      </c>
      <c r="M449" t="s">
        <v>428</v>
      </c>
      <c r="O449" t="s">
        <v>28</v>
      </c>
      <c r="P449">
        <v>7</v>
      </c>
      <c r="Q449">
        <v>0</v>
      </c>
      <c r="R449">
        <v>7</v>
      </c>
      <c r="S449" s="2">
        <v>43326</v>
      </c>
      <c r="T449" s="2">
        <v>43481</v>
      </c>
      <c r="U449" s="2">
        <v>43723</v>
      </c>
    </row>
    <row r="450" spans="1:22" x14ac:dyDescent="0.2">
      <c r="A450" t="str">
        <f>"306.2 SEH"</f>
        <v>306.2 SEH</v>
      </c>
      <c r="B450" t="str">
        <f>"Jefferson rule: how the Founding Fathers"</f>
        <v>Jefferson rule: how the Founding Fathers</v>
      </c>
      <c r="C450">
        <v>290981</v>
      </c>
      <c r="D450" t="str">
        <f>"Sehat, David"</f>
        <v>Sehat, David</v>
      </c>
      <c r="F450" t="str">
        <f>"viii, 308 pages, 25 cm"</f>
        <v>viii, 308 pages, 25 cm</v>
      </c>
      <c r="G450" s="1">
        <v>16</v>
      </c>
      <c r="H450">
        <v>2015</v>
      </c>
      <c r="I450" t="str">
        <f t="shared" si="14"/>
        <v>9: 300 - 399</v>
      </c>
      <c r="K450" t="str">
        <f t="shared" si="16"/>
        <v>WB - In</v>
      </c>
      <c r="L450" s="1">
        <v>21</v>
      </c>
      <c r="M450" t="s">
        <v>429</v>
      </c>
      <c r="O450" t="s">
        <v>28</v>
      </c>
      <c r="P450">
        <v>0</v>
      </c>
      <c r="Q450">
        <v>0</v>
      </c>
      <c r="R450">
        <v>2</v>
      </c>
      <c r="S450" s="2">
        <v>42653</v>
      </c>
      <c r="T450" s="2">
        <v>42654</v>
      </c>
      <c r="U450" s="2">
        <v>42682</v>
      </c>
    </row>
    <row r="451" spans="1:22" x14ac:dyDescent="0.2">
      <c r="A451" t="str">
        <f>"306.2 ZIT"</f>
        <v>306.2 ZIT</v>
      </c>
      <c r="B451" t="str">
        <f>"great revolt: inside the populist coalit"</f>
        <v>great revolt: inside the populist coalit</v>
      </c>
      <c r="C451">
        <v>348119</v>
      </c>
      <c r="D451" t="str">
        <f>"Zito, Salena"</f>
        <v>Zito, Salena</v>
      </c>
      <c r="F451" t="str">
        <f>"x, 309 pages, 25 cm"</f>
        <v>x, 309 pages, 25 cm</v>
      </c>
      <c r="G451" s="1">
        <v>18</v>
      </c>
      <c r="H451">
        <v>2018</v>
      </c>
      <c r="I451" t="str">
        <f t="shared" si="14"/>
        <v>9: 300 - 399</v>
      </c>
      <c r="K451" t="str">
        <f t="shared" si="16"/>
        <v>WB - In</v>
      </c>
      <c r="L451" s="1">
        <v>33</v>
      </c>
      <c r="M451" t="s">
        <v>430</v>
      </c>
      <c r="O451" t="s">
        <v>28</v>
      </c>
      <c r="P451">
        <v>5</v>
      </c>
      <c r="Q451">
        <v>0</v>
      </c>
      <c r="R451">
        <v>5</v>
      </c>
      <c r="S451" s="2">
        <v>43262</v>
      </c>
      <c r="T451" s="2">
        <v>43432</v>
      </c>
      <c r="U451" s="2">
        <v>43414</v>
      </c>
    </row>
    <row r="452" spans="1:22" x14ac:dyDescent="0.2">
      <c r="A452" t="str">
        <f>"306.3 BER"</f>
        <v>306.3 BER</v>
      </c>
      <c r="B452" t="str">
        <f>"price for their pound of flesh: the valu"</f>
        <v>price for their pound of flesh: the valu</v>
      </c>
      <c r="C452">
        <v>339889</v>
      </c>
      <c r="D452" t="str">
        <f>"Berry, Daina Ramey"</f>
        <v>Berry, Daina Ramey</v>
      </c>
      <c r="F452" t="str">
        <f>"xvi, 262 pages, 24 cm, illustrations"</f>
        <v>xvi, 262 pages, 24 cm, illustrations</v>
      </c>
      <c r="G452" s="1">
        <v>17</v>
      </c>
      <c r="H452">
        <v>2017</v>
      </c>
      <c r="I452" t="str">
        <f t="shared" si="14"/>
        <v>9: 300 - 399</v>
      </c>
      <c r="K452" t="str">
        <f>"LL - In"</f>
        <v>LL - In</v>
      </c>
      <c r="L452" s="1">
        <v>33</v>
      </c>
      <c r="M452" t="s">
        <v>431</v>
      </c>
      <c r="O452" t="s">
        <v>28</v>
      </c>
      <c r="P452">
        <v>6</v>
      </c>
      <c r="Q452">
        <v>1</v>
      </c>
      <c r="R452">
        <v>7</v>
      </c>
      <c r="S452" s="2">
        <v>42789</v>
      </c>
      <c r="T452" s="2">
        <v>42942</v>
      </c>
      <c r="U452" s="2">
        <v>43009</v>
      </c>
      <c r="V452" s="2">
        <v>43675</v>
      </c>
    </row>
    <row r="453" spans="1:22" x14ac:dyDescent="0.2">
      <c r="A453" t="str">
        <f>"306.3 CHA"</f>
        <v>306.3 CHA</v>
      </c>
      <c r="B453" t="str">
        <f>"Why do so many incompetent men become le"</f>
        <v>Why do so many incompetent men become le</v>
      </c>
      <c r="C453">
        <v>354231</v>
      </c>
      <c r="D453" t="str">
        <f>"Chamorro-Premuzic, Tomas"</f>
        <v>Chamorro-Premuzic, Tomas</v>
      </c>
      <c r="F453" t="str">
        <f>"218 pages, 22 cm"</f>
        <v>218 pages, 22 cm</v>
      </c>
      <c r="G453" s="1">
        <v>19</v>
      </c>
      <c r="H453">
        <v>2019</v>
      </c>
      <c r="I453" t="str">
        <f t="shared" si="14"/>
        <v>9: 300 - 399</v>
      </c>
      <c r="K453" t="str">
        <f>"WB - Out"</f>
        <v>WB - Out</v>
      </c>
      <c r="L453" s="1">
        <v>30</v>
      </c>
      <c r="M453" t="s">
        <v>432</v>
      </c>
      <c r="O453" t="s">
        <v>28</v>
      </c>
      <c r="P453">
        <v>7</v>
      </c>
      <c r="Q453">
        <v>0</v>
      </c>
      <c r="R453">
        <v>7</v>
      </c>
      <c r="S453" s="2">
        <v>43572</v>
      </c>
      <c r="T453" s="2">
        <v>43747</v>
      </c>
      <c r="U453" s="2">
        <v>43859</v>
      </c>
    </row>
    <row r="454" spans="1:22" x14ac:dyDescent="0.2">
      <c r="A454" t="str">
        <f>"306.3 DAV"</f>
        <v>306.3 DAV</v>
      </c>
      <c r="B454" t="str">
        <f>"problem of slavery in the age of emancip"</f>
        <v>problem of slavery in the age of emancip</v>
      </c>
      <c r="C454">
        <v>319707</v>
      </c>
      <c r="D454" t="str">
        <f>"Davis, David Brion"</f>
        <v>Davis, David Brion</v>
      </c>
      <c r="F454" t="str">
        <f>"422 p."</f>
        <v>422 p.</v>
      </c>
      <c r="G454" s="1">
        <v>14</v>
      </c>
      <c r="H454">
        <v>2014</v>
      </c>
      <c r="I454" t="str">
        <f t="shared" si="14"/>
        <v>9: 300 - 399</v>
      </c>
      <c r="K454" t="str">
        <f>"LL - In"</f>
        <v>LL - In</v>
      </c>
      <c r="L454" s="1">
        <v>35</v>
      </c>
      <c r="M454" t="s">
        <v>433</v>
      </c>
      <c r="O454" t="s">
        <v>28</v>
      </c>
      <c r="P454">
        <v>1</v>
      </c>
      <c r="Q454">
        <v>0</v>
      </c>
      <c r="R454">
        <v>4</v>
      </c>
      <c r="S454" s="2">
        <v>41676</v>
      </c>
      <c r="T454" s="2">
        <v>41779</v>
      </c>
      <c r="U454" s="2">
        <v>43768</v>
      </c>
      <c r="V454" s="2">
        <v>42065</v>
      </c>
    </row>
    <row r="455" spans="1:22" x14ac:dyDescent="0.2">
      <c r="A455" t="str">
        <f>"306.3 DEG"</f>
        <v>306.3 DEG</v>
      </c>
      <c r="B455" t="str">
        <f>"Affluenza: how overconsumption is killin"</f>
        <v>Affluenza: how overconsumption is killin</v>
      </c>
      <c r="C455">
        <v>343569</v>
      </c>
      <c r="D455" t="str">
        <f>"De Graaf, John."</f>
        <v>De Graaf, John.</v>
      </c>
      <c r="F455" t="str">
        <f>"x, 274 pages, 24 cm, illustrations"</f>
        <v>x, 274 pages, 24 cm, illustrations</v>
      </c>
      <c r="G455" s="1">
        <v>17</v>
      </c>
      <c r="H455">
        <v>2014</v>
      </c>
      <c r="I455" t="str">
        <f t="shared" si="14"/>
        <v>9: 300 - 399</v>
      </c>
      <c r="K455" t="str">
        <f>"WB - Out"</f>
        <v>WB - Out</v>
      </c>
      <c r="L455" s="1">
        <v>28</v>
      </c>
      <c r="M455" t="s">
        <v>434</v>
      </c>
      <c r="O455" t="s">
        <v>28</v>
      </c>
      <c r="P455">
        <v>4</v>
      </c>
      <c r="Q455">
        <v>0</v>
      </c>
      <c r="R455">
        <v>4</v>
      </c>
      <c r="S455" s="2">
        <v>42991</v>
      </c>
      <c r="T455" s="2">
        <v>42997</v>
      </c>
      <c r="U455" s="2">
        <v>43854</v>
      </c>
    </row>
    <row r="456" spans="1:22" x14ac:dyDescent="0.2">
      <c r="A456" t="str">
        <f>"306.3 FAR"</f>
        <v>306.3 FAR</v>
      </c>
      <c r="B456" t="str">
        <f>"Unretirement: how baby boomers are chang"</f>
        <v>Unretirement: how baby boomers are chang</v>
      </c>
      <c r="C456">
        <v>333074</v>
      </c>
      <c r="D456" t="str">
        <f>"Farrell, Chris"</f>
        <v>Farrell, Chris</v>
      </c>
      <c r="F456" t="str">
        <f>"245 pages, 25 cm"</f>
        <v>245 pages, 25 cm</v>
      </c>
      <c r="G456" s="1">
        <v>16</v>
      </c>
      <c r="H456">
        <v>2014</v>
      </c>
      <c r="I456" t="str">
        <f t="shared" ref="I456:I519" si="17">"9: 300 - 399"</f>
        <v>9: 300 - 399</v>
      </c>
      <c r="K456" t="str">
        <f>"WB - In"</f>
        <v>WB - In</v>
      </c>
      <c r="L456" s="1">
        <v>31</v>
      </c>
      <c r="M456" t="s">
        <v>435</v>
      </c>
      <c r="O456" t="s">
        <v>28</v>
      </c>
      <c r="P456">
        <v>3</v>
      </c>
      <c r="Q456">
        <v>1</v>
      </c>
      <c r="R456">
        <v>11</v>
      </c>
      <c r="S456" s="2">
        <v>42411</v>
      </c>
      <c r="T456" s="2">
        <v>42600</v>
      </c>
      <c r="U456" s="2">
        <v>43724</v>
      </c>
      <c r="V456" s="2">
        <v>43678</v>
      </c>
    </row>
    <row r="457" spans="1:22" x14ac:dyDescent="0.2">
      <c r="A457" t="str">
        <f>"306.3 FAR"</f>
        <v>306.3 FAR</v>
      </c>
      <c r="B457" t="str">
        <f>"Unretirement: how baby boomers are chang"</f>
        <v>Unretirement: how baby boomers are chang</v>
      </c>
      <c r="C457">
        <v>299838</v>
      </c>
      <c r="D457" t="str">
        <f>"Farrell, Chris"</f>
        <v>Farrell, Chris</v>
      </c>
      <c r="F457" t="str">
        <f>"245 pages, 25 cm"</f>
        <v>245 pages, 25 cm</v>
      </c>
      <c r="G457" s="1">
        <v>18</v>
      </c>
      <c r="H457">
        <v>2014</v>
      </c>
      <c r="I457" t="str">
        <f t="shared" si="17"/>
        <v>9: 300 - 399</v>
      </c>
      <c r="K457" t="str">
        <f>"LL - Out"</f>
        <v>LL - Out</v>
      </c>
      <c r="L457" s="1">
        <v>23</v>
      </c>
      <c r="M457" t="s">
        <v>435</v>
      </c>
      <c r="O457" t="s">
        <v>28</v>
      </c>
      <c r="P457">
        <v>2</v>
      </c>
      <c r="Q457">
        <v>0</v>
      </c>
      <c r="R457">
        <v>2</v>
      </c>
      <c r="S457" s="2">
        <v>43136</v>
      </c>
      <c r="T457" s="2">
        <v>43139</v>
      </c>
      <c r="U457" s="2">
        <v>43826</v>
      </c>
    </row>
    <row r="458" spans="1:22" x14ac:dyDescent="0.2">
      <c r="A458" t="str">
        <f>"306.3 MAY"</f>
        <v>306.3 MAY</v>
      </c>
      <c r="B458" t="str">
        <f>"American quilt: unfolding a story of fam"</f>
        <v>American quilt: unfolding a story of fam</v>
      </c>
      <c r="C458">
        <v>401401</v>
      </c>
      <c r="D458" t="str">
        <f>"May, Rachel"</f>
        <v>May, Rachel</v>
      </c>
      <c r="F458" t="str">
        <f>"ix, 452 pages, 16 unnumbered pages of plates, 24 cm, illustrations (some color), portraits, genealogical table"</f>
        <v>ix, 452 pages, 16 unnumbered pages of plates, 24 cm, illustrations (some color), portraits, genealogical table</v>
      </c>
      <c r="G458" s="1">
        <v>18</v>
      </c>
      <c r="H458">
        <v>2018</v>
      </c>
      <c r="I458" t="str">
        <f t="shared" si="17"/>
        <v>9: 300 - 399</v>
      </c>
      <c r="K458" t="str">
        <f>"LL - In"</f>
        <v>LL - In</v>
      </c>
      <c r="L458" s="1">
        <v>33</v>
      </c>
      <c r="M458" t="s">
        <v>436</v>
      </c>
      <c r="O458" t="s">
        <v>28</v>
      </c>
      <c r="P458">
        <v>5</v>
      </c>
      <c r="Q458">
        <v>0</v>
      </c>
      <c r="R458">
        <v>5</v>
      </c>
      <c r="S458" s="2">
        <v>43236</v>
      </c>
      <c r="T458" s="2">
        <v>43439</v>
      </c>
      <c r="U458" s="2">
        <v>43385</v>
      </c>
    </row>
    <row r="459" spans="1:22" x14ac:dyDescent="0.2">
      <c r="A459" t="str">
        <f>"306.3 NEW"</f>
        <v>306.3 NEW</v>
      </c>
      <c r="B459" t="str">
        <f>"Downhill from here: retirement insecurit"</f>
        <v>Downhill from here: retirement insecurit</v>
      </c>
      <c r="C459">
        <v>352971</v>
      </c>
      <c r="D459" t="str">
        <f>"Newman, Katherine S.,"</f>
        <v>Newman, Katherine S.,</v>
      </c>
      <c r="F459" t="str">
        <f>"322 pages, 25 cm, illustrations"</f>
        <v>322 pages, 25 cm, illustrations</v>
      </c>
      <c r="G459" s="1">
        <v>19</v>
      </c>
      <c r="H459">
        <v>2019</v>
      </c>
      <c r="I459" t="str">
        <f t="shared" si="17"/>
        <v>9: 300 - 399</v>
      </c>
      <c r="K459" t="str">
        <f>"LL - In"</f>
        <v>LL - In</v>
      </c>
      <c r="L459" s="1">
        <v>35</v>
      </c>
      <c r="M459" t="s">
        <v>437</v>
      </c>
      <c r="O459" t="s">
        <v>28</v>
      </c>
      <c r="P459">
        <v>2</v>
      </c>
      <c r="Q459">
        <v>1</v>
      </c>
      <c r="R459">
        <v>3</v>
      </c>
      <c r="S459" s="2">
        <v>43515</v>
      </c>
      <c r="T459" s="2">
        <v>43712</v>
      </c>
      <c r="U459" s="2">
        <v>43564</v>
      </c>
      <c r="V459" s="2">
        <v>43525</v>
      </c>
    </row>
    <row r="460" spans="1:22" x14ac:dyDescent="0.2">
      <c r="A460" t="str">
        <f>"306.3 OPP"</f>
        <v>306.3 OPP</v>
      </c>
      <c r="B460" t="str">
        <f>"robots are coming!: the future of jobs i"</f>
        <v>robots are coming!: the future of jobs i</v>
      </c>
      <c r="C460">
        <v>354474</v>
      </c>
      <c r="D460" t="str">
        <f>"Oppenheimer, Andres."</f>
        <v>Oppenheimer, Andres.</v>
      </c>
      <c r="F460" t="str">
        <f>"380 p."</f>
        <v>380 p.</v>
      </c>
      <c r="G460" s="1">
        <v>19</v>
      </c>
      <c r="H460">
        <v>2019</v>
      </c>
      <c r="I460" t="str">
        <f t="shared" si="17"/>
        <v>9: 300 - 399</v>
      </c>
      <c r="K460" t="str">
        <f>"WB - In"</f>
        <v>WB - In</v>
      </c>
      <c r="L460" s="1">
        <v>22</v>
      </c>
      <c r="M460" t="s">
        <v>438</v>
      </c>
      <c r="O460" t="s">
        <v>28</v>
      </c>
      <c r="P460">
        <v>3</v>
      </c>
      <c r="Q460">
        <v>0</v>
      </c>
      <c r="R460">
        <v>3</v>
      </c>
      <c r="S460" s="2">
        <v>43583</v>
      </c>
      <c r="T460" s="2">
        <v>43751</v>
      </c>
      <c r="U460" s="2">
        <v>43708</v>
      </c>
    </row>
    <row r="461" spans="1:22" x14ac:dyDescent="0.2">
      <c r="A461" t="str">
        <f>"306.3 RES"</f>
        <v>306.3 RES</v>
      </c>
      <c r="B461" t="str">
        <f>"other slavery: the uncovered story of In"</f>
        <v>other slavery: the uncovered story of In</v>
      </c>
      <c r="C461">
        <v>338056</v>
      </c>
      <c r="D461" t="str">
        <f>"Res�ndez, Andr�s"</f>
        <v>Res�ndez, Andr�s</v>
      </c>
      <c r="F461" t="str">
        <f>"xiii, 431 pages, 25 cm, illustrations, maps, charts"</f>
        <v>xiii, 431 pages, 25 cm, illustrations, maps, charts</v>
      </c>
      <c r="G461" s="1">
        <v>16</v>
      </c>
      <c r="H461">
        <v>2016</v>
      </c>
      <c r="I461" t="str">
        <f t="shared" si="17"/>
        <v>9: 300 - 399</v>
      </c>
      <c r="K461" t="str">
        <f>"LL - Out"</f>
        <v>LL - Out</v>
      </c>
      <c r="L461" s="1">
        <v>35</v>
      </c>
      <c r="M461" t="s">
        <v>439</v>
      </c>
      <c r="O461" t="s">
        <v>28</v>
      </c>
      <c r="P461">
        <v>8</v>
      </c>
      <c r="Q461">
        <v>0</v>
      </c>
      <c r="R461">
        <v>12</v>
      </c>
      <c r="S461" s="2">
        <v>42667</v>
      </c>
      <c r="T461" s="2">
        <v>42863</v>
      </c>
      <c r="U461" s="2">
        <v>43841</v>
      </c>
    </row>
    <row r="462" spans="1:22" x14ac:dyDescent="0.2">
      <c r="A462" t="str">
        <f>"306.3 STR"</f>
        <v>306.3 STR</v>
      </c>
      <c r="B462" t="str">
        <f>"Work pause thrive: how to pause for pare"</f>
        <v>Work pause thrive: how to pause for pare</v>
      </c>
      <c r="C462">
        <v>352700</v>
      </c>
      <c r="D462" t="str">
        <f>"Stromberg, Lisen."</f>
        <v>Stromberg, Lisen.</v>
      </c>
      <c r="F462" t="str">
        <f>"384 p."</f>
        <v>384 p.</v>
      </c>
      <c r="G462" s="1">
        <v>19</v>
      </c>
      <c r="H462">
        <v>2019</v>
      </c>
      <c r="I462" t="str">
        <f t="shared" si="17"/>
        <v>9: 300 - 399</v>
      </c>
      <c r="K462" t="str">
        <f>"WB - In"</f>
        <v>WB - In</v>
      </c>
      <c r="L462" s="1">
        <v>23</v>
      </c>
      <c r="M462" t="s">
        <v>440</v>
      </c>
      <c r="O462" t="s">
        <v>28</v>
      </c>
      <c r="P462">
        <v>5</v>
      </c>
      <c r="Q462">
        <v>3</v>
      </c>
      <c r="R462">
        <v>8</v>
      </c>
      <c r="S462" s="2">
        <v>43501</v>
      </c>
      <c r="T462" s="2">
        <v>43754</v>
      </c>
      <c r="U462" s="2">
        <v>43722</v>
      </c>
      <c r="V462" s="2">
        <v>43755</v>
      </c>
    </row>
    <row r="463" spans="1:22" x14ac:dyDescent="0.2">
      <c r="A463" t="str">
        <f>"306.3 WES"</f>
        <v>306.3 WES</v>
      </c>
      <c r="B463" t="str">
        <f>"future of work: robots, AI, and automati"</f>
        <v>future of work: robots, AI, and automati</v>
      </c>
      <c r="C463">
        <v>349534</v>
      </c>
      <c r="D463" t="str">
        <f>"West, Darrell M.,"</f>
        <v>West, Darrell M.,</v>
      </c>
      <c r="F463" t="str">
        <f>"xiii, 205 pages, 24 cm, illustrations"</f>
        <v>xiii, 205 pages, 24 cm, illustrations</v>
      </c>
      <c r="G463" s="1">
        <v>18</v>
      </c>
      <c r="H463">
        <v>2018</v>
      </c>
      <c r="I463" t="str">
        <f t="shared" si="17"/>
        <v>9: 300 - 399</v>
      </c>
      <c r="K463" t="str">
        <f>"WB - In"</f>
        <v>WB - In</v>
      </c>
      <c r="L463" s="1">
        <v>27</v>
      </c>
      <c r="M463" t="s">
        <v>441</v>
      </c>
      <c r="O463" t="s">
        <v>28</v>
      </c>
      <c r="P463">
        <v>10</v>
      </c>
      <c r="Q463">
        <v>0</v>
      </c>
      <c r="R463">
        <v>11</v>
      </c>
      <c r="S463" s="2">
        <v>43339</v>
      </c>
      <c r="T463" s="2">
        <v>43523</v>
      </c>
      <c r="U463" s="2">
        <v>43633</v>
      </c>
    </row>
    <row r="464" spans="1:22" x14ac:dyDescent="0.2">
      <c r="A464" t="str">
        <f>"306.3 YOG"</f>
        <v>306.3 YOG</v>
      </c>
      <c r="B464" t="str">
        <f>"couple's guide to happy retirement and a"</f>
        <v>couple's guide to happy retirement and a</v>
      </c>
      <c r="C464">
        <v>352015</v>
      </c>
      <c r="D464" t="str">
        <f>"Yogev, Sara."</f>
        <v>Yogev, Sara.</v>
      </c>
      <c r="F464" t="str">
        <f>"338 p."</f>
        <v>338 p.</v>
      </c>
      <c r="G464" s="1">
        <v>18</v>
      </c>
      <c r="H464">
        <v>2018</v>
      </c>
      <c r="I464" t="str">
        <f t="shared" si="17"/>
        <v>9: 300 - 399</v>
      </c>
      <c r="K464" t="str">
        <f>"WB - In"</f>
        <v>WB - In</v>
      </c>
      <c r="L464" s="1">
        <v>25</v>
      </c>
      <c r="M464" t="s">
        <v>442</v>
      </c>
      <c r="O464" t="s">
        <v>28</v>
      </c>
      <c r="P464">
        <v>1</v>
      </c>
      <c r="Q464">
        <v>0</v>
      </c>
      <c r="R464">
        <v>2</v>
      </c>
      <c r="S464" s="2">
        <v>43462</v>
      </c>
      <c r="T464" s="2">
        <v>43532</v>
      </c>
      <c r="U464" s="2">
        <v>43661</v>
      </c>
    </row>
    <row r="465" spans="1:22" x14ac:dyDescent="0.2">
      <c r="A465" t="str">
        <f>"306.3 ZUB"</f>
        <v>306.3 ZUB</v>
      </c>
      <c r="B465" t="str">
        <f>"age of surveillance capitalism: the figh"</f>
        <v>age of surveillance capitalism: the figh</v>
      </c>
      <c r="C465">
        <v>353182</v>
      </c>
      <c r="D465" t="str">
        <f>"Zuboff, Shoshana"</f>
        <v>Zuboff, Shoshana</v>
      </c>
      <c r="F465" t="str">
        <f>"x, 691 pages, 25 cm"</f>
        <v>x, 691 pages, 25 cm</v>
      </c>
      <c r="G465" s="1">
        <v>19</v>
      </c>
      <c r="H465">
        <v>2019</v>
      </c>
      <c r="I465" t="str">
        <f t="shared" si="17"/>
        <v>9: 300 - 399</v>
      </c>
      <c r="K465" t="str">
        <f>"WB - Out"</f>
        <v>WB - Out</v>
      </c>
      <c r="L465" s="1">
        <v>43</v>
      </c>
      <c r="M465" t="s">
        <v>443</v>
      </c>
      <c r="O465" t="s">
        <v>28</v>
      </c>
      <c r="P465">
        <v>6</v>
      </c>
      <c r="Q465">
        <v>1</v>
      </c>
      <c r="R465">
        <v>8</v>
      </c>
      <c r="S465" s="2">
        <v>43522</v>
      </c>
      <c r="T465" s="2">
        <v>43712</v>
      </c>
      <c r="U465" s="2">
        <v>43859</v>
      </c>
      <c r="V465" s="2">
        <v>43655</v>
      </c>
    </row>
    <row r="466" spans="1:22" x14ac:dyDescent="0.2">
      <c r="A466" t="str">
        <f>"306.4 ADA"</f>
        <v>306.4 ADA</v>
      </c>
      <c r="B466" t="str">
        <f>"Fewer, better things: the hidden wisdom "</f>
        <v xml:space="preserve">Fewer, better things: the hidden wisdom </v>
      </c>
      <c r="C466">
        <v>350660</v>
      </c>
      <c r="D466" t="str">
        <f>"Adamson, Glenn,"</f>
        <v>Adamson, Glenn,</v>
      </c>
      <c r="F466" t="str">
        <f>"vi, 257 p., 22 cm, illustrations"</f>
        <v>vi, 257 p., 22 cm, illustrations</v>
      </c>
      <c r="G466" s="1">
        <v>18</v>
      </c>
      <c r="H466">
        <v>2018</v>
      </c>
      <c r="I466" t="str">
        <f t="shared" si="17"/>
        <v>9: 300 - 399</v>
      </c>
      <c r="K466" t="str">
        <f>"LL - In"</f>
        <v>LL - In</v>
      </c>
      <c r="L466" s="1">
        <v>32</v>
      </c>
      <c r="M466" t="s">
        <v>444</v>
      </c>
      <c r="O466" t="s">
        <v>28</v>
      </c>
      <c r="P466">
        <v>8</v>
      </c>
      <c r="Q466">
        <v>2</v>
      </c>
      <c r="R466">
        <v>10</v>
      </c>
      <c r="S466" s="2">
        <v>43389</v>
      </c>
      <c r="T466" s="2">
        <v>43579</v>
      </c>
      <c r="U466" s="2">
        <v>43545</v>
      </c>
      <c r="V466" s="2">
        <v>43598</v>
      </c>
    </row>
    <row r="467" spans="1:22" x14ac:dyDescent="0.2">
      <c r="A467" t="str">
        <f>"306.4 BRY"</f>
        <v>306.4 BRY</v>
      </c>
      <c r="B467" t="str">
        <f>"heritage: Black athletes, a divided Amer"</f>
        <v>heritage: Black athletes, a divided Amer</v>
      </c>
      <c r="C467">
        <v>347774</v>
      </c>
      <c r="D467" t="str">
        <f>"Bryant, Howard,"</f>
        <v>Bryant, Howard,</v>
      </c>
      <c r="F467" t="str">
        <f>"xv, 272 pages, 24 cm"</f>
        <v>xv, 272 pages, 24 cm</v>
      </c>
      <c r="G467" s="1">
        <v>18</v>
      </c>
      <c r="H467">
        <v>2018</v>
      </c>
      <c r="I467" t="str">
        <f t="shared" si="17"/>
        <v>9: 300 - 399</v>
      </c>
      <c r="K467" t="str">
        <f>"WB - In"</f>
        <v>WB - In</v>
      </c>
      <c r="L467" s="1">
        <v>32</v>
      </c>
      <c r="M467" t="s">
        <v>445</v>
      </c>
      <c r="O467" t="s">
        <v>28</v>
      </c>
      <c r="P467">
        <v>4</v>
      </c>
      <c r="Q467">
        <v>1</v>
      </c>
      <c r="R467">
        <v>5</v>
      </c>
      <c r="S467" s="2">
        <v>43243</v>
      </c>
      <c r="T467" s="2">
        <v>43396</v>
      </c>
      <c r="U467" s="2">
        <v>43631</v>
      </c>
      <c r="V467" s="2">
        <v>43396</v>
      </c>
    </row>
    <row r="468" spans="1:22" x14ac:dyDescent="0.2">
      <c r="A468" t="str">
        <f>"306.4 LAN"</f>
        <v>306.4 LAN</v>
      </c>
      <c r="B468" t="str">
        <f>"Cr�ft: an inquiry into the origins and t"</f>
        <v>Cr�ft: an inquiry into the origins and t</v>
      </c>
      <c r="C468">
        <v>345756</v>
      </c>
      <c r="D468" t="str">
        <f>"Langlands, Alex"</f>
        <v>Langlands, Alex</v>
      </c>
      <c r="F468" t="str">
        <f>"344 pages, 25 cm"</f>
        <v>344 pages, 25 cm</v>
      </c>
      <c r="G468" s="1">
        <v>18</v>
      </c>
      <c r="H468">
        <v>2018</v>
      </c>
      <c r="I468" t="str">
        <f t="shared" si="17"/>
        <v>9: 300 - 399</v>
      </c>
      <c r="K468" t="str">
        <f>"WB - In"</f>
        <v>WB - In</v>
      </c>
      <c r="L468" s="1">
        <v>32</v>
      </c>
      <c r="M468" t="s">
        <v>446</v>
      </c>
      <c r="O468" t="s">
        <v>28</v>
      </c>
      <c r="P468">
        <v>11</v>
      </c>
      <c r="Q468">
        <v>0</v>
      </c>
      <c r="R468">
        <v>11</v>
      </c>
      <c r="S468" s="2">
        <v>43131</v>
      </c>
      <c r="T468" s="2">
        <v>43383</v>
      </c>
      <c r="U468" s="2">
        <v>43642</v>
      </c>
    </row>
    <row r="469" spans="1:22" x14ac:dyDescent="0.2">
      <c r="A469" t="str">
        <f>"306.4 MOH"</f>
        <v>306.4 MOH</v>
      </c>
      <c r="B469" t="str">
        <f>"Burning down the Haus: punk rock, revolu"</f>
        <v>Burning down the Haus: punk rock, revolu</v>
      </c>
      <c r="C469">
        <v>350816</v>
      </c>
      <c r="D469" t="str">
        <f>"Mohr, Tim."</f>
        <v>Mohr, Tim.</v>
      </c>
      <c r="F469" t="str">
        <f>"ix, 363 pages, 8 unnumbered pages of plates, 24 cm, illustrations"</f>
        <v>ix, 363 pages, 8 unnumbered pages of plates, 24 cm, illustrations</v>
      </c>
      <c r="G469" s="1">
        <v>18</v>
      </c>
      <c r="H469">
        <v>2018</v>
      </c>
      <c r="I469" t="str">
        <f t="shared" si="17"/>
        <v>9: 300 - 399</v>
      </c>
      <c r="K469" t="str">
        <f>"LL - In"</f>
        <v>LL - In</v>
      </c>
      <c r="L469" s="1">
        <v>34</v>
      </c>
      <c r="M469" t="s">
        <v>447</v>
      </c>
      <c r="O469" t="s">
        <v>28</v>
      </c>
      <c r="P469">
        <v>2</v>
      </c>
      <c r="Q469">
        <v>0</v>
      </c>
      <c r="R469">
        <v>2</v>
      </c>
      <c r="S469" s="2">
        <v>43396</v>
      </c>
      <c r="T469" s="2">
        <v>43579</v>
      </c>
      <c r="U469" s="2">
        <v>43522</v>
      </c>
    </row>
    <row r="470" spans="1:22" x14ac:dyDescent="0.2">
      <c r="A470" t="str">
        <f>"306.4 OCO"</f>
        <v>306.4 OCO</v>
      </c>
      <c r="B470" t="str">
        <f>"To be a machine: adventures among cyborg"</f>
        <v>To be a machine: adventures among cyborg</v>
      </c>
      <c r="C470">
        <v>344315</v>
      </c>
      <c r="D470" t="str">
        <f>"O'Connell, Mark,"</f>
        <v>O'Connell, Mark,</v>
      </c>
      <c r="F470" t="str">
        <f>"241 pages, 25 cm"</f>
        <v>241 pages, 25 cm</v>
      </c>
      <c r="G470" s="1">
        <v>17</v>
      </c>
      <c r="H470">
        <v>2017</v>
      </c>
      <c r="I470" t="str">
        <f t="shared" si="17"/>
        <v>9: 300 - 399</v>
      </c>
      <c r="K470" t="str">
        <f t="shared" ref="K470:K475" si="18">"WB - In"</f>
        <v>WB - In</v>
      </c>
      <c r="L470" s="1">
        <v>32</v>
      </c>
      <c r="M470" t="s">
        <v>448</v>
      </c>
      <c r="O470" t="s">
        <v>28</v>
      </c>
      <c r="P470">
        <v>8</v>
      </c>
      <c r="Q470">
        <v>1</v>
      </c>
      <c r="R470">
        <v>9</v>
      </c>
      <c r="S470" s="2">
        <v>43032</v>
      </c>
      <c r="T470" s="2">
        <v>43229</v>
      </c>
      <c r="U470" s="2">
        <v>43467</v>
      </c>
      <c r="V470" s="2">
        <v>43690</v>
      </c>
    </row>
    <row r="471" spans="1:22" x14ac:dyDescent="0.2">
      <c r="A471" t="str">
        <f>"306.6 GOR"</f>
        <v>306.6 GOR</v>
      </c>
      <c r="B471" t="str">
        <f>"American covenant: a history of civil re"</f>
        <v>American covenant: a history of civil re</v>
      </c>
      <c r="C471">
        <v>341334</v>
      </c>
      <c r="D471" t="str">
        <f>"Gorski, Philip S."</f>
        <v>Gorski, Philip S.</v>
      </c>
      <c r="F471" t="str">
        <f>"xiii, 320 pages, 24 cm, illustrations"</f>
        <v>xiii, 320 pages, 24 cm, illustrations</v>
      </c>
      <c r="G471" s="1">
        <v>17</v>
      </c>
      <c r="H471">
        <v>2017</v>
      </c>
      <c r="I471" t="str">
        <f t="shared" si="17"/>
        <v>9: 300 - 399</v>
      </c>
      <c r="K471" t="str">
        <f t="shared" si="18"/>
        <v>WB - In</v>
      </c>
      <c r="L471" s="1">
        <v>40</v>
      </c>
      <c r="M471" t="s">
        <v>449</v>
      </c>
      <c r="O471" t="s">
        <v>28</v>
      </c>
      <c r="P471">
        <v>4</v>
      </c>
      <c r="Q471">
        <v>0</v>
      </c>
      <c r="R471">
        <v>4</v>
      </c>
      <c r="S471" s="2">
        <v>42873</v>
      </c>
      <c r="T471" s="2">
        <v>43082</v>
      </c>
      <c r="U471" s="2">
        <v>43040</v>
      </c>
    </row>
    <row r="472" spans="1:22" x14ac:dyDescent="0.2">
      <c r="A472" t="str">
        <f>"306.6 OXE"</f>
        <v>306.6 OXE</v>
      </c>
      <c r="B472" t="str">
        <f>"Captive: a mother's crusade to save her "</f>
        <v xml:space="preserve">Captive: a mother's crusade to save her </v>
      </c>
      <c r="C472">
        <v>352963</v>
      </c>
      <c r="D472" t="str">
        <f>"Oxenberg, Catherine,"</f>
        <v>Oxenberg, Catherine,</v>
      </c>
      <c r="F472" t="str">
        <f>"pages cm"</f>
        <v>pages cm</v>
      </c>
      <c r="G472" s="1">
        <v>19</v>
      </c>
      <c r="H472">
        <v>2018</v>
      </c>
      <c r="I472" t="str">
        <f t="shared" si="17"/>
        <v>9: 300 - 399</v>
      </c>
      <c r="K472" t="str">
        <f t="shared" si="18"/>
        <v>WB - In</v>
      </c>
      <c r="L472" s="1">
        <v>32</v>
      </c>
      <c r="M472" t="s">
        <v>450</v>
      </c>
      <c r="O472" t="s">
        <v>28</v>
      </c>
      <c r="P472">
        <v>1</v>
      </c>
      <c r="Q472">
        <v>0</v>
      </c>
      <c r="R472">
        <v>1</v>
      </c>
      <c r="S472" s="2">
        <v>43515</v>
      </c>
      <c r="T472" s="2">
        <v>43525</v>
      </c>
      <c r="U472" s="2">
        <v>43526</v>
      </c>
    </row>
    <row r="473" spans="1:22" x14ac:dyDescent="0.2">
      <c r="A473" t="str">
        <f>"306.7 DEV"</f>
        <v>306.7 DEV</v>
      </c>
      <c r="B473" t="str">
        <f>"Turned on: science, sex and robots"</f>
        <v>Turned on: science, sex and robots</v>
      </c>
      <c r="C473">
        <v>351927</v>
      </c>
      <c r="D473" t="str">
        <f>"Devlin, Kate"</f>
        <v>Devlin, Kate</v>
      </c>
      <c r="F473" t="str">
        <f>"288 pages, 23 cm, illustrations"</f>
        <v>288 pages, 23 cm, illustrations</v>
      </c>
      <c r="G473" s="1">
        <v>18</v>
      </c>
      <c r="H473">
        <v>2018</v>
      </c>
      <c r="I473" t="str">
        <f t="shared" si="17"/>
        <v>9: 300 - 399</v>
      </c>
      <c r="K473" t="str">
        <f t="shared" si="18"/>
        <v>WB - In</v>
      </c>
      <c r="L473" s="1">
        <v>33</v>
      </c>
      <c r="M473" t="s">
        <v>451</v>
      </c>
      <c r="O473" t="s">
        <v>28</v>
      </c>
      <c r="P473">
        <v>2</v>
      </c>
      <c r="Q473">
        <v>0</v>
      </c>
      <c r="R473">
        <v>2</v>
      </c>
      <c r="S473" s="2">
        <v>43452</v>
      </c>
      <c r="T473" s="2">
        <v>43642</v>
      </c>
      <c r="U473" s="2">
        <v>43631</v>
      </c>
    </row>
    <row r="474" spans="1:22" x14ac:dyDescent="0.2">
      <c r="A474" t="str">
        <f>"306.76 BAR"</f>
        <v>306.76 BAR</v>
      </c>
      <c r="B474" t="str">
        <f>"Queer: a graphic history"</f>
        <v>Queer: a graphic history</v>
      </c>
      <c r="C474">
        <v>356145</v>
      </c>
      <c r="D474" t="str">
        <f>"Barker, Meg John,"</f>
        <v>Barker, Meg John,</v>
      </c>
      <c r="F474" t="str">
        <f>"175 pages, 26 cm, illustrations"</f>
        <v>175 pages, 26 cm, illustrations</v>
      </c>
      <c r="G474" s="1">
        <v>19</v>
      </c>
      <c r="H474">
        <v>2016</v>
      </c>
      <c r="I474" t="str">
        <f t="shared" si="17"/>
        <v>9: 300 - 399</v>
      </c>
      <c r="K474" t="str">
        <f t="shared" si="18"/>
        <v>WB - In</v>
      </c>
      <c r="L474" s="1">
        <v>24</v>
      </c>
      <c r="M474" t="s">
        <v>452</v>
      </c>
      <c r="O474" t="s">
        <v>28</v>
      </c>
      <c r="P474">
        <v>0</v>
      </c>
      <c r="Q474">
        <v>0</v>
      </c>
      <c r="R474">
        <v>0</v>
      </c>
      <c r="S474" s="2">
        <v>43655</v>
      </c>
      <c r="T474" s="2">
        <v>43668</v>
      </c>
    </row>
    <row r="475" spans="1:22" x14ac:dyDescent="0.2">
      <c r="A475" t="str">
        <f>"306.76 BRI"</f>
        <v>306.76 BRI</v>
      </c>
      <c r="B475" t="str">
        <f>"transgender child"</f>
        <v>transgender child</v>
      </c>
      <c r="C475">
        <v>328511</v>
      </c>
      <c r="D475" t="str">
        <f>"Brill, Stephanie A."</f>
        <v>Brill, Stephanie A.</v>
      </c>
      <c r="F475" t="str">
        <f>"xvii, 252 p., 22 cm"</f>
        <v>xvii, 252 p., 22 cm</v>
      </c>
      <c r="G475" s="1">
        <v>15</v>
      </c>
      <c r="H475">
        <v>2008</v>
      </c>
      <c r="I475" t="str">
        <f t="shared" si="17"/>
        <v>9: 300 - 399</v>
      </c>
      <c r="K475" t="str">
        <f t="shared" si="18"/>
        <v>WB - In</v>
      </c>
      <c r="L475" s="1">
        <v>22</v>
      </c>
      <c r="M475" t="s">
        <v>453</v>
      </c>
      <c r="O475" t="s">
        <v>28</v>
      </c>
      <c r="P475">
        <v>1</v>
      </c>
      <c r="Q475">
        <v>1</v>
      </c>
      <c r="R475">
        <v>2</v>
      </c>
      <c r="S475" s="2">
        <v>42192</v>
      </c>
      <c r="T475" s="2">
        <v>42200</v>
      </c>
      <c r="U475" s="2">
        <v>43686</v>
      </c>
      <c r="V475" s="2">
        <v>43664</v>
      </c>
    </row>
    <row r="476" spans="1:22" x14ac:dyDescent="0.2">
      <c r="A476" t="str">
        <f>"306.76 BRO"</f>
        <v>306.76 BRO</v>
      </c>
      <c r="B476" t="str">
        <f>"""You can tell just by looking"": and 20 o"</f>
        <v>"You can tell just by looking": and 20 o</v>
      </c>
      <c r="C476">
        <v>328518</v>
      </c>
      <c r="D476" t="str">
        <f>"Bronski, Michael."</f>
        <v>Bronski, Michael.</v>
      </c>
      <c r="F476" t="str">
        <f>"xvii, 190 pages, 22 cm"</f>
        <v>xvii, 190 pages, 22 cm</v>
      </c>
      <c r="G476" s="1">
        <v>15</v>
      </c>
      <c r="H476">
        <v>2013</v>
      </c>
      <c r="I476" t="str">
        <f t="shared" si="17"/>
        <v>9: 300 - 399</v>
      </c>
      <c r="K476" t="str">
        <f>"LL - In"</f>
        <v>LL - In</v>
      </c>
      <c r="L476" s="1">
        <v>21</v>
      </c>
      <c r="M476" t="s">
        <v>454</v>
      </c>
      <c r="O476" t="s">
        <v>28</v>
      </c>
      <c r="P476">
        <v>0</v>
      </c>
      <c r="Q476">
        <v>1</v>
      </c>
      <c r="R476">
        <v>2</v>
      </c>
      <c r="S476" s="2">
        <v>42192</v>
      </c>
      <c r="T476" s="2">
        <v>42199</v>
      </c>
      <c r="U476" s="2">
        <v>42199</v>
      </c>
      <c r="V476" s="2">
        <v>42863</v>
      </c>
    </row>
    <row r="477" spans="1:22" x14ac:dyDescent="0.2">
      <c r="A477" t="str">
        <f>"306.76 BRO"</f>
        <v>306.76 BRO</v>
      </c>
      <c r="B477" t="str">
        <f>"True selves: understanding transsexualis"</f>
        <v>True selves: understanding transsexualis</v>
      </c>
      <c r="C477">
        <v>330312</v>
      </c>
      <c r="D477" t="str">
        <f>"Brown, Mildred L.,"</f>
        <v>Brown, Mildred L.,</v>
      </c>
      <c r="F477" t="str">
        <f>"xiv, 264 p., 23 cm"</f>
        <v>xiv, 264 p., 23 cm</v>
      </c>
      <c r="G477" s="1">
        <v>15</v>
      </c>
      <c r="H477">
        <v>2003</v>
      </c>
      <c r="I477" t="str">
        <f t="shared" si="17"/>
        <v>9: 300 - 399</v>
      </c>
      <c r="K477" t="str">
        <f>"WB - In"</f>
        <v>WB - In</v>
      </c>
      <c r="L477" s="1">
        <v>27</v>
      </c>
      <c r="M477" t="s">
        <v>455</v>
      </c>
      <c r="O477" t="s">
        <v>28</v>
      </c>
      <c r="P477">
        <v>0</v>
      </c>
      <c r="Q477">
        <v>1</v>
      </c>
      <c r="R477">
        <v>2</v>
      </c>
      <c r="S477" s="2">
        <v>42276</v>
      </c>
      <c r="T477" s="2">
        <v>42283</v>
      </c>
      <c r="U477" s="2">
        <v>42285</v>
      </c>
      <c r="V477" s="2">
        <v>43664</v>
      </c>
    </row>
    <row r="478" spans="1:22" x14ac:dyDescent="0.2">
      <c r="A478" t="str">
        <f>"306.76 EHR"</f>
        <v>306.76 EHR</v>
      </c>
      <c r="B478" t="str">
        <f>"gender creative child: pathways for nurt"</f>
        <v>gender creative child: pathways for nurt</v>
      </c>
      <c r="C478">
        <v>297271</v>
      </c>
      <c r="D478" t="str">
        <f>"Ehrensaft, Diane"</f>
        <v>Ehrensaft, Diane</v>
      </c>
      <c r="F478" t="str">
        <f>"xvi, 285 pages, 21 cm"</f>
        <v>xvi, 285 pages, 21 cm</v>
      </c>
      <c r="G478" s="1">
        <v>17</v>
      </c>
      <c r="H478">
        <v>2016</v>
      </c>
      <c r="I478" t="str">
        <f t="shared" si="17"/>
        <v>9: 300 - 399</v>
      </c>
      <c r="K478" t="str">
        <f>"LL - In"</f>
        <v>LL - In</v>
      </c>
      <c r="L478" s="1">
        <v>21</v>
      </c>
      <c r="M478" t="s">
        <v>456</v>
      </c>
      <c r="O478" t="s">
        <v>28</v>
      </c>
      <c r="P478">
        <v>1</v>
      </c>
      <c r="Q478">
        <v>0</v>
      </c>
      <c r="R478">
        <v>1</v>
      </c>
      <c r="S478" s="2">
        <v>43019</v>
      </c>
      <c r="T478" s="2">
        <v>43215</v>
      </c>
      <c r="U478" s="2">
        <v>43390</v>
      </c>
    </row>
    <row r="479" spans="1:22" x14ac:dyDescent="0.2">
      <c r="A479" t="str">
        <f>"306.76 FAD"</f>
        <v>306.76 FAD</v>
      </c>
      <c r="B479" t="str">
        <f>"gay revolution: the story of the struggl"</f>
        <v>gay revolution: the story of the struggl</v>
      </c>
      <c r="C479">
        <v>330107</v>
      </c>
      <c r="D479" t="str">
        <f>"Faderman, Lillian"</f>
        <v>Faderman, Lillian</v>
      </c>
      <c r="F479" t="str">
        <f>"xx, 794 pages, 16 unnumbered pages of plates, 24 cm, illustrations"</f>
        <v>xx, 794 pages, 16 unnumbered pages of plates, 24 cm, illustrations</v>
      </c>
      <c r="G479" s="1">
        <v>15</v>
      </c>
      <c r="H479">
        <v>2015</v>
      </c>
      <c r="I479" t="str">
        <f t="shared" si="17"/>
        <v>9: 300 - 399</v>
      </c>
      <c r="K479" t="str">
        <f t="shared" ref="K479:K484" si="19">"WB - In"</f>
        <v>WB - In</v>
      </c>
      <c r="L479" s="1">
        <v>40</v>
      </c>
      <c r="M479" t="s">
        <v>457</v>
      </c>
      <c r="O479" t="s">
        <v>28</v>
      </c>
      <c r="P479">
        <v>0</v>
      </c>
      <c r="Q479">
        <v>0</v>
      </c>
      <c r="R479">
        <v>1</v>
      </c>
      <c r="S479" s="2">
        <v>42276</v>
      </c>
      <c r="T479" s="2">
        <v>42430</v>
      </c>
      <c r="U479" s="2">
        <v>42350</v>
      </c>
    </row>
    <row r="480" spans="1:22" x14ac:dyDescent="0.2">
      <c r="A480" t="str">
        <f>"306.76 LOV"</f>
        <v>306.76 LOV</v>
      </c>
      <c r="B480" t="str">
        <f>"Love and resistance: out of the closet i"</f>
        <v>Love and resistance: out of the closet i</v>
      </c>
      <c r="C480">
        <v>353306</v>
      </c>
      <c r="F480" t="str">
        <f>"164 p."</f>
        <v>164 p.</v>
      </c>
      <c r="G480" s="1">
        <v>19</v>
      </c>
      <c r="H480">
        <v>2019</v>
      </c>
      <c r="I480" t="str">
        <f t="shared" si="17"/>
        <v>9: 300 - 399</v>
      </c>
      <c r="K480" t="str">
        <f t="shared" si="19"/>
        <v>WB - In</v>
      </c>
      <c r="L480" s="1">
        <v>30</v>
      </c>
      <c r="M480" t="s">
        <v>458</v>
      </c>
      <c r="O480" t="s">
        <v>28</v>
      </c>
      <c r="P480">
        <v>1</v>
      </c>
      <c r="Q480">
        <v>0</v>
      </c>
      <c r="R480">
        <v>1</v>
      </c>
      <c r="S480" s="2">
        <v>43529</v>
      </c>
      <c r="T480" s="2">
        <v>43698</v>
      </c>
      <c r="U480" s="2">
        <v>43588</v>
      </c>
    </row>
    <row r="481" spans="1:22" x14ac:dyDescent="0.2">
      <c r="A481" t="str">
        <f>"306.76 NEA"</f>
        <v>306.76 NEA</v>
      </c>
      <c r="B481" t="str">
        <f>"Transgender children and youth: cultivat"</f>
        <v>Transgender children and youth: cultivat</v>
      </c>
      <c r="C481">
        <v>342145</v>
      </c>
      <c r="D481" t="str">
        <f>"Nealy, Elijah C."</f>
        <v>Nealy, Elijah C.</v>
      </c>
      <c r="F481" t="str">
        <f>"326 p."</f>
        <v>326 p.</v>
      </c>
      <c r="G481" s="1">
        <v>17</v>
      </c>
      <c r="H481">
        <v>2017</v>
      </c>
      <c r="I481" t="str">
        <f t="shared" si="17"/>
        <v>9: 300 - 399</v>
      </c>
      <c r="K481" t="str">
        <f t="shared" si="19"/>
        <v>WB - In</v>
      </c>
      <c r="L481" s="1">
        <v>33</v>
      </c>
      <c r="M481" t="s">
        <v>459</v>
      </c>
      <c r="O481" t="s">
        <v>28</v>
      </c>
      <c r="P481">
        <v>0</v>
      </c>
      <c r="Q481">
        <v>1</v>
      </c>
      <c r="R481">
        <v>1</v>
      </c>
      <c r="S481" s="2">
        <v>42912</v>
      </c>
      <c r="T481" s="2">
        <v>43096</v>
      </c>
      <c r="V481" s="2">
        <v>43664</v>
      </c>
    </row>
    <row r="482" spans="1:22" x14ac:dyDescent="0.2">
      <c r="A482" t="str">
        <f>"306.76 NUT"</f>
        <v>306.76 NUT</v>
      </c>
      <c r="B482" t="str">
        <f>"Becoming Nicole: the transformation of a"</f>
        <v>Becoming Nicole: the transformation of a</v>
      </c>
      <c r="C482">
        <v>284236</v>
      </c>
      <c r="D482" t="str">
        <f>"Nutt, Amy Ellis"</f>
        <v>Nutt, Amy Ellis</v>
      </c>
      <c r="F482" t="str">
        <f>"xix, 279 pages, 25 cm, color illustrations"</f>
        <v>xix, 279 pages, 25 cm, color illustrations</v>
      </c>
      <c r="G482" s="1">
        <v>15</v>
      </c>
      <c r="H482">
        <v>2015</v>
      </c>
      <c r="I482" t="str">
        <f t="shared" si="17"/>
        <v>9: 300 - 399</v>
      </c>
      <c r="K482" t="str">
        <f t="shared" si="19"/>
        <v>WB - In</v>
      </c>
      <c r="L482" s="1">
        <v>32</v>
      </c>
      <c r="M482" t="s">
        <v>460</v>
      </c>
      <c r="O482" t="s">
        <v>28</v>
      </c>
      <c r="P482">
        <v>4</v>
      </c>
      <c r="Q482">
        <v>0</v>
      </c>
      <c r="R482">
        <v>17</v>
      </c>
      <c r="S482" s="2">
        <v>42304</v>
      </c>
      <c r="T482" s="2">
        <v>42470</v>
      </c>
      <c r="U482" s="2">
        <v>43743</v>
      </c>
    </row>
    <row r="483" spans="1:22" x14ac:dyDescent="0.2">
      <c r="A483" t="str">
        <f>"306.76 OWE"</f>
        <v>306.76 OWE</v>
      </c>
      <c r="B483" t="str">
        <f>"This is a book for parents of gay kids: "</f>
        <v xml:space="preserve">This is a book for parents of gay kids: </v>
      </c>
      <c r="C483">
        <v>337391</v>
      </c>
      <c r="D483" t="str">
        <f>"Owens-Reid, Dannielle."</f>
        <v>Owens-Reid, Dannielle.</v>
      </c>
      <c r="F483" t="str">
        <f>"240 pages, 21 cm, illustrations"</f>
        <v>240 pages, 21 cm, illustrations</v>
      </c>
      <c r="G483" s="1">
        <v>16</v>
      </c>
      <c r="H483">
        <v>2014</v>
      </c>
      <c r="I483" t="str">
        <f t="shared" si="17"/>
        <v>9: 300 - 399</v>
      </c>
      <c r="K483" t="str">
        <f t="shared" si="19"/>
        <v>WB - In</v>
      </c>
      <c r="L483" s="1">
        <v>24</v>
      </c>
      <c r="M483" t="s">
        <v>461</v>
      </c>
      <c r="O483" t="s">
        <v>28</v>
      </c>
      <c r="P483">
        <v>2</v>
      </c>
      <c r="Q483">
        <v>1</v>
      </c>
      <c r="R483">
        <v>3</v>
      </c>
      <c r="S483" s="2">
        <v>42628</v>
      </c>
      <c r="T483" s="2">
        <v>42682</v>
      </c>
      <c r="U483" s="2">
        <v>42959</v>
      </c>
      <c r="V483" s="2">
        <v>43694</v>
      </c>
    </row>
    <row r="484" spans="1:22" x14ac:dyDescent="0.2">
      <c r="A484" t="str">
        <f>"306.76 RYL"</f>
        <v>306.76 RYL</v>
      </c>
      <c r="B484" t="str">
        <f>"She he they me: for the sisters, misters"</f>
        <v>She he they me: for the sisters, misters</v>
      </c>
      <c r="C484">
        <v>355077</v>
      </c>
      <c r="D484" t="str">
        <f>"Ryle, Robyn"</f>
        <v>Ryle, Robyn</v>
      </c>
      <c r="F484" t="str">
        <f>"1 volume (unpaged), 22 cm"</f>
        <v>1 volume (unpaged), 22 cm</v>
      </c>
      <c r="G484" s="1">
        <v>19</v>
      </c>
      <c r="H484">
        <v>2019</v>
      </c>
      <c r="I484" t="str">
        <f t="shared" si="17"/>
        <v>9: 300 - 399</v>
      </c>
      <c r="K484" t="str">
        <f t="shared" si="19"/>
        <v>WB - In</v>
      </c>
      <c r="L484" s="1">
        <v>28</v>
      </c>
      <c r="M484" t="s">
        <v>462</v>
      </c>
      <c r="O484" t="s">
        <v>28</v>
      </c>
      <c r="P484">
        <v>3</v>
      </c>
      <c r="Q484">
        <v>0</v>
      </c>
      <c r="R484">
        <v>3</v>
      </c>
      <c r="S484" s="2">
        <v>43613</v>
      </c>
      <c r="T484" s="2">
        <v>43772</v>
      </c>
      <c r="U484" s="2">
        <v>43742</v>
      </c>
    </row>
    <row r="485" spans="1:22" x14ac:dyDescent="0.2">
      <c r="A485" t="str">
        <f>"306.76 SHE"</f>
        <v>306.76 SHE</v>
      </c>
      <c r="B485" t="str">
        <f>"Family pride: what LGBT families should "</f>
        <v xml:space="preserve">Family pride: what LGBT families should </v>
      </c>
      <c r="C485">
        <v>328535</v>
      </c>
      <c r="D485" t="str">
        <f>"Shelton, Michael,"</f>
        <v>Shelton, Michael,</v>
      </c>
      <c r="F485" t="str">
        <f>"xxii, 191 p., 22 cm"</f>
        <v>xxii, 191 p., 22 cm</v>
      </c>
      <c r="G485" s="1">
        <v>15</v>
      </c>
      <c r="H485">
        <v>2013</v>
      </c>
      <c r="I485" t="str">
        <f t="shared" si="17"/>
        <v>9: 300 - 399</v>
      </c>
      <c r="K485" t="str">
        <f>"LL - In"</f>
        <v>LL - In</v>
      </c>
      <c r="L485" s="1">
        <v>21</v>
      </c>
      <c r="M485" t="s">
        <v>463</v>
      </c>
      <c r="O485" t="s">
        <v>28</v>
      </c>
      <c r="P485">
        <v>0</v>
      </c>
      <c r="Q485">
        <v>0</v>
      </c>
      <c r="R485">
        <v>1</v>
      </c>
      <c r="S485" s="2">
        <v>42191</v>
      </c>
      <c r="T485" s="2">
        <v>42194</v>
      </c>
      <c r="V485" s="2">
        <v>42547</v>
      </c>
    </row>
    <row r="486" spans="1:22" x14ac:dyDescent="0.2">
      <c r="A486" t="str">
        <f>"306.76 STO"</f>
        <v>306.76 STO</v>
      </c>
      <c r="B486" t="str">
        <f>"Stonewall reader"</f>
        <v>Stonewall reader</v>
      </c>
      <c r="C486">
        <v>354927</v>
      </c>
      <c r="F486" t="str">
        <f>"xxv, 304 pages, 20 cm, facsimilies"</f>
        <v>xxv, 304 pages, 20 cm, facsimilies</v>
      </c>
      <c r="G486" s="1">
        <v>19</v>
      </c>
      <c r="H486">
        <v>2019</v>
      </c>
      <c r="I486" t="str">
        <f t="shared" si="17"/>
        <v>9: 300 - 399</v>
      </c>
      <c r="K486" t="str">
        <f>"WB - In"</f>
        <v>WB - In</v>
      </c>
      <c r="L486" s="1">
        <v>23</v>
      </c>
      <c r="M486" t="s">
        <v>464</v>
      </c>
      <c r="O486" t="s">
        <v>28</v>
      </c>
      <c r="P486">
        <v>3</v>
      </c>
      <c r="Q486">
        <v>0</v>
      </c>
      <c r="R486">
        <v>3</v>
      </c>
      <c r="S486" s="2">
        <v>43606</v>
      </c>
      <c r="T486" s="2">
        <v>43768</v>
      </c>
      <c r="U486" s="2">
        <v>43742</v>
      </c>
    </row>
    <row r="487" spans="1:22" x14ac:dyDescent="0.2">
      <c r="A487" t="str">
        <f>"306.76 TEI"</f>
        <v>306.76 TEI</v>
      </c>
      <c r="B487" t="str">
        <f>"Transgender 101: a simple guide to a com"</f>
        <v>Transgender 101: a simple guide to a com</v>
      </c>
      <c r="C487">
        <v>328510</v>
      </c>
      <c r="D487" t="str">
        <f>"Teich, Nicholas M."</f>
        <v>Teich, Nicholas M.</v>
      </c>
      <c r="F487" t="str">
        <f>"xix, 168 p., 21 cm, ill."</f>
        <v>xix, 168 p., 21 cm, ill.</v>
      </c>
      <c r="G487" s="1">
        <v>15</v>
      </c>
      <c r="H487">
        <v>2012</v>
      </c>
      <c r="I487" t="str">
        <f t="shared" si="17"/>
        <v>9: 300 - 399</v>
      </c>
      <c r="K487" t="str">
        <f>"WB - In"</f>
        <v>WB - In</v>
      </c>
      <c r="L487" s="1">
        <v>25</v>
      </c>
      <c r="M487" t="s">
        <v>465</v>
      </c>
      <c r="O487" t="s">
        <v>28</v>
      </c>
      <c r="P487">
        <v>2</v>
      </c>
      <c r="Q487">
        <v>1</v>
      </c>
      <c r="R487">
        <v>3</v>
      </c>
      <c r="S487" s="2">
        <v>42192</v>
      </c>
      <c r="T487" s="2">
        <v>42199</v>
      </c>
      <c r="U487" s="2">
        <v>43694</v>
      </c>
      <c r="V487" s="2">
        <v>43683</v>
      </c>
    </row>
    <row r="488" spans="1:22" x14ac:dyDescent="0.2">
      <c r="A488" t="str">
        <f>"306.76 WHI"</f>
        <v>306.76 WHI</v>
      </c>
      <c r="B488" t="str">
        <f>"Raising Ryland: our story of parenting a"</f>
        <v>Raising Ryland: our story of parenting a</v>
      </c>
      <c r="C488">
        <v>286488</v>
      </c>
      <c r="D488" t="str">
        <f>"Whittington, Hillary"</f>
        <v>Whittington, Hillary</v>
      </c>
      <c r="F488" t="str">
        <f>"viii, 253 pages, 16 unnumbered pages of plates, 21 cm, color illustrations"</f>
        <v>viii, 253 pages, 16 unnumbered pages of plates, 21 cm, color illustrations</v>
      </c>
      <c r="G488" s="1">
        <v>16</v>
      </c>
      <c r="H488">
        <v>2016</v>
      </c>
      <c r="I488" t="str">
        <f t="shared" si="17"/>
        <v>9: 300 - 399</v>
      </c>
      <c r="K488" t="str">
        <f>"WB - In"</f>
        <v>WB - In</v>
      </c>
      <c r="L488" s="1">
        <v>21</v>
      </c>
      <c r="M488" t="s">
        <v>466</v>
      </c>
      <c r="O488" t="s">
        <v>28</v>
      </c>
      <c r="P488">
        <v>2</v>
      </c>
      <c r="Q488">
        <v>0</v>
      </c>
      <c r="R488">
        <v>11</v>
      </c>
      <c r="S488" s="2">
        <v>42437</v>
      </c>
      <c r="T488" s="2">
        <v>42619</v>
      </c>
      <c r="U488" s="2">
        <v>43694</v>
      </c>
    </row>
    <row r="489" spans="1:22" x14ac:dyDescent="0.2">
      <c r="A489" t="str">
        <f>"306.85 BIA"</f>
        <v>306.85 BIA</v>
      </c>
      <c r="B489" t="str">
        <f>"Changing rhythms of American family life"</f>
        <v>Changing rhythms of American family life</v>
      </c>
      <c r="C489">
        <v>273242</v>
      </c>
      <c r="D489" t="str">
        <f>"Bianchi, Suzanne M."</f>
        <v>Bianchi, Suzanne M.</v>
      </c>
      <c r="F489" t="str">
        <f>"xvii, 249 p., 23 cm, ill."</f>
        <v>xvii, 249 p., 23 cm, ill.</v>
      </c>
      <c r="G489" s="1">
        <v>14</v>
      </c>
      <c r="H489">
        <v>2007</v>
      </c>
      <c r="I489" t="str">
        <f t="shared" si="17"/>
        <v>9: 300 - 399</v>
      </c>
      <c r="K489" t="str">
        <f>"WB - In"</f>
        <v>WB - In</v>
      </c>
      <c r="L489" s="1">
        <v>22</v>
      </c>
      <c r="M489" t="s">
        <v>467</v>
      </c>
      <c r="O489" t="s">
        <v>28</v>
      </c>
      <c r="P489">
        <v>1</v>
      </c>
      <c r="Q489">
        <v>0</v>
      </c>
      <c r="R489">
        <v>3</v>
      </c>
      <c r="S489" s="2">
        <v>41750</v>
      </c>
      <c r="T489" s="2">
        <v>41754</v>
      </c>
      <c r="U489" s="2">
        <v>43321</v>
      </c>
      <c r="V489" s="2">
        <v>42706</v>
      </c>
    </row>
    <row r="490" spans="1:22" x14ac:dyDescent="0.2">
      <c r="A490" t="str">
        <f>"306.85 COV"</f>
        <v>306.85 COV</v>
      </c>
      <c r="B490" t="str">
        <f>"7 habits of highly effective families: b"</f>
        <v>7 habits of highly effective families: b</v>
      </c>
      <c r="C490">
        <v>171525</v>
      </c>
      <c r="D490" t="str">
        <f>"Covey, Stephen R."</f>
        <v>Covey, Stephen R.</v>
      </c>
      <c r="F490" t="str">
        <f>"390 p."</f>
        <v>390 p.</v>
      </c>
      <c r="G490">
        <v>3</v>
      </c>
      <c r="H490">
        <v>1997</v>
      </c>
      <c r="I490" t="str">
        <f t="shared" si="17"/>
        <v>9: 300 - 399</v>
      </c>
      <c r="K490" t="str">
        <f>"WB - Out"</f>
        <v>WB - Out</v>
      </c>
      <c r="L490" s="1">
        <v>20</v>
      </c>
      <c r="M490" t="s">
        <v>468</v>
      </c>
      <c r="O490" t="s">
        <v>28</v>
      </c>
      <c r="P490">
        <v>7</v>
      </c>
      <c r="Q490">
        <v>2</v>
      </c>
      <c r="R490">
        <v>50</v>
      </c>
      <c r="S490" s="2">
        <v>37820</v>
      </c>
      <c r="T490" s="2">
        <v>41053</v>
      </c>
      <c r="U490" s="2">
        <v>43842</v>
      </c>
      <c r="V490" s="2">
        <v>43442</v>
      </c>
    </row>
    <row r="491" spans="1:22" x14ac:dyDescent="0.2">
      <c r="A491" t="str">
        <f>"306.85 FEI"</f>
        <v>306.85 FEI</v>
      </c>
      <c r="B491" t="str">
        <f>"secrets of happy families: improve your "</f>
        <v xml:space="preserve">secrets of happy families: improve your </v>
      </c>
      <c r="C491">
        <v>312756</v>
      </c>
      <c r="D491" t="str">
        <f>"Feiler, Bruce S."</f>
        <v>Feiler, Bruce S.</v>
      </c>
      <c r="F491" t="str">
        <f>"x, 292 p., 24 cm., ill."</f>
        <v>x, 292 p., 24 cm., ill.</v>
      </c>
      <c r="G491" s="1">
        <v>13</v>
      </c>
      <c r="H491">
        <v>2013</v>
      </c>
      <c r="I491" t="str">
        <f t="shared" si="17"/>
        <v>9: 300 - 399</v>
      </c>
      <c r="K491" t="str">
        <f>"LL - In"</f>
        <v>LL - In</v>
      </c>
      <c r="L491" s="1">
        <v>31</v>
      </c>
      <c r="M491" t="s">
        <v>469</v>
      </c>
      <c r="O491" t="s">
        <v>28</v>
      </c>
      <c r="P491">
        <v>8</v>
      </c>
      <c r="Q491">
        <v>0</v>
      </c>
      <c r="R491">
        <v>38</v>
      </c>
      <c r="S491" s="2">
        <v>41334</v>
      </c>
      <c r="T491" s="2">
        <v>42528</v>
      </c>
      <c r="U491" s="2">
        <v>43535</v>
      </c>
      <c r="V491" s="2">
        <v>42622</v>
      </c>
    </row>
    <row r="492" spans="1:22" x14ac:dyDescent="0.2">
      <c r="A492" t="str">
        <f>"306.85 FEI"</f>
        <v>306.85 FEI</v>
      </c>
      <c r="B492" t="str">
        <f>"secrets of happy families: improve your "</f>
        <v xml:space="preserve">secrets of happy families: improve your </v>
      </c>
      <c r="C492">
        <v>333425</v>
      </c>
      <c r="D492" t="str">
        <f>"Feiler, Bruce S."</f>
        <v>Feiler, Bruce S.</v>
      </c>
      <c r="F492" t="str">
        <f>"x, 292 p., 24 cm., ill."</f>
        <v>x, 292 p., 24 cm., ill.</v>
      </c>
      <c r="G492" s="1">
        <v>16</v>
      </c>
      <c r="H492">
        <v>2013</v>
      </c>
      <c r="I492" t="str">
        <f t="shared" si="17"/>
        <v>9: 300 - 399</v>
      </c>
      <c r="K492" t="str">
        <f>"WB - In"</f>
        <v>WB - In</v>
      </c>
      <c r="L492" s="1">
        <v>31</v>
      </c>
      <c r="M492" t="s">
        <v>469</v>
      </c>
      <c r="O492" t="s">
        <v>28</v>
      </c>
      <c r="P492">
        <v>5</v>
      </c>
      <c r="Q492">
        <v>0</v>
      </c>
      <c r="R492">
        <v>6</v>
      </c>
      <c r="S492" s="2">
        <v>42424</v>
      </c>
      <c r="T492" s="2">
        <v>42501</v>
      </c>
      <c r="U492" s="2">
        <v>43746</v>
      </c>
    </row>
    <row r="493" spans="1:22" x14ac:dyDescent="0.2">
      <c r="A493" t="str">
        <f>"306.87 BER"</f>
        <v>306.87 BER</v>
      </c>
      <c r="B493" t="str">
        <f>"Grandmothering: building strong ties wit"</f>
        <v>Grandmothering: building strong ties wit</v>
      </c>
      <c r="C493">
        <v>408647</v>
      </c>
      <c r="D493" t="str">
        <f>"Berger, Kathleen Stassen"</f>
        <v>Berger, Kathleen Stassen</v>
      </c>
      <c r="F493" t="str">
        <f>"240 p."</f>
        <v>240 p.</v>
      </c>
      <c r="G493" s="1">
        <v>19</v>
      </c>
      <c r="H493">
        <v>2019</v>
      </c>
      <c r="I493" t="str">
        <f t="shared" si="17"/>
        <v>9: 300 - 399</v>
      </c>
      <c r="K493" t="str">
        <f>"WB - In"</f>
        <v>WB - In</v>
      </c>
      <c r="L493" s="1">
        <v>37</v>
      </c>
      <c r="M493" t="s">
        <v>470</v>
      </c>
      <c r="O493" t="s">
        <v>28</v>
      </c>
      <c r="P493">
        <v>0</v>
      </c>
      <c r="Q493">
        <v>0</v>
      </c>
      <c r="R493">
        <v>0</v>
      </c>
      <c r="S493" s="2">
        <v>43837</v>
      </c>
      <c r="T493" s="2">
        <v>43859</v>
      </c>
    </row>
    <row r="494" spans="1:22" x14ac:dyDescent="0.2">
      <c r="A494" t="str">
        <f>"306.87 BLA"</f>
        <v>306.87 BLA</v>
      </c>
      <c r="B494" t="str">
        <f>"Childfree by choice: the movement redefi"</f>
        <v>Childfree by choice: the movement redefi</v>
      </c>
      <c r="C494">
        <v>355749</v>
      </c>
      <c r="D494" t="str">
        <f>"Blackstone, Amy"</f>
        <v>Blackstone, Amy</v>
      </c>
      <c r="F494" t="str">
        <f>"xviii, 279 pages, 24 cm"</f>
        <v>xviii, 279 pages, 24 cm</v>
      </c>
      <c r="G494" s="1">
        <v>19</v>
      </c>
      <c r="H494">
        <v>2019</v>
      </c>
      <c r="I494" t="str">
        <f t="shared" si="17"/>
        <v>9: 300 - 399</v>
      </c>
      <c r="K494" t="str">
        <f>"LL - In"</f>
        <v>LL - In</v>
      </c>
      <c r="L494" s="1">
        <v>31</v>
      </c>
      <c r="M494" t="s">
        <v>471</v>
      </c>
      <c r="O494" t="s">
        <v>28</v>
      </c>
      <c r="P494">
        <v>3</v>
      </c>
      <c r="Q494">
        <v>1</v>
      </c>
      <c r="R494">
        <v>4</v>
      </c>
      <c r="S494" s="2">
        <v>43640</v>
      </c>
      <c r="T494" s="2">
        <v>43809</v>
      </c>
      <c r="U494" s="2">
        <v>43792</v>
      </c>
      <c r="V494" s="2">
        <v>43809</v>
      </c>
    </row>
    <row r="495" spans="1:22" x14ac:dyDescent="0.2">
      <c r="A495" t="str">
        <f>"306.87 BRO"</f>
        <v>306.87 BRO</v>
      </c>
      <c r="B495" t="str">
        <f>"elephant in the playroom: ordinary paren"</f>
        <v>elephant in the playroom: ordinary paren</v>
      </c>
      <c r="C495">
        <v>250819</v>
      </c>
      <c r="F495" t="str">
        <f>"235 p."</f>
        <v>235 p.</v>
      </c>
      <c r="G495" s="1">
        <v>11</v>
      </c>
      <c r="H495">
        <v>2007</v>
      </c>
      <c r="I495" t="str">
        <f t="shared" si="17"/>
        <v>9: 300 - 399</v>
      </c>
      <c r="K495" t="str">
        <f>"WB - In"</f>
        <v>WB - In</v>
      </c>
      <c r="L495" s="1">
        <v>19</v>
      </c>
      <c r="M495" t="s">
        <v>472</v>
      </c>
      <c r="O495" t="s">
        <v>28</v>
      </c>
      <c r="P495">
        <v>2</v>
      </c>
      <c r="Q495">
        <v>1</v>
      </c>
      <c r="R495">
        <v>11</v>
      </c>
      <c r="S495" s="2">
        <v>40786</v>
      </c>
      <c r="T495" s="2">
        <v>41053</v>
      </c>
      <c r="U495" s="2">
        <v>43219</v>
      </c>
      <c r="V495" s="2">
        <v>43694</v>
      </c>
    </row>
    <row r="496" spans="1:22" x14ac:dyDescent="0.2">
      <c r="A496" t="str">
        <f>"306.87 BRO"</f>
        <v>306.87 BRO</v>
      </c>
      <c r="B496" t="str">
        <f>"Small animals: parenthood in the age of "</f>
        <v xml:space="preserve">Small animals: parenthood in the age of </v>
      </c>
      <c r="C496">
        <v>349461</v>
      </c>
      <c r="D496" t="str">
        <f>"Brooks, Kim"</f>
        <v>Brooks, Kim</v>
      </c>
      <c r="F496" t="str">
        <f>"xi, 242 pages, 24 cm"</f>
        <v>xi, 242 pages, 24 cm</v>
      </c>
      <c r="G496" s="1">
        <v>18</v>
      </c>
      <c r="H496">
        <v>2018</v>
      </c>
      <c r="I496" t="str">
        <f t="shared" si="17"/>
        <v>9: 300 - 399</v>
      </c>
      <c r="K496" t="str">
        <f>"LL - In"</f>
        <v>LL - In</v>
      </c>
      <c r="L496" s="1">
        <v>32</v>
      </c>
      <c r="M496" t="s">
        <v>473</v>
      </c>
      <c r="O496" t="s">
        <v>28</v>
      </c>
      <c r="P496">
        <v>7</v>
      </c>
      <c r="Q496">
        <v>0</v>
      </c>
      <c r="R496">
        <v>7</v>
      </c>
      <c r="S496" s="2">
        <v>43333</v>
      </c>
      <c r="T496" s="2">
        <v>43544</v>
      </c>
      <c r="U496" s="2">
        <v>43647</v>
      </c>
    </row>
    <row r="497" spans="1:22" x14ac:dyDescent="0.2">
      <c r="A497" t="str">
        <f>"306.87 DAY"</f>
        <v>306.87 DAY</v>
      </c>
      <c r="B497" t="str">
        <f>"Camp Grandma: next-generation grandparen"</f>
        <v>Camp Grandma: next-generation grandparen</v>
      </c>
      <c r="C497">
        <v>355748</v>
      </c>
      <c r="D497" t="str">
        <f>"Day, Marianne Waggoner"</f>
        <v>Day, Marianne Waggoner</v>
      </c>
      <c r="F497" t="str">
        <f>"xxiii, 228 pages, 22 cm, illustrations"</f>
        <v>xxiii, 228 pages, 22 cm, illustrations</v>
      </c>
      <c r="G497" s="1">
        <v>19</v>
      </c>
      <c r="H497">
        <v>2019</v>
      </c>
      <c r="I497" t="str">
        <f t="shared" si="17"/>
        <v>9: 300 - 399</v>
      </c>
      <c r="K497" t="str">
        <f>"WB - In"</f>
        <v>WB - In</v>
      </c>
      <c r="L497" s="1">
        <v>22</v>
      </c>
      <c r="M497" t="s">
        <v>474</v>
      </c>
      <c r="O497" t="s">
        <v>28</v>
      </c>
      <c r="P497">
        <v>0</v>
      </c>
      <c r="Q497">
        <v>0</v>
      </c>
      <c r="R497">
        <v>0</v>
      </c>
      <c r="S497" s="2">
        <v>43640</v>
      </c>
      <c r="T497" s="2">
        <v>43657</v>
      </c>
    </row>
    <row r="498" spans="1:22" x14ac:dyDescent="0.2">
      <c r="A498" t="str">
        <f>"306.87 GIE"</f>
        <v>306.87 GIE</v>
      </c>
      <c r="B498" t="str">
        <f>"Never sit if you can dance: lessons from"</f>
        <v>Never sit if you can dance: lessons from</v>
      </c>
      <c r="C498">
        <v>355952</v>
      </c>
      <c r="D498" t="str">
        <f>"Giese, Jo"</f>
        <v>Giese, Jo</v>
      </c>
      <c r="F498" t="str">
        <f>"142 pages, 21 cm, illustration"</f>
        <v>142 pages, 21 cm, illustration</v>
      </c>
      <c r="G498" s="1">
        <v>19</v>
      </c>
      <c r="H498">
        <v>2019</v>
      </c>
      <c r="I498" t="str">
        <f t="shared" si="17"/>
        <v>9: 300 - 399</v>
      </c>
      <c r="K498" t="str">
        <f>"WB - In"</f>
        <v>WB - In</v>
      </c>
      <c r="L498" s="1">
        <v>20</v>
      </c>
      <c r="M498" t="s">
        <v>475</v>
      </c>
      <c r="O498" t="s">
        <v>28</v>
      </c>
      <c r="P498">
        <v>4</v>
      </c>
      <c r="Q498">
        <v>0</v>
      </c>
      <c r="R498">
        <v>4</v>
      </c>
      <c r="S498" s="2">
        <v>43647</v>
      </c>
      <c r="T498" s="2">
        <v>43803</v>
      </c>
      <c r="U498" s="2">
        <v>43786</v>
      </c>
    </row>
    <row r="499" spans="1:22" x14ac:dyDescent="0.2">
      <c r="A499" t="str">
        <f>"306.87 GRE"</f>
        <v>306.87 GRE</v>
      </c>
      <c r="B499" t="str">
        <f>"Raising human beings: creating a collabo"</f>
        <v>Raising human beings: creating a collabo</v>
      </c>
      <c r="C499">
        <v>336753</v>
      </c>
      <c r="D499" t="str">
        <f>"Greene, Ross W."</f>
        <v>Greene, Ross W.</v>
      </c>
      <c r="F499" t="str">
        <f>"xv, 281 pages, 24 cm"</f>
        <v>xv, 281 pages, 24 cm</v>
      </c>
      <c r="G499" s="1">
        <v>16</v>
      </c>
      <c r="H499">
        <v>2016</v>
      </c>
      <c r="I499" t="str">
        <f t="shared" si="17"/>
        <v>9: 300 - 399</v>
      </c>
      <c r="K499" t="str">
        <f>"WB - In"</f>
        <v>WB - In</v>
      </c>
      <c r="L499" s="1">
        <v>31</v>
      </c>
      <c r="M499" t="s">
        <v>476</v>
      </c>
      <c r="O499" t="s">
        <v>28</v>
      </c>
      <c r="P499">
        <v>10</v>
      </c>
      <c r="Q499">
        <v>1</v>
      </c>
      <c r="R499">
        <v>16</v>
      </c>
      <c r="S499" s="2">
        <v>42591</v>
      </c>
      <c r="T499" s="2">
        <v>42914</v>
      </c>
      <c r="U499" s="2">
        <v>43740</v>
      </c>
      <c r="V499" s="2">
        <v>42915</v>
      </c>
    </row>
    <row r="500" spans="1:22" x14ac:dyDescent="0.2">
      <c r="A500" t="str">
        <f>"306.87 ISA"</f>
        <v>306.87 ISA</v>
      </c>
      <c r="B500" t="str">
        <f>"Unconditional love: a guide to navigatin"</f>
        <v>Unconditional love: a guide to navigatin</v>
      </c>
      <c r="C500">
        <v>346627</v>
      </c>
      <c r="D500" t="str">
        <f>"Isay, Jane"</f>
        <v>Isay, Jane</v>
      </c>
      <c r="F500" t="str">
        <f>"x, 226 pages, 22 cm"</f>
        <v>x, 226 pages, 22 cm</v>
      </c>
      <c r="G500" s="1">
        <v>18</v>
      </c>
      <c r="H500">
        <v>2018</v>
      </c>
      <c r="I500" t="str">
        <f t="shared" si="17"/>
        <v>9: 300 - 399</v>
      </c>
      <c r="K500" t="str">
        <f>"LL - In"</f>
        <v>LL - In</v>
      </c>
      <c r="L500" s="1">
        <v>33</v>
      </c>
      <c r="M500" t="s">
        <v>477</v>
      </c>
      <c r="O500" t="s">
        <v>28</v>
      </c>
      <c r="P500">
        <v>5</v>
      </c>
      <c r="Q500">
        <v>0</v>
      </c>
      <c r="R500">
        <v>5</v>
      </c>
      <c r="S500" s="2">
        <v>43171</v>
      </c>
      <c r="T500" s="2">
        <v>43348</v>
      </c>
      <c r="U500" s="2">
        <v>43308</v>
      </c>
    </row>
    <row r="501" spans="1:22" x14ac:dyDescent="0.2">
      <c r="A501" t="str">
        <f>"306.87 JOH"</f>
        <v>306.87 JOH</v>
      </c>
      <c r="B501" t="str">
        <f>"kickass single mom: be financially indep"</f>
        <v>kickass single mom: be financially indep</v>
      </c>
      <c r="C501">
        <v>345456</v>
      </c>
      <c r="D501" t="str">
        <f>"Johnson, Emma"</f>
        <v>Johnson, Emma</v>
      </c>
      <c r="F501" t="str">
        <f>"xxix, 272 pages, 21 cm"</f>
        <v>xxix, 272 pages, 21 cm</v>
      </c>
      <c r="G501" s="1">
        <v>18</v>
      </c>
      <c r="H501">
        <v>2017</v>
      </c>
      <c r="I501" t="str">
        <f t="shared" si="17"/>
        <v>9: 300 - 399</v>
      </c>
      <c r="K501" t="str">
        <f>"LL - In"</f>
        <v>LL - In</v>
      </c>
      <c r="L501" s="1">
        <v>22</v>
      </c>
      <c r="M501" t="s">
        <v>478</v>
      </c>
      <c r="O501" t="s">
        <v>28</v>
      </c>
      <c r="P501">
        <v>6</v>
      </c>
      <c r="Q501">
        <v>2</v>
      </c>
      <c r="R501">
        <v>8</v>
      </c>
      <c r="S501" s="2">
        <v>43103</v>
      </c>
      <c r="T501" s="2">
        <v>43329</v>
      </c>
      <c r="U501" s="2">
        <v>43524</v>
      </c>
      <c r="V501" s="2">
        <v>43338</v>
      </c>
    </row>
    <row r="502" spans="1:22" x14ac:dyDescent="0.2">
      <c r="A502" t="str">
        <f>"306.87 LOC"</f>
        <v>306.87 LOC</v>
      </c>
      <c r="B502" t="str">
        <f>"All the rage: mothers, fathers, and the "</f>
        <v xml:space="preserve">All the rage: mothers, fathers, and the </v>
      </c>
      <c r="C502">
        <v>354735</v>
      </c>
      <c r="D502" t="str">
        <f>"Lockman, Darcy,"</f>
        <v>Lockman, Darcy,</v>
      </c>
      <c r="F502" t="str">
        <f>"339 pages, 24 cm"</f>
        <v>339 pages, 24 cm</v>
      </c>
      <c r="G502" s="1">
        <v>19</v>
      </c>
      <c r="H502">
        <v>2019</v>
      </c>
      <c r="I502" t="str">
        <f t="shared" si="17"/>
        <v>9: 300 - 399</v>
      </c>
      <c r="K502" t="str">
        <f>"LL - Out"</f>
        <v>LL - Out</v>
      </c>
      <c r="L502" s="1">
        <v>34</v>
      </c>
      <c r="M502" t="s">
        <v>479</v>
      </c>
      <c r="O502" t="s">
        <v>28</v>
      </c>
      <c r="P502">
        <v>6</v>
      </c>
      <c r="Q502">
        <v>0</v>
      </c>
      <c r="R502">
        <v>6</v>
      </c>
      <c r="S502" s="2">
        <v>43602</v>
      </c>
      <c r="T502" s="2">
        <v>43819</v>
      </c>
      <c r="U502" s="2">
        <v>43845</v>
      </c>
    </row>
    <row r="503" spans="1:22" x14ac:dyDescent="0.2">
      <c r="A503" t="str">
        <f>"306.87 STI"</f>
        <v>306.87 STI</v>
      </c>
      <c r="B503" t="str">
        <f>"Parenting with presence: practices for r"</f>
        <v>Parenting with presence: practices for r</v>
      </c>
      <c r="C503">
        <v>338377</v>
      </c>
      <c r="D503" t="str">
        <f>"Stiffelman, Susan."</f>
        <v>Stiffelman, Susan.</v>
      </c>
      <c r="F503" t="str">
        <f>"xiv, 271 pages, 22 cm, illustrations"</f>
        <v>xiv, 271 pages, 22 cm, illustrations</v>
      </c>
      <c r="G503" s="1">
        <v>16</v>
      </c>
      <c r="H503">
        <v>2015</v>
      </c>
      <c r="I503" t="str">
        <f t="shared" si="17"/>
        <v>9: 300 - 399</v>
      </c>
      <c r="K503" t="str">
        <f t="shared" ref="K503:K511" si="20">"WB - In"</f>
        <v>WB - In</v>
      </c>
      <c r="L503" s="1">
        <v>22</v>
      </c>
      <c r="M503" t="s">
        <v>480</v>
      </c>
      <c r="O503" t="s">
        <v>28</v>
      </c>
      <c r="P503">
        <v>4</v>
      </c>
      <c r="Q503">
        <v>1</v>
      </c>
      <c r="R503">
        <v>7</v>
      </c>
      <c r="S503" s="2">
        <v>42689</v>
      </c>
      <c r="T503" s="2">
        <v>42704</v>
      </c>
      <c r="U503" s="2">
        <v>43687</v>
      </c>
      <c r="V503" s="2">
        <v>43012</v>
      </c>
    </row>
    <row r="504" spans="1:22" x14ac:dyDescent="0.2">
      <c r="A504" t="str">
        <f>"306.87 WAT"</f>
        <v>306.87 WAT</v>
      </c>
      <c r="B504" t="str">
        <f>"strength switch: how the new science of "</f>
        <v xml:space="preserve">strength switch: how the new science of </v>
      </c>
      <c r="C504">
        <v>353158</v>
      </c>
      <c r="D504" t="str">
        <f>"Waters, Lea"</f>
        <v>Waters, Lea</v>
      </c>
      <c r="F504" t="str">
        <f>"340 pages, 24 cm, illustrations"</f>
        <v>340 pages, 24 cm, illustrations</v>
      </c>
      <c r="G504" s="1">
        <v>19</v>
      </c>
      <c r="H504">
        <v>2017</v>
      </c>
      <c r="I504" t="str">
        <f t="shared" si="17"/>
        <v>9: 300 - 399</v>
      </c>
      <c r="K504" t="str">
        <f t="shared" si="20"/>
        <v>WB - In</v>
      </c>
      <c r="L504" s="1">
        <v>32</v>
      </c>
      <c r="M504" t="s">
        <v>481</v>
      </c>
      <c r="O504" t="s">
        <v>28</v>
      </c>
      <c r="P504">
        <v>7</v>
      </c>
      <c r="Q504">
        <v>0</v>
      </c>
      <c r="R504">
        <v>7</v>
      </c>
      <c r="S504" s="2">
        <v>43522</v>
      </c>
      <c r="T504" s="2">
        <v>43761</v>
      </c>
      <c r="U504" s="2">
        <v>43763</v>
      </c>
    </row>
    <row r="505" spans="1:22" x14ac:dyDescent="0.2">
      <c r="A505" t="str">
        <f>"306.874 ALP"</f>
        <v>306.874 ALP</v>
      </c>
      <c r="B505" t="str">
        <f>"I want my epidural back: adventures in m"</f>
        <v>I want my epidural back: adventures in m</v>
      </c>
      <c r="C505">
        <v>338136</v>
      </c>
      <c r="D505" t="str">
        <f>"Alpert, Karen"</f>
        <v>Alpert, Karen</v>
      </c>
      <c r="F505" t="str">
        <f>"x, 309 pages, 19 cm, illustrations"</f>
        <v>x, 309 pages, 19 cm, illustrations</v>
      </c>
      <c r="G505" s="1">
        <v>16</v>
      </c>
      <c r="H505">
        <v>2016</v>
      </c>
      <c r="I505" t="str">
        <f t="shared" si="17"/>
        <v>9: 300 - 399</v>
      </c>
      <c r="K505" t="str">
        <f t="shared" si="20"/>
        <v>WB - In</v>
      </c>
      <c r="L505" s="1">
        <v>25</v>
      </c>
      <c r="M505" t="s">
        <v>482</v>
      </c>
      <c r="O505" t="s">
        <v>28</v>
      </c>
      <c r="P505">
        <v>3</v>
      </c>
      <c r="Q505">
        <v>2</v>
      </c>
      <c r="R505">
        <v>8</v>
      </c>
      <c r="S505" s="2">
        <v>42675</v>
      </c>
      <c r="T505" s="2">
        <v>42837</v>
      </c>
      <c r="U505" s="2">
        <v>43244</v>
      </c>
      <c r="V505" s="2">
        <v>42827</v>
      </c>
    </row>
    <row r="506" spans="1:22" x14ac:dyDescent="0.2">
      <c r="A506" t="str">
        <f>"306.874 CHA"</f>
        <v>306.874 CHA</v>
      </c>
      <c r="B506" t="str">
        <f>"Pops: fatherhood in pieces"</f>
        <v>Pops: fatherhood in pieces</v>
      </c>
      <c r="C506">
        <v>348027</v>
      </c>
      <c r="D506" t="str">
        <f>"Chabon, Michael"</f>
        <v>Chabon, Michael</v>
      </c>
      <c r="F506" t="str">
        <f>"127 pages, 20 cm"</f>
        <v>127 pages, 20 cm</v>
      </c>
      <c r="G506" s="1">
        <v>18</v>
      </c>
      <c r="H506">
        <v>2018</v>
      </c>
      <c r="I506" t="str">
        <f t="shared" si="17"/>
        <v>9: 300 - 399</v>
      </c>
      <c r="K506" t="str">
        <f t="shared" si="20"/>
        <v>WB - In</v>
      </c>
      <c r="L506" s="1">
        <v>25</v>
      </c>
      <c r="M506" t="s">
        <v>483</v>
      </c>
      <c r="O506" t="s">
        <v>28</v>
      </c>
      <c r="P506">
        <v>7</v>
      </c>
      <c r="Q506">
        <v>0</v>
      </c>
      <c r="R506">
        <v>7</v>
      </c>
      <c r="S506" s="2">
        <v>43257</v>
      </c>
      <c r="T506" s="2">
        <v>43479</v>
      </c>
      <c r="U506" s="2">
        <v>43407</v>
      </c>
    </row>
    <row r="507" spans="1:22" x14ac:dyDescent="0.2">
      <c r="A507" t="str">
        <f>"306.874 COM"</f>
        <v>306.874 COM</v>
      </c>
      <c r="B507" t="str">
        <f>"Mothering with courage: the mindful appr"</f>
        <v>Mothering with courage: the mindful appr</v>
      </c>
      <c r="C507">
        <v>297035</v>
      </c>
      <c r="D507" t="str">
        <f>"Compton, Bonnie"</f>
        <v>Compton, Bonnie</v>
      </c>
      <c r="F507" t="str">
        <f>"xi, 254 pages, 23 cm"</f>
        <v>xi, 254 pages, 23 cm</v>
      </c>
      <c r="G507" s="1">
        <v>17</v>
      </c>
      <c r="H507">
        <v>2017</v>
      </c>
      <c r="I507" t="str">
        <f t="shared" si="17"/>
        <v>9: 300 - 399</v>
      </c>
      <c r="K507" t="str">
        <f t="shared" si="20"/>
        <v>WB - In</v>
      </c>
      <c r="L507" s="1">
        <v>22</v>
      </c>
      <c r="M507" t="s">
        <v>484</v>
      </c>
      <c r="O507" t="s">
        <v>28</v>
      </c>
      <c r="P507">
        <v>9</v>
      </c>
      <c r="Q507">
        <v>0</v>
      </c>
      <c r="R507">
        <v>9</v>
      </c>
      <c r="S507" s="2">
        <v>43002</v>
      </c>
      <c r="T507" s="2">
        <v>43192</v>
      </c>
      <c r="U507" s="2">
        <v>43372</v>
      </c>
    </row>
    <row r="508" spans="1:22" x14ac:dyDescent="0.2">
      <c r="A508" t="str">
        <f>"306.874 CUS"</f>
        <v>306.874 CUS</v>
      </c>
      <c r="B508" t="str">
        <f>"life's work: on becoming a mother"</f>
        <v>life's work: on becoming a mother</v>
      </c>
      <c r="C508">
        <v>406596</v>
      </c>
      <c r="D508" t="str">
        <f>"Cusk, Rachel,"</f>
        <v>Cusk, Rachel,</v>
      </c>
      <c r="F508" t="str">
        <f>"213 p., 21 cm"</f>
        <v>213 p., 21 cm</v>
      </c>
      <c r="G508" s="1">
        <v>19</v>
      </c>
      <c r="H508">
        <v>2003</v>
      </c>
      <c r="I508" t="str">
        <f t="shared" si="17"/>
        <v>9: 300 - 399</v>
      </c>
      <c r="K508" t="str">
        <f t="shared" si="20"/>
        <v>WB - In</v>
      </c>
      <c r="L508" s="1">
        <v>25</v>
      </c>
      <c r="M508" t="s">
        <v>485</v>
      </c>
      <c r="O508" t="s">
        <v>28</v>
      </c>
      <c r="P508">
        <v>3</v>
      </c>
      <c r="Q508">
        <v>0</v>
      </c>
      <c r="R508">
        <v>3</v>
      </c>
      <c r="S508" s="2">
        <v>43613</v>
      </c>
      <c r="T508" s="2">
        <v>43626</v>
      </c>
      <c r="U508" s="2">
        <v>43695</v>
      </c>
    </row>
    <row r="509" spans="1:22" x14ac:dyDescent="0.2">
      <c r="A509" t="str">
        <f>"306.874 DRE"</f>
        <v>306.874 DRE</v>
      </c>
      <c r="B509" t="str">
        <f>"Our fathers, ourselves: daughters, fathe"</f>
        <v>Our fathers, ourselves: daughters, fathe</v>
      </c>
      <c r="C509">
        <v>304433</v>
      </c>
      <c r="D509" t="str">
        <f>"Drexler, Peggy."</f>
        <v>Drexler, Peggy.</v>
      </c>
      <c r="F509" t="str">
        <f>"xix, 252 p., 23 cm."</f>
        <v>xix, 252 p., 23 cm.</v>
      </c>
      <c r="G509" s="1">
        <v>11</v>
      </c>
      <c r="H509">
        <v>2011</v>
      </c>
      <c r="I509" t="str">
        <f t="shared" si="17"/>
        <v>9: 300 - 399</v>
      </c>
      <c r="K509" t="str">
        <f t="shared" si="20"/>
        <v>WB - In</v>
      </c>
      <c r="L509" s="1">
        <v>30</v>
      </c>
      <c r="M509" t="s">
        <v>486</v>
      </c>
      <c r="O509" t="s">
        <v>28</v>
      </c>
      <c r="P509">
        <v>0</v>
      </c>
      <c r="Q509">
        <v>0</v>
      </c>
      <c r="R509">
        <v>7</v>
      </c>
      <c r="S509" s="2">
        <v>40877</v>
      </c>
      <c r="T509" s="2">
        <v>41053</v>
      </c>
      <c r="U509" s="2">
        <v>41832</v>
      </c>
      <c r="V509" s="2">
        <v>42706</v>
      </c>
    </row>
    <row r="510" spans="1:22" x14ac:dyDescent="0.2">
      <c r="A510" t="str">
        <f>"306.874 DUR"</f>
        <v>306.874 DUR</v>
      </c>
      <c r="B510" t="str">
        <f>"Raising my rainbow: adventures in raisin"</f>
        <v>Raising my rainbow: adventures in raisin</v>
      </c>
      <c r="C510">
        <v>316528</v>
      </c>
      <c r="D510" t="str">
        <f>"Duron, Lori."</f>
        <v>Duron, Lori.</v>
      </c>
      <c r="F510" t="str">
        <f>"ix, 278 p., 21 cm"</f>
        <v>ix, 278 p., 21 cm</v>
      </c>
      <c r="G510" s="1">
        <v>13</v>
      </c>
      <c r="H510">
        <v>2013</v>
      </c>
      <c r="I510" t="str">
        <f t="shared" si="17"/>
        <v>9: 300 - 399</v>
      </c>
      <c r="K510" t="str">
        <f t="shared" si="20"/>
        <v>WB - In</v>
      </c>
      <c r="L510" s="1">
        <v>20</v>
      </c>
      <c r="M510" t="s">
        <v>487</v>
      </c>
      <c r="O510" t="s">
        <v>28</v>
      </c>
      <c r="P510">
        <v>0</v>
      </c>
      <c r="Q510">
        <v>0</v>
      </c>
      <c r="R510">
        <v>4</v>
      </c>
      <c r="S510" s="2">
        <v>41522</v>
      </c>
      <c r="T510" s="2">
        <v>41631</v>
      </c>
      <c r="U510" s="2">
        <v>41587</v>
      </c>
      <c r="V510" s="2">
        <v>41586</v>
      </c>
    </row>
    <row r="511" spans="1:22" x14ac:dyDescent="0.2">
      <c r="A511" t="str">
        <f>"306.874 FRA"</f>
        <v>306.874 FRA</v>
      </c>
      <c r="B511" t="str">
        <f>"Weird parenting wins: bathtub dining, fa"</f>
        <v>Weird parenting wins: bathtub dining, fa</v>
      </c>
      <c r="C511">
        <v>352396</v>
      </c>
      <c r="D511" t="str">
        <f>"Frank, Hillary"</f>
        <v>Frank, Hillary</v>
      </c>
      <c r="F511" t="str">
        <f>"ix, 246 pages, 21 cm, illustrations"</f>
        <v>ix, 246 pages, 21 cm, illustrations</v>
      </c>
      <c r="G511" s="1">
        <v>19</v>
      </c>
      <c r="H511">
        <v>2019</v>
      </c>
      <c r="I511" t="str">
        <f t="shared" si="17"/>
        <v>9: 300 - 399</v>
      </c>
      <c r="K511" t="str">
        <f t="shared" si="20"/>
        <v>WB - In</v>
      </c>
      <c r="L511" s="1">
        <v>22</v>
      </c>
      <c r="M511" t="s">
        <v>488</v>
      </c>
      <c r="O511" t="s">
        <v>28</v>
      </c>
      <c r="P511">
        <v>6</v>
      </c>
      <c r="Q511">
        <v>0</v>
      </c>
      <c r="R511">
        <v>6</v>
      </c>
      <c r="S511" s="2">
        <v>43487</v>
      </c>
      <c r="T511" s="2">
        <v>43674</v>
      </c>
      <c r="U511" s="2">
        <v>43649</v>
      </c>
    </row>
    <row r="512" spans="1:22" x14ac:dyDescent="0.2">
      <c r="A512" t="str">
        <f>"306.874 FRA"</f>
        <v>306.874 FRA</v>
      </c>
      <c r="B512" t="str">
        <f>"Weird parenting wins: bathtub dining, fa"</f>
        <v>Weird parenting wins: bathtub dining, fa</v>
      </c>
      <c r="C512">
        <v>355085</v>
      </c>
      <c r="D512" t="str">
        <f>"Frank, Hillary"</f>
        <v>Frank, Hillary</v>
      </c>
      <c r="F512" t="str">
        <f>"ix, 246 pages, 21 cm, illustrations"</f>
        <v>ix, 246 pages, 21 cm, illustrations</v>
      </c>
      <c r="G512" s="1">
        <v>19</v>
      </c>
      <c r="H512">
        <v>2019</v>
      </c>
      <c r="I512" t="str">
        <f t="shared" si="17"/>
        <v>9: 300 - 399</v>
      </c>
      <c r="K512" t="str">
        <f>"LL - In"</f>
        <v>LL - In</v>
      </c>
      <c r="L512" s="1">
        <v>22</v>
      </c>
      <c r="M512" t="s">
        <v>488</v>
      </c>
      <c r="O512" t="s">
        <v>28</v>
      </c>
      <c r="P512">
        <v>7</v>
      </c>
      <c r="Q512">
        <v>0</v>
      </c>
      <c r="R512">
        <v>7</v>
      </c>
      <c r="S512" s="2">
        <v>43613</v>
      </c>
      <c r="T512" s="2">
        <v>43793</v>
      </c>
      <c r="U512" s="2">
        <v>43765</v>
      </c>
    </row>
    <row r="513" spans="1:22" x14ac:dyDescent="0.2">
      <c r="A513" t="str">
        <f>"306.874 GOO"</f>
        <v>306.874 GOO</v>
      </c>
      <c r="B513" t="str">
        <f>"This is ridiculous, this is amazing: par"</f>
        <v>This is ridiculous, this is amazing: par</v>
      </c>
      <c r="C513">
        <v>321454</v>
      </c>
      <c r="D513" t="str">
        <f>"Good, Jason."</f>
        <v>Good, Jason.</v>
      </c>
      <c r="F513" t="str">
        <f>"176 pages, 19 cm, color illustrations"</f>
        <v>176 pages, 19 cm, color illustrations</v>
      </c>
      <c r="G513" s="1">
        <v>14</v>
      </c>
      <c r="H513">
        <v>2014</v>
      </c>
      <c r="I513" t="str">
        <f t="shared" si="17"/>
        <v>9: 300 - 399</v>
      </c>
      <c r="K513" t="str">
        <f>"WB - In"</f>
        <v>WB - In</v>
      </c>
      <c r="L513" s="1">
        <v>20</v>
      </c>
      <c r="M513" t="s">
        <v>489</v>
      </c>
      <c r="O513" t="s">
        <v>28</v>
      </c>
      <c r="P513">
        <v>2</v>
      </c>
      <c r="Q513">
        <v>1</v>
      </c>
      <c r="R513">
        <v>8</v>
      </c>
      <c r="S513" s="2">
        <v>41780</v>
      </c>
      <c r="T513" s="2">
        <v>41857</v>
      </c>
      <c r="U513" s="2">
        <v>43398</v>
      </c>
      <c r="V513" s="2">
        <v>42883</v>
      </c>
    </row>
    <row r="514" spans="1:22" x14ac:dyDescent="0.2">
      <c r="A514" t="str">
        <f>"306.874 GRE"</f>
        <v>306.874 GRE</v>
      </c>
      <c r="B514" t="str">
        <f>"greatness of dads"</f>
        <v>greatness of dads</v>
      </c>
      <c r="C514">
        <v>341558</v>
      </c>
      <c r="F514" t="str">
        <f>"139 p."</f>
        <v>139 p.</v>
      </c>
      <c r="G514" s="1">
        <v>17</v>
      </c>
      <c r="H514">
        <v>2016</v>
      </c>
      <c r="I514" t="str">
        <f t="shared" si="17"/>
        <v>9: 300 - 399</v>
      </c>
      <c r="K514" t="str">
        <f>"WB - In"</f>
        <v>WB - In</v>
      </c>
      <c r="L514" s="1">
        <v>24</v>
      </c>
      <c r="M514" t="s">
        <v>490</v>
      </c>
      <c r="O514" t="s">
        <v>28</v>
      </c>
      <c r="P514">
        <v>6</v>
      </c>
      <c r="Q514">
        <v>1</v>
      </c>
      <c r="R514">
        <v>7</v>
      </c>
      <c r="S514" s="2">
        <v>42880</v>
      </c>
      <c r="T514" s="2">
        <v>43060</v>
      </c>
      <c r="U514" s="2">
        <v>43011</v>
      </c>
      <c r="V514" s="2">
        <v>43311</v>
      </c>
    </row>
    <row r="515" spans="1:22" x14ac:dyDescent="0.2">
      <c r="A515" t="str">
        <f>"306.874 GUE"</f>
        <v>306.874 GUE</v>
      </c>
      <c r="B515" t="str">
        <f>"Folded wisdom: notes from Dad on life, l"</f>
        <v>Folded wisdom: notes from Dad on life, l</v>
      </c>
      <c r="C515">
        <v>355056</v>
      </c>
      <c r="D515" t="str">
        <f>"Guest, Joanna."</f>
        <v>Guest, Joanna.</v>
      </c>
      <c r="G515" s="1">
        <v>19</v>
      </c>
      <c r="H515">
        <v>2019</v>
      </c>
      <c r="I515" t="str">
        <f t="shared" si="17"/>
        <v>9: 300 - 399</v>
      </c>
      <c r="K515" t="str">
        <f>"LL - In"</f>
        <v>LL - In</v>
      </c>
      <c r="L515" s="1">
        <v>25</v>
      </c>
      <c r="M515" t="s">
        <v>491</v>
      </c>
      <c r="O515" t="s">
        <v>28</v>
      </c>
      <c r="P515">
        <v>2</v>
      </c>
      <c r="Q515">
        <v>1</v>
      </c>
      <c r="R515">
        <v>3</v>
      </c>
      <c r="S515" s="2">
        <v>43613</v>
      </c>
      <c r="T515" s="2">
        <v>43801</v>
      </c>
      <c r="U515" s="2">
        <v>43753</v>
      </c>
      <c r="V515" s="2">
        <v>43741</v>
      </c>
    </row>
    <row r="516" spans="1:22" x14ac:dyDescent="0.2">
      <c r="A516" t="str">
        <f>"306.874 HEN"</f>
        <v>306.874 HEN</v>
      </c>
      <c r="B516" t="s">
        <v>492</v>
      </c>
      <c r="C516">
        <v>354189</v>
      </c>
      <c r="D516" t="str">
        <f>"Hensley, Kristin"</f>
        <v>Hensley, Kristin</v>
      </c>
      <c r="F516" t="str">
        <f>"270 p."</f>
        <v>270 p.</v>
      </c>
      <c r="G516" s="1">
        <v>19</v>
      </c>
      <c r="H516">
        <v>2019</v>
      </c>
      <c r="I516" t="str">
        <f t="shared" si="17"/>
        <v>9: 300 - 399</v>
      </c>
      <c r="K516" t="str">
        <f>"WB - In"</f>
        <v>WB - In</v>
      </c>
      <c r="L516" s="1">
        <v>31</v>
      </c>
      <c r="M516" t="s">
        <v>493</v>
      </c>
      <c r="O516" t="s">
        <v>28</v>
      </c>
      <c r="P516">
        <v>7</v>
      </c>
      <c r="Q516">
        <v>0</v>
      </c>
      <c r="R516">
        <v>7</v>
      </c>
      <c r="S516" s="2">
        <v>43572</v>
      </c>
      <c r="T516" s="2">
        <v>43740</v>
      </c>
      <c r="U516" s="2">
        <v>43723</v>
      </c>
    </row>
    <row r="517" spans="1:22" x14ac:dyDescent="0.2">
      <c r="A517" t="str">
        <f>"306.874 ISA"</f>
        <v>306.874 ISA</v>
      </c>
      <c r="B517" t="str">
        <f>"Walking on eggshells: staying close to y"</f>
        <v>Walking on eggshells: staying close to y</v>
      </c>
      <c r="C517">
        <v>253620</v>
      </c>
      <c r="D517" t="str">
        <f>"Isay, Jane"</f>
        <v>Isay, Jane</v>
      </c>
      <c r="F517" t="str">
        <f>"240 p."</f>
        <v>240 p.</v>
      </c>
      <c r="G517" s="1">
        <v>11</v>
      </c>
      <c r="H517">
        <v>2006</v>
      </c>
      <c r="I517" t="str">
        <f t="shared" si="17"/>
        <v>9: 300 - 399</v>
      </c>
      <c r="K517" t="str">
        <f>"LL - In"</f>
        <v>LL - In</v>
      </c>
      <c r="L517" s="1">
        <v>20</v>
      </c>
      <c r="M517" t="s">
        <v>494</v>
      </c>
      <c r="O517" t="s">
        <v>28</v>
      </c>
      <c r="P517">
        <v>4</v>
      </c>
      <c r="Q517">
        <v>0</v>
      </c>
      <c r="R517">
        <v>18</v>
      </c>
      <c r="S517" s="2">
        <v>40892</v>
      </c>
      <c r="T517" s="2">
        <v>41053</v>
      </c>
      <c r="U517" s="2">
        <v>43373</v>
      </c>
      <c r="V517" s="2">
        <v>42040</v>
      </c>
    </row>
    <row r="518" spans="1:22" x14ac:dyDescent="0.2">
      <c r="A518" t="str">
        <f>"306.874 KOM"</f>
        <v>306.874 KOM</v>
      </c>
      <c r="B518" t="str">
        <f>"Being there: why prioritizing motherhood"</f>
        <v>Being there: why prioritizing motherhood</v>
      </c>
      <c r="C518">
        <v>341466</v>
      </c>
      <c r="D518" t="str">
        <f>"Komisar, Erica"</f>
        <v>Komisar, Erica</v>
      </c>
      <c r="F518" t="str">
        <f>"xvi, 271 pages, 22 cm"</f>
        <v>xvi, 271 pages, 22 cm</v>
      </c>
      <c r="G518" s="1">
        <v>17</v>
      </c>
      <c r="H518">
        <v>2017</v>
      </c>
      <c r="I518" t="str">
        <f t="shared" si="17"/>
        <v>9: 300 - 399</v>
      </c>
      <c r="K518" t="str">
        <f>"WB - In"</f>
        <v>WB - In</v>
      </c>
      <c r="L518" s="1">
        <v>31</v>
      </c>
      <c r="M518" t="s">
        <v>495</v>
      </c>
      <c r="O518" t="s">
        <v>28</v>
      </c>
      <c r="P518">
        <v>6</v>
      </c>
      <c r="Q518">
        <v>0</v>
      </c>
      <c r="R518">
        <v>6</v>
      </c>
      <c r="S518" s="2">
        <v>42879</v>
      </c>
      <c r="T518" s="2">
        <v>43128</v>
      </c>
      <c r="U518" s="2">
        <v>43087</v>
      </c>
    </row>
    <row r="519" spans="1:22" x14ac:dyDescent="0.2">
      <c r="A519" t="str">
        <f>"306.874 LYT"</f>
        <v>306.874 LYT</v>
      </c>
      <c r="B519" t="str">
        <f>"How to raise an adult: break free of the"</f>
        <v>How to raise an adult: break free of the</v>
      </c>
      <c r="C519">
        <v>327899</v>
      </c>
      <c r="D519" t="str">
        <f>"Lythcott-Haims, Julie."</f>
        <v>Lythcott-Haims, Julie.</v>
      </c>
      <c r="F519" t="str">
        <f>"354 p."</f>
        <v>354 p.</v>
      </c>
      <c r="G519" s="1">
        <v>15</v>
      </c>
      <c r="H519">
        <v>2015</v>
      </c>
      <c r="I519" t="str">
        <f t="shared" si="17"/>
        <v>9: 300 - 399</v>
      </c>
      <c r="K519" t="str">
        <f>"WB - Reserve Cart"</f>
        <v>WB - Reserve Cart</v>
      </c>
      <c r="L519" s="1">
        <v>32</v>
      </c>
      <c r="M519" t="s">
        <v>496</v>
      </c>
      <c r="O519" t="s">
        <v>28</v>
      </c>
      <c r="P519">
        <v>18</v>
      </c>
      <c r="Q519">
        <v>3</v>
      </c>
      <c r="R519">
        <v>47</v>
      </c>
      <c r="S519" s="2">
        <v>42165</v>
      </c>
      <c r="T519" s="2">
        <v>43082</v>
      </c>
      <c r="U519" s="2">
        <v>43813</v>
      </c>
      <c r="V519" s="2">
        <v>43347</v>
      </c>
    </row>
    <row r="520" spans="1:22" x14ac:dyDescent="0.2">
      <c r="A520" t="str">
        <f>"306.874 LYT"</f>
        <v>306.874 LYT</v>
      </c>
      <c r="B520" t="str">
        <f>"How to raise an adult: break free of the"</f>
        <v>How to raise an adult: break free of the</v>
      </c>
      <c r="C520">
        <v>291509</v>
      </c>
      <c r="D520" t="str">
        <f>"Lythcott-Haims, Julie."</f>
        <v>Lythcott-Haims, Julie.</v>
      </c>
      <c r="F520" t="str">
        <f>"354 p."</f>
        <v>354 p.</v>
      </c>
      <c r="G520" s="1">
        <v>16</v>
      </c>
      <c r="H520">
        <v>2015</v>
      </c>
      <c r="I520" t="str">
        <f t="shared" ref="I520:I583" si="21">"9: 300 - 399"</f>
        <v>9: 300 - 399</v>
      </c>
      <c r="K520" t="str">
        <f>"WB - Problem"</f>
        <v>WB - Problem</v>
      </c>
      <c r="L520" s="1">
        <v>21</v>
      </c>
      <c r="M520" t="s">
        <v>496</v>
      </c>
      <c r="O520" t="s">
        <v>28</v>
      </c>
      <c r="P520">
        <v>24</v>
      </c>
      <c r="Q520">
        <v>1</v>
      </c>
      <c r="R520">
        <v>30</v>
      </c>
      <c r="S520" s="2">
        <v>42675</v>
      </c>
      <c r="T520" s="2">
        <v>42682</v>
      </c>
      <c r="U520" s="2">
        <v>43669</v>
      </c>
      <c r="V520" s="2">
        <v>42984</v>
      </c>
    </row>
    <row r="521" spans="1:22" x14ac:dyDescent="0.2">
      <c r="A521" t="str">
        <f>"306.874 MAR"</f>
        <v>306.874 MAR</v>
      </c>
      <c r="B521" t="str">
        <f>"Introverted mom: your guide to more calm"</f>
        <v>Introverted mom: your guide to more calm</v>
      </c>
      <c r="C521">
        <v>356130</v>
      </c>
      <c r="D521" t="str">
        <f>"Martin, Jamie C."</f>
        <v>Martin, Jamie C.</v>
      </c>
      <c r="F521" t="str">
        <f>"233 pages, 22 cm"</f>
        <v>233 pages, 22 cm</v>
      </c>
      <c r="G521" s="1">
        <v>19</v>
      </c>
      <c r="H521">
        <v>2019</v>
      </c>
      <c r="I521" t="str">
        <f t="shared" si="21"/>
        <v>9: 300 - 399</v>
      </c>
      <c r="K521" t="str">
        <f>"LL - In"</f>
        <v>LL - In</v>
      </c>
      <c r="L521" s="1">
        <v>23</v>
      </c>
      <c r="M521" t="s">
        <v>497</v>
      </c>
      <c r="O521" t="s">
        <v>28</v>
      </c>
      <c r="P521">
        <v>7</v>
      </c>
      <c r="Q521">
        <v>0</v>
      </c>
      <c r="R521">
        <v>7</v>
      </c>
      <c r="S521" s="2">
        <v>43655</v>
      </c>
      <c r="T521" s="2">
        <v>43822</v>
      </c>
      <c r="U521" s="2">
        <v>43799</v>
      </c>
    </row>
    <row r="522" spans="1:22" x14ac:dyDescent="0.2">
      <c r="A522" t="str">
        <f>"306.874 MCC"</f>
        <v>306.874 MCC</v>
      </c>
      <c r="B522" t="str">
        <f>"Making peace with your adult children"</f>
        <v>Making peace with your adult children</v>
      </c>
      <c r="C522">
        <v>279277</v>
      </c>
      <c r="D522" t="str">
        <f>"McCoy, Kathy"</f>
        <v>McCoy, Kathy</v>
      </c>
      <c r="F522" t="str">
        <f>"105 p."</f>
        <v>105 p.</v>
      </c>
      <c r="G522" s="1">
        <v>15</v>
      </c>
      <c r="H522">
        <v>2013</v>
      </c>
      <c r="I522" t="str">
        <f t="shared" si="21"/>
        <v>9: 300 - 399</v>
      </c>
      <c r="K522" t="str">
        <f>"WB - In"</f>
        <v>WB - In</v>
      </c>
      <c r="L522" s="1">
        <v>17</v>
      </c>
      <c r="M522" t="s">
        <v>498</v>
      </c>
      <c r="O522" t="s">
        <v>28</v>
      </c>
      <c r="P522">
        <v>4</v>
      </c>
      <c r="Q522">
        <v>0</v>
      </c>
      <c r="R522">
        <v>5</v>
      </c>
      <c r="S522" s="2">
        <v>42032</v>
      </c>
      <c r="T522" s="2">
        <v>42041</v>
      </c>
      <c r="U522" s="2">
        <v>43739</v>
      </c>
    </row>
    <row r="523" spans="1:22" x14ac:dyDescent="0.2">
      <c r="A523" t="str">
        <f>"306.874 MCG"</f>
        <v>306.874 MCG</v>
      </c>
      <c r="B523" t="str">
        <f>"Done with the crying: help and healing f"</f>
        <v>Done with the crying: help and healing f</v>
      </c>
      <c r="C523">
        <v>347075</v>
      </c>
      <c r="D523" t="str">
        <f>"McGregor, Sheri,"</f>
        <v>McGregor, Sheri,</v>
      </c>
      <c r="F523" t="str">
        <f>"347 pages, 23 cm"</f>
        <v>347 pages, 23 cm</v>
      </c>
      <c r="G523" s="1">
        <v>18</v>
      </c>
      <c r="H523">
        <v>2016</v>
      </c>
      <c r="I523" t="str">
        <f t="shared" si="21"/>
        <v>9: 300 - 399</v>
      </c>
      <c r="K523" t="str">
        <f>"LL - In"</f>
        <v>LL - In</v>
      </c>
      <c r="L523" s="1">
        <v>27</v>
      </c>
      <c r="M523" t="s">
        <v>499</v>
      </c>
      <c r="O523" t="s">
        <v>28</v>
      </c>
      <c r="P523">
        <v>5</v>
      </c>
      <c r="Q523">
        <v>0</v>
      </c>
      <c r="R523">
        <v>5</v>
      </c>
      <c r="S523" s="2">
        <v>43193</v>
      </c>
      <c r="T523" s="2">
        <v>43201</v>
      </c>
      <c r="U523" s="2">
        <v>43696</v>
      </c>
    </row>
    <row r="524" spans="1:22" x14ac:dyDescent="0.2">
      <c r="A524" t="str">
        <f>"306.874 MEE"</f>
        <v>306.874 MEE</v>
      </c>
      <c r="B524" t="str">
        <f>"Hero: being the strong father your child"</f>
        <v>Hero: being the strong father your child</v>
      </c>
      <c r="C524">
        <v>342299</v>
      </c>
      <c r="D524" t="str">
        <f>"Meeker, Margaret J."</f>
        <v>Meeker, Margaret J.</v>
      </c>
      <c r="F524" t="str">
        <f>"xi, 204 pages, 24 cm"</f>
        <v>xi, 204 pages, 24 cm</v>
      </c>
      <c r="G524" s="1">
        <v>17</v>
      </c>
      <c r="H524">
        <v>2017</v>
      </c>
      <c r="I524" t="str">
        <f t="shared" si="21"/>
        <v>9: 300 - 399</v>
      </c>
      <c r="K524" t="str">
        <f>"LL - In"</f>
        <v>LL - In</v>
      </c>
      <c r="L524" s="1">
        <v>30</v>
      </c>
      <c r="M524" t="s">
        <v>500</v>
      </c>
      <c r="O524" t="s">
        <v>28</v>
      </c>
      <c r="P524">
        <v>6</v>
      </c>
      <c r="Q524">
        <v>1</v>
      </c>
      <c r="R524">
        <v>7</v>
      </c>
      <c r="S524" s="2">
        <v>42919</v>
      </c>
      <c r="T524" s="2">
        <v>43122</v>
      </c>
      <c r="U524" s="2">
        <v>43091</v>
      </c>
      <c r="V524" s="2">
        <v>43246</v>
      </c>
    </row>
    <row r="525" spans="1:22" x14ac:dyDescent="0.2">
      <c r="A525" t="str">
        <f>"306.874 MEE"</f>
        <v>306.874 MEE</v>
      </c>
      <c r="B525" t="str">
        <f>"Strong fathers, strong daughters: 10 sec"</f>
        <v>Strong fathers, strong daughters: 10 sec</v>
      </c>
      <c r="C525">
        <v>347062</v>
      </c>
      <c r="D525" t="str">
        <f>"Meeker, Margaret J."</f>
        <v>Meeker, Margaret J.</v>
      </c>
      <c r="F525" t="str">
        <f>"xv, 294, 21 pages, 21 cm"</f>
        <v>xv, 294, 21 pages, 21 cm</v>
      </c>
      <c r="G525" s="1">
        <v>18</v>
      </c>
      <c r="H525">
        <v>2017</v>
      </c>
      <c r="I525" t="str">
        <f t="shared" si="21"/>
        <v>9: 300 - 399</v>
      </c>
      <c r="K525" t="str">
        <f>"WB - In"</f>
        <v>WB - In</v>
      </c>
      <c r="L525" s="1">
        <v>22</v>
      </c>
      <c r="M525" t="s">
        <v>501</v>
      </c>
      <c r="O525" t="s">
        <v>28</v>
      </c>
      <c r="P525">
        <v>0</v>
      </c>
      <c r="Q525">
        <v>0</v>
      </c>
      <c r="R525">
        <v>0</v>
      </c>
      <c r="S525" s="2">
        <v>43192</v>
      </c>
      <c r="T525" s="2">
        <v>43214</v>
      </c>
    </row>
    <row r="526" spans="1:22" x14ac:dyDescent="0.2">
      <c r="A526" t="str">
        <f>"306.874 MEE"</f>
        <v>306.874 MEE</v>
      </c>
      <c r="B526" t="str">
        <f>"Strong mothers, strong sons: lessons mot"</f>
        <v>Strong mothers, strong sons: lessons mot</v>
      </c>
      <c r="C526">
        <v>344604</v>
      </c>
      <c r="D526" t="str">
        <f>"Meeker, Margaret J."</f>
        <v>Meeker, Margaret J.</v>
      </c>
      <c r="F526" t="str">
        <f>"xix, 341 p., 21 cm"</f>
        <v>xix, 341 p., 21 cm</v>
      </c>
      <c r="G526" s="1">
        <v>17</v>
      </c>
      <c r="H526">
        <v>2015</v>
      </c>
      <c r="I526" t="str">
        <f t="shared" si="21"/>
        <v>9: 300 - 399</v>
      </c>
      <c r="K526" t="str">
        <f>"WB - In"</f>
        <v>WB - In</v>
      </c>
      <c r="L526" s="1">
        <v>21</v>
      </c>
      <c r="M526" t="s">
        <v>502</v>
      </c>
      <c r="O526" t="s">
        <v>28</v>
      </c>
      <c r="P526">
        <v>10</v>
      </c>
      <c r="Q526">
        <v>0</v>
      </c>
      <c r="R526">
        <v>10</v>
      </c>
      <c r="S526" s="2">
        <v>43047</v>
      </c>
      <c r="T526" s="2">
        <v>43060</v>
      </c>
      <c r="U526" s="2">
        <v>43809</v>
      </c>
    </row>
    <row r="527" spans="1:22" x14ac:dyDescent="0.2">
      <c r="A527" t="str">
        <f>"306.874 MEN"</f>
        <v>306.874 MEN</v>
      </c>
      <c r="B527" t="str">
        <f>"Homing instincts: early motherhood on a "</f>
        <v xml:space="preserve">Homing instincts: early motherhood on a </v>
      </c>
      <c r="C527">
        <v>341829</v>
      </c>
      <c r="D527" t="str">
        <f>"Menkedick, Sarah"</f>
        <v>Menkedick, Sarah</v>
      </c>
      <c r="F527" t="str">
        <f>"255 pages, 21 cm"</f>
        <v>255 pages, 21 cm</v>
      </c>
      <c r="G527" s="1">
        <v>17</v>
      </c>
      <c r="H527">
        <v>2017</v>
      </c>
      <c r="I527" t="str">
        <f t="shared" si="21"/>
        <v>9: 300 - 399</v>
      </c>
      <c r="K527" t="str">
        <f>"LL - In"</f>
        <v>LL - In</v>
      </c>
      <c r="L527" s="1">
        <v>30</v>
      </c>
      <c r="M527" t="s">
        <v>503</v>
      </c>
      <c r="O527" t="s">
        <v>28</v>
      </c>
      <c r="P527">
        <v>7</v>
      </c>
      <c r="Q527">
        <v>0</v>
      </c>
      <c r="R527">
        <v>7</v>
      </c>
      <c r="S527" s="2">
        <v>42898</v>
      </c>
      <c r="T527" s="2">
        <v>43082</v>
      </c>
      <c r="U527" s="2">
        <v>43450</v>
      </c>
    </row>
    <row r="528" spans="1:22" x14ac:dyDescent="0.2">
      <c r="A528" t="str">
        <f>"306.874 OGR"</f>
        <v>306.874 OGR</v>
      </c>
      <c r="B528" t="str">
        <f>"Dial down the drama: reducing conflict a"</f>
        <v>Dial down the drama: reducing conflict a</v>
      </c>
      <c r="C528">
        <v>333801</v>
      </c>
      <c r="D528" t="str">
        <f>"O'Grady, Colleen."</f>
        <v>O'Grady, Colleen.</v>
      </c>
      <c r="F528" t="str">
        <f>"x, 245 pages, 23 cm, illustrations"</f>
        <v>x, 245 pages, 23 cm, illustrations</v>
      </c>
      <c r="G528" s="1">
        <v>16</v>
      </c>
      <c r="H528">
        <v>2016</v>
      </c>
      <c r="I528" t="str">
        <f t="shared" si="21"/>
        <v>9: 300 - 399</v>
      </c>
      <c r="K528" t="str">
        <f>"LL - In"</f>
        <v>LL - In</v>
      </c>
      <c r="L528" s="1">
        <v>22</v>
      </c>
      <c r="M528" t="s">
        <v>504</v>
      </c>
      <c r="O528" t="s">
        <v>28</v>
      </c>
      <c r="P528">
        <v>4</v>
      </c>
      <c r="Q528">
        <v>0</v>
      </c>
      <c r="R528">
        <v>8</v>
      </c>
      <c r="S528" s="2">
        <v>42443</v>
      </c>
      <c r="T528" s="2">
        <v>42590</v>
      </c>
      <c r="U528" s="2">
        <v>43410</v>
      </c>
    </row>
    <row r="529" spans="1:22" x14ac:dyDescent="0.2">
      <c r="A529" t="str">
        <f>"306.874 PAR"</f>
        <v>306.874 PAR</v>
      </c>
      <c r="B529" t="str">
        <f>"How to raise your adult children: becaus"</f>
        <v>How to raise your adult children: becaus</v>
      </c>
      <c r="C529">
        <v>144503</v>
      </c>
      <c r="D529" t="str">
        <f>"Parent, Gail."</f>
        <v>Parent, Gail.</v>
      </c>
      <c r="F529" t="str">
        <f>"288 p., 24 cm."</f>
        <v>288 p., 24 cm.</v>
      </c>
      <c r="G529" s="1">
        <v>10</v>
      </c>
      <c r="H529">
        <v>2010</v>
      </c>
      <c r="I529" t="str">
        <f t="shared" si="21"/>
        <v>9: 300 - 399</v>
      </c>
      <c r="K529" t="str">
        <f>"WB - In"</f>
        <v>WB - In</v>
      </c>
      <c r="L529" s="1">
        <v>31</v>
      </c>
      <c r="M529" t="s">
        <v>505</v>
      </c>
      <c r="O529" t="s">
        <v>28</v>
      </c>
      <c r="P529">
        <v>5</v>
      </c>
      <c r="Q529">
        <v>0</v>
      </c>
      <c r="R529">
        <v>28</v>
      </c>
      <c r="S529" s="2">
        <v>40403</v>
      </c>
      <c r="T529" s="2">
        <v>41053</v>
      </c>
      <c r="U529" s="2">
        <v>43785</v>
      </c>
      <c r="V529" s="2">
        <v>42515</v>
      </c>
    </row>
    <row r="530" spans="1:22" x14ac:dyDescent="0.2">
      <c r="A530" t="str">
        <f>"306.874 SHI"</f>
        <v>306.874 SHI</v>
      </c>
      <c r="B530" t="str">
        <f>"grown-up's guide to teenage humans: how "</f>
        <v xml:space="preserve">grown-up's guide to teenage humans: how </v>
      </c>
      <c r="C530">
        <v>343801</v>
      </c>
      <c r="D530" t="str">
        <f>"Shipp, Josh."</f>
        <v>Shipp, Josh.</v>
      </c>
      <c r="F530" t="str">
        <f>"300 p."</f>
        <v>300 p.</v>
      </c>
      <c r="G530" s="1">
        <v>17</v>
      </c>
      <c r="H530">
        <v>2017</v>
      </c>
      <c r="I530" t="str">
        <f t="shared" si="21"/>
        <v>9: 300 - 399</v>
      </c>
      <c r="K530" t="str">
        <f>"LL - In"</f>
        <v>LL - In</v>
      </c>
      <c r="L530" s="1">
        <v>32</v>
      </c>
      <c r="M530" t="s">
        <v>506</v>
      </c>
      <c r="O530" t="s">
        <v>28</v>
      </c>
      <c r="P530">
        <v>8</v>
      </c>
      <c r="Q530">
        <v>0</v>
      </c>
      <c r="R530">
        <v>8</v>
      </c>
      <c r="S530" s="2">
        <v>43005</v>
      </c>
      <c r="T530" s="2">
        <v>43220</v>
      </c>
      <c r="U530" s="2">
        <v>43246</v>
      </c>
    </row>
    <row r="531" spans="1:22" x14ac:dyDescent="0.2">
      <c r="A531" t="str">
        <f>"306.874 STA"</f>
        <v>306.874 STA</v>
      </c>
      <c r="B531" t="str">
        <f>"Hands free mama: a guide to putting down"</f>
        <v>Hands free mama: a guide to putting down</v>
      </c>
      <c r="C531">
        <v>319387</v>
      </c>
      <c r="D531" t="str">
        <f>"Stafford, Rachel Macy,"</f>
        <v>Stafford, Rachel Macy,</v>
      </c>
      <c r="F531" t="str">
        <f>"237 pages, 22 cm"</f>
        <v>237 pages, 22 cm</v>
      </c>
      <c r="G531" s="1">
        <v>14</v>
      </c>
      <c r="H531">
        <v>2013</v>
      </c>
      <c r="I531" t="str">
        <f t="shared" si="21"/>
        <v>9: 300 - 399</v>
      </c>
      <c r="K531" t="str">
        <f>"LL - In"</f>
        <v>LL - In</v>
      </c>
      <c r="L531" s="1">
        <v>21</v>
      </c>
      <c r="M531" t="s">
        <v>507</v>
      </c>
      <c r="O531" t="s">
        <v>28</v>
      </c>
      <c r="P531">
        <v>7</v>
      </c>
      <c r="Q531">
        <v>0</v>
      </c>
      <c r="R531">
        <v>22</v>
      </c>
      <c r="S531" s="2">
        <v>41662</v>
      </c>
      <c r="T531" s="2">
        <v>41981</v>
      </c>
      <c r="U531" s="2">
        <v>43351</v>
      </c>
      <c r="V531" s="2">
        <v>41890</v>
      </c>
    </row>
    <row r="532" spans="1:22" x14ac:dyDescent="0.2">
      <c r="A532" t="str">
        <f>"306.874 STE"</f>
        <v>306.874 STE</v>
      </c>
      <c r="B532" t="str">
        <f>"Motherhood is a b#tch: 10 steps to regai"</f>
        <v>Motherhood is a b#tch: 10 steps to regai</v>
      </c>
      <c r="C532">
        <v>343091</v>
      </c>
      <c r="D532" t="str">
        <f>"Stern, Lyss"</f>
        <v>Stern, Lyss</v>
      </c>
      <c r="F532" t="str">
        <f>"116 p."</f>
        <v>116 p.</v>
      </c>
      <c r="G532" s="1">
        <v>17</v>
      </c>
      <c r="H532">
        <v>2017</v>
      </c>
      <c r="I532" t="str">
        <f t="shared" si="21"/>
        <v>9: 300 - 399</v>
      </c>
      <c r="K532" t="str">
        <f>"LL - In"</f>
        <v>LL - In</v>
      </c>
      <c r="L532" s="1">
        <v>25</v>
      </c>
      <c r="M532" t="s">
        <v>508</v>
      </c>
      <c r="O532" t="s">
        <v>28</v>
      </c>
      <c r="P532">
        <v>3</v>
      </c>
      <c r="Q532">
        <v>1</v>
      </c>
      <c r="R532">
        <v>4</v>
      </c>
      <c r="S532" s="2">
        <v>42963</v>
      </c>
      <c r="T532" s="2">
        <v>43143</v>
      </c>
      <c r="U532" s="2">
        <v>43118</v>
      </c>
      <c r="V532" s="2">
        <v>43143</v>
      </c>
    </row>
    <row r="533" spans="1:22" x14ac:dyDescent="0.2">
      <c r="A533" t="str">
        <f>"306.874 TRA"</f>
        <v>306.874 TRA</v>
      </c>
      <c r="B533" t="str">
        <f>"Act natural: a cultural history of misad"</f>
        <v>Act natural: a cultural history of misad</v>
      </c>
      <c r="C533">
        <v>352367</v>
      </c>
      <c r="D533" t="str">
        <f>"Traig, Jennifer"</f>
        <v>Traig, Jennifer</v>
      </c>
      <c r="F533" t="str">
        <f>"xvi, 336 pages, 24 cm, illustrations"</f>
        <v>xvi, 336 pages, 24 cm, illustrations</v>
      </c>
      <c r="G533" s="1">
        <v>19</v>
      </c>
      <c r="H533">
        <v>2019</v>
      </c>
      <c r="I533" t="str">
        <f t="shared" si="21"/>
        <v>9: 300 - 399</v>
      </c>
      <c r="K533" t="str">
        <f>"WB - In"</f>
        <v>WB - In</v>
      </c>
      <c r="L533" s="1">
        <v>32</v>
      </c>
      <c r="M533" t="s">
        <v>509</v>
      </c>
      <c r="O533" t="s">
        <v>28</v>
      </c>
      <c r="P533">
        <v>4</v>
      </c>
      <c r="Q533">
        <v>0</v>
      </c>
      <c r="R533">
        <v>4</v>
      </c>
      <c r="S533" s="2">
        <v>43487</v>
      </c>
      <c r="T533" s="2">
        <v>43663</v>
      </c>
      <c r="U533" s="2">
        <v>43610</v>
      </c>
    </row>
    <row r="534" spans="1:22" x14ac:dyDescent="0.2">
      <c r="A534" t="str">
        <f>"306.874 TUR"</f>
        <v>306.874 TUR</v>
      </c>
      <c r="B534" t="str">
        <f>"unmumsy mum: the hilarious highs and emo"</f>
        <v>unmumsy mum: the hilarious highs and emo</v>
      </c>
      <c r="C534">
        <v>341633</v>
      </c>
      <c r="D534" t="str">
        <f>"Turner, Sarah,"</f>
        <v>Turner, Sarah,</v>
      </c>
      <c r="F534" t="str">
        <f>"xxiii, 276 pages, 21 cm"</f>
        <v>xxiii, 276 pages, 21 cm</v>
      </c>
      <c r="G534" s="1">
        <v>17</v>
      </c>
      <c r="H534">
        <v>2017</v>
      </c>
      <c r="I534" t="str">
        <f t="shared" si="21"/>
        <v>9: 300 - 399</v>
      </c>
      <c r="K534" t="str">
        <f>"WB - In"</f>
        <v>WB - In</v>
      </c>
      <c r="L534" s="1">
        <v>21</v>
      </c>
      <c r="M534" t="s">
        <v>510</v>
      </c>
      <c r="O534" t="s">
        <v>28</v>
      </c>
      <c r="P534">
        <v>6</v>
      </c>
      <c r="Q534">
        <v>1</v>
      </c>
      <c r="R534">
        <v>7</v>
      </c>
      <c r="S534" s="2">
        <v>42886</v>
      </c>
      <c r="T534" s="2">
        <v>43082</v>
      </c>
      <c r="U534" s="2">
        <v>43039</v>
      </c>
      <c r="V534" s="2">
        <v>43006</v>
      </c>
    </row>
    <row r="535" spans="1:22" x14ac:dyDescent="0.2">
      <c r="A535" t="str">
        <f>"306.874 WAH"</f>
        <v>306.874 WAH</v>
      </c>
      <c r="B535" t="str">
        <f>"My two moms: lessons of love, strength, "</f>
        <v xml:space="preserve">My two moms: lessons of love, strength, </v>
      </c>
      <c r="C535">
        <v>307289</v>
      </c>
      <c r="D535" t="str">
        <f>"Wahls, Zach."</f>
        <v>Wahls, Zach.</v>
      </c>
      <c r="F535" t="str">
        <f>"234 p."</f>
        <v>234 p.</v>
      </c>
      <c r="G535" s="1">
        <v>12</v>
      </c>
      <c r="H535">
        <v>2012</v>
      </c>
      <c r="I535" t="str">
        <f t="shared" si="21"/>
        <v>9: 300 - 399</v>
      </c>
      <c r="K535" t="str">
        <f>"WB - In"</f>
        <v>WB - In</v>
      </c>
      <c r="L535" s="1">
        <v>31</v>
      </c>
      <c r="M535" t="s">
        <v>511</v>
      </c>
      <c r="O535" t="s">
        <v>28</v>
      </c>
      <c r="P535">
        <v>0</v>
      </c>
      <c r="Q535">
        <v>0</v>
      </c>
      <c r="R535">
        <v>6</v>
      </c>
      <c r="S535" s="2">
        <v>41032</v>
      </c>
      <c r="T535" s="2">
        <v>41143</v>
      </c>
      <c r="U535" s="2">
        <v>41392</v>
      </c>
    </row>
    <row r="536" spans="1:22" x14ac:dyDescent="0.2">
      <c r="A536" t="str">
        <f>"306.874 WHA"</f>
        <v>306.874 WHA</v>
      </c>
      <c r="B536" t="str">
        <f>"What my mother and I don't talk about: f"</f>
        <v>What my mother and I don't talk about: f</v>
      </c>
      <c r="C536">
        <v>354781</v>
      </c>
      <c r="F536" t="str">
        <f>"xviii, 267 pages, 22 cm"</f>
        <v>xviii, 267 pages, 22 cm</v>
      </c>
      <c r="G536" s="1">
        <v>19</v>
      </c>
      <c r="H536">
        <v>2019</v>
      </c>
      <c r="I536" t="str">
        <f t="shared" si="21"/>
        <v>9: 300 - 399</v>
      </c>
      <c r="K536" t="str">
        <f>"LL - Out"</f>
        <v>LL - Out</v>
      </c>
      <c r="L536" s="1">
        <v>31</v>
      </c>
      <c r="M536" t="s">
        <v>512</v>
      </c>
      <c r="O536" t="s">
        <v>28</v>
      </c>
      <c r="P536">
        <v>10</v>
      </c>
      <c r="Q536">
        <v>0</v>
      </c>
      <c r="R536">
        <v>10</v>
      </c>
      <c r="S536" s="2">
        <v>43602</v>
      </c>
      <c r="T536" s="2">
        <v>43810</v>
      </c>
      <c r="U536" s="2">
        <v>43848</v>
      </c>
    </row>
    <row r="537" spans="1:22" x14ac:dyDescent="0.2">
      <c r="A537" t="str">
        <f>"306.874 YBA"</f>
        <v>306.874 YBA</v>
      </c>
      <c r="B537" t="str">
        <f>"Sh*tty mom for all seasons: half-@ssing "</f>
        <v xml:space="preserve">Sh*tty mom for all seasons: half-@ssing </v>
      </c>
      <c r="C537">
        <v>356730</v>
      </c>
      <c r="D537" t="str">
        <f>"Ybarbo, Alicia"</f>
        <v>Ybarbo, Alicia</v>
      </c>
      <c r="F537" t="str">
        <f>"173 pages, 22 cm"</f>
        <v>173 pages, 22 cm</v>
      </c>
      <c r="G537" s="1">
        <v>19</v>
      </c>
      <c r="H537">
        <v>2016</v>
      </c>
      <c r="I537" t="str">
        <f t="shared" si="21"/>
        <v>9: 300 - 399</v>
      </c>
      <c r="K537" t="str">
        <f>"LL - In"</f>
        <v>LL - In</v>
      </c>
      <c r="L537" s="1">
        <v>25</v>
      </c>
      <c r="M537" t="s">
        <v>513</v>
      </c>
      <c r="O537" t="s">
        <v>28</v>
      </c>
      <c r="P537">
        <v>1</v>
      </c>
      <c r="Q537">
        <v>0</v>
      </c>
      <c r="R537">
        <v>1</v>
      </c>
      <c r="S537" s="2">
        <v>43683</v>
      </c>
      <c r="T537" s="2">
        <v>43685</v>
      </c>
      <c r="U537" s="2">
        <v>43694</v>
      </c>
    </row>
    <row r="538" spans="1:22" x14ac:dyDescent="0.2">
      <c r="A538" t="str">
        <f>"306.874 ZIE"</f>
        <v>306.874 ZIE</v>
      </c>
      <c r="B538" t="str">
        <f>"Mommy burnout: how to reclaim your life "</f>
        <v xml:space="preserve">Mommy burnout: how to reclaim your life </v>
      </c>
      <c r="C538">
        <v>305866</v>
      </c>
      <c r="D538" t="str">
        <f>"Ziegler, Sheryl"</f>
        <v>Ziegler, Sheryl</v>
      </c>
      <c r="F538" t="str">
        <f>"311 pages, 24 cm"</f>
        <v>311 pages, 24 cm</v>
      </c>
      <c r="G538" s="1">
        <v>18</v>
      </c>
      <c r="H538">
        <v>2018</v>
      </c>
      <c r="I538" t="str">
        <f t="shared" si="21"/>
        <v>9: 300 - 399</v>
      </c>
      <c r="K538" t="str">
        <f>"LL - In"</f>
        <v>LL - In</v>
      </c>
      <c r="L538" s="1">
        <v>32</v>
      </c>
      <c r="M538" t="s">
        <v>514</v>
      </c>
      <c r="O538" t="s">
        <v>28</v>
      </c>
      <c r="P538">
        <v>5</v>
      </c>
      <c r="Q538">
        <v>1</v>
      </c>
      <c r="R538">
        <v>6</v>
      </c>
      <c r="S538" s="2">
        <v>43174</v>
      </c>
      <c r="T538" s="2">
        <v>43348</v>
      </c>
      <c r="U538" s="2">
        <v>43328</v>
      </c>
      <c r="V538" s="2">
        <v>43677</v>
      </c>
    </row>
    <row r="539" spans="1:22" x14ac:dyDescent="0.2">
      <c r="A539" t="str">
        <f>"306.89 AND"</f>
        <v>306.89 AND</v>
      </c>
      <c r="B539" t="str">
        <f>"Divorce with grace: a book of hope &amp; hea"</f>
        <v>Divorce with grace: a book of hope &amp; hea</v>
      </c>
      <c r="C539">
        <v>273706</v>
      </c>
      <c r="D539" t="str">
        <f>"Anderson, Lori"</f>
        <v>Anderson, Lori</v>
      </c>
      <c r="F539" t="str">
        <f>"146 p."</f>
        <v>146 p.</v>
      </c>
      <c r="G539" s="1">
        <v>14</v>
      </c>
      <c r="H539">
        <v>2013</v>
      </c>
      <c r="I539" t="str">
        <f t="shared" si="21"/>
        <v>9: 300 - 399</v>
      </c>
      <c r="K539" t="str">
        <f>"WB - In"</f>
        <v>WB - In</v>
      </c>
      <c r="L539" s="1">
        <v>21</v>
      </c>
      <c r="M539" t="s">
        <v>515</v>
      </c>
      <c r="O539" t="s">
        <v>28</v>
      </c>
      <c r="P539">
        <v>2</v>
      </c>
      <c r="Q539">
        <v>1</v>
      </c>
      <c r="R539">
        <v>6</v>
      </c>
      <c r="S539" s="2">
        <v>41786</v>
      </c>
      <c r="T539" s="2">
        <v>41787</v>
      </c>
      <c r="U539" s="2">
        <v>43815</v>
      </c>
      <c r="V539" s="2">
        <v>43536</v>
      </c>
    </row>
    <row r="540" spans="1:22" x14ac:dyDescent="0.2">
      <c r="A540" t="str">
        <f>"306.89 EME"</f>
        <v>306.89 EME</v>
      </c>
      <c r="B540" t="str">
        <f>"Two homes, one childhood: a parenting pl"</f>
        <v>Two homes, one childhood: a parenting pl</v>
      </c>
      <c r="C540">
        <v>337014</v>
      </c>
      <c r="D540" t="str">
        <f>"Emery, Robert E."</f>
        <v>Emery, Robert E.</v>
      </c>
      <c r="F540" t="str">
        <f>"325 pages, 24 cm"</f>
        <v>325 pages, 24 cm</v>
      </c>
      <c r="G540" s="1">
        <v>16</v>
      </c>
      <c r="H540">
        <v>2016</v>
      </c>
      <c r="I540" t="str">
        <f t="shared" si="21"/>
        <v>9: 300 - 399</v>
      </c>
      <c r="K540" t="str">
        <f>"WB - In"</f>
        <v>WB - In</v>
      </c>
      <c r="L540" s="1">
        <v>31</v>
      </c>
      <c r="M540" t="s">
        <v>516</v>
      </c>
      <c r="O540" t="s">
        <v>28</v>
      </c>
      <c r="P540">
        <v>2</v>
      </c>
      <c r="Q540">
        <v>0</v>
      </c>
      <c r="R540">
        <v>4</v>
      </c>
      <c r="S540" s="2">
        <v>42605</v>
      </c>
      <c r="T540" s="2">
        <v>42732</v>
      </c>
      <c r="U540" s="2">
        <v>42899</v>
      </c>
    </row>
    <row r="541" spans="1:22" x14ac:dyDescent="0.2">
      <c r="A541" t="str">
        <f>"306.89 FAR"</f>
        <v>306.89 FAR</v>
      </c>
      <c r="B541" t="str">
        <f>"Raising the kid you love with the ex you"</f>
        <v>Raising the kid you love with the ex you</v>
      </c>
      <c r="C541">
        <v>263454</v>
      </c>
      <c r="D541" t="str">
        <f>"Farber, Edward D."</f>
        <v>Farber, Edward D.</v>
      </c>
      <c r="F541" t="str">
        <f>"209 p."</f>
        <v>209 p.</v>
      </c>
      <c r="G541" s="1">
        <v>13</v>
      </c>
      <c r="H541">
        <v>2013</v>
      </c>
      <c r="I541" t="str">
        <f t="shared" si="21"/>
        <v>9: 300 - 399</v>
      </c>
      <c r="K541" t="str">
        <f>"LL - In"</f>
        <v>LL - In</v>
      </c>
      <c r="L541" s="1">
        <v>23</v>
      </c>
      <c r="M541" t="s">
        <v>517</v>
      </c>
      <c r="O541" t="s">
        <v>28</v>
      </c>
      <c r="P541">
        <v>1</v>
      </c>
      <c r="Q541">
        <v>0</v>
      </c>
      <c r="R541">
        <v>8</v>
      </c>
      <c r="S541" s="2">
        <v>41304</v>
      </c>
      <c r="T541" s="2">
        <v>41424</v>
      </c>
      <c r="U541" s="2">
        <v>42796</v>
      </c>
      <c r="V541" s="2">
        <v>41726</v>
      </c>
    </row>
    <row r="542" spans="1:22" x14ac:dyDescent="0.2">
      <c r="A542" t="str">
        <f>"306.89 FEL"</f>
        <v>306.89 FEL</v>
      </c>
      <c r="B542" t="str">
        <f>"good divorce: how to walk away financial"</f>
        <v>good divorce: how to walk away financial</v>
      </c>
      <c r="C542">
        <v>148524</v>
      </c>
      <c r="D542" t="str">
        <f>"Felder, Raoul Lionel,"</f>
        <v>Felder, Raoul Lionel,</v>
      </c>
      <c r="F542" t="str">
        <f>"296 p."</f>
        <v>296 p.</v>
      </c>
      <c r="G542" s="1">
        <v>11</v>
      </c>
      <c r="H542">
        <v>2011</v>
      </c>
      <c r="I542" t="str">
        <f t="shared" si="21"/>
        <v>9: 300 - 399</v>
      </c>
      <c r="K542" t="str">
        <f t="shared" ref="K542:K548" si="22">"WB - In"</f>
        <v>WB - In</v>
      </c>
      <c r="L542" s="1">
        <v>30</v>
      </c>
      <c r="M542" t="s">
        <v>518</v>
      </c>
      <c r="O542" t="s">
        <v>28</v>
      </c>
      <c r="P542">
        <v>5</v>
      </c>
      <c r="Q542">
        <v>1</v>
      </c>
      <c r="R542">
        <v>23</v>
      </c>
      <c r="S542" s="2">
        <v>40604</v>
      </c>
      <c r="T542" s="2">
        <v>41053</v>
      </c>
      <c r="U542" s="2">
        <v>43844</v>
      </c>
      <c r="V542" s="2">
        <v>43073</v>
      </c>
    </row>
    <row r="543" spans="1:22" x14ac:dyDescent="0.2">
      <c r="A543" t="str">
        <f>"306.89 FIN"</f>
        <v>306.89 FIN</v>
      </c>
      <c r="B543" t="str">
        <f>"Split: a memoir of divorce"</f>
        <v>Split: a memoir of divorce</v>
      </c>
      <c r="C543">
        <v>221207</v>
      </c>
      <c r="D543" t="str">
        <f>"Finnamore, Suzanne"</f>
        <v>Finnamore, Suzanne</v>
      </c>
      <c r="F543" t="str">
        <f>"253 p."</f>
        <v>253 p.</v>
      </c>
      <c r="G543">
        <v>9</v>
      </c>
      <c r="H543">
        <v>2008</v>
      </c>
      <c r="I543" t="str">
        <f t="shared" si="21"/>
        <v>9: 300 - 399</v>
      </c>
      <c r="K543" t="str">
        <f t="shared" si="22"/>
        <v>WB - In</v>
      </c>
      <c r="L543" s="1">
        <v>30</v>
      </c>
      <c r="M543" t="s">
        <v>519</v>
      </c>
      <c r="O543" t="s">
        <v>28</v>
      </c>
      <c r="P543">
        <v>1</v>
      </c>
      <c r="Q543">
        <v>0</v>
      </c>
      <c r="R543">
        <v>14</v>
      </c>
      <c r="S543" s="2">
        <v>39883</v>
      </c>
      <c r="T543" s="2">
        <v>41053</v>
      </c>
      <c r="U543" s="2">
        <v>43073</v>
      </c>
      <c r="V543" s="2">
        <v>41961</v>
      </c>
    </row>
    <row r="544" spans="1:22" x14ac:dyDescent="0.2">
      <c r="A544" t="str">
        <f>"306.89 FOR"</f>
        <v>306.89 FOR</v>
      </c>
      <c r="B544" t="str">
        <f>"Spiritual divorce: divorce as a catalyst"</f>
        <v>Spiritual divorce: divorce as a catalyst</v>
      </c>
      <c r="C544">
        <v>325168</v>
      </c>
      <c r="D544" t="str">
        <f>"Ford, Debbie"</f>
        <v>Ford, Debbie</v>
      </c>
      <c r="F544" t="str">
        <f>"xvii, 214 p., 25 cm."</f>
        <v>xvii, 214 p., 25 cm.</v>
      </c>
      <c r="G544" s="1">
        <v>14</v>
      </c>
      <c r="H544">
        <v>2001</v>
      </c>
      <c r="I544" t="str">
        <f t="shared" si="21"/>
        <v>9: 300 - 399</v>
      </c>
      <c r="K544" t="str">
        <f t="shared" si="22"/>
        <v>WB - In</v>
      </c>
      <c r="L544" s="1">
        <v>21</v>
      </c>
      <c r="M544" t="s">
        <v>520</v>
      </c>
      <c r="O544" t="s">
        <v>28</v>
      </c>
      <c r="P544">
        <v>4</v>
      </c>
      <c r="Q544">
        <v>0</v>
      </c>
      <c r="R544">
        <v>8</v>
      </c>
      <c r="S544" s="2">
        <v>41995</v>
      </c>
      <c r="T544" s="2">
        <v>42003</v>
      </c>
      <c r="U544" s="2">
        <v>43815</v>
      </c>
      <c r="V544" s="2">
        <v>42464</v>
      </c>
    </row>
    <row r="545" spans="1:22" x14ac:dyDescent="0.2">
      <c r="A545" t="str">
        <f>"306.89 GRE"</f>
        <v>306.89 GRE</v>
      </c>
      <c r="B545" t="str">
        <f>"Divorce after 50: your guide to the uniq"</f>
        <v>Divorce after 50: your guide to the uniq</v>
      </c>
      <c r="C545">
        <v>326480</v>
      </c>
      <c r="D545" t="str">
        <f>"Green, Janice,"</f>
        <v>Green, Janice,</v>
      </c>
      <c r="F545" t="str">
        <f>"367 p., 23 cm, forms"</f>
        <v>367 p., 23 cm, forms</v>
      </c>
      <c r="G545" s="1">
        <v>15</v>
      </c>
      <c r="H545">
        <v>2013</v>
      </c>
      <c r="I545" t="str">
        <f t="shared" si="21"/>
        <v>9: 300 - 399</v>
      </c>
      <c r="K545" t="str">
        <f t="shared" si="22"/>
        <v>WB - In</v>
      </c>
      <c r="L545" s="1">
        <v>35</v>
      </c>
      <c r="M545" t="s">
        <v>521</v>
      </c>
      <c r="O545" t="s">
        <v>28</v>
      </c>
      <c r="P545">
        <v>1</v>
      </c>
      <c r="Q545">
        <v>0</v>
      </c>
      <c r="R545">
        <v>4</v>
      </c>
      <c r="S545" s="2">
        <v>42079</v>
      </c>
      <c r="T545" s="2">
        <v>42111</v>
      </c>
      <c r="U545" s="2">
        <v>43507</v>
      </c>
      <c r="V545" s="2">
        <v>42275</v>
      </c>
    </row>
    <row r="546" spans="1:22" x14ac:dyDescent="0.2">
      <c r="A546" t="str">
        <f>"306.89 MCB"</f>
        <v>306.89 MCB</v>
      </c>
      <c r="B546" t="str">
        <f>"Talking to children about divorce: a par"</f>
        <v>Talking to children about divorce: a par</v>
      </c>
      <c r="C546">
        <v>287492</v>
      </c>
      <c r="D546" t="str">
        <f>"McBride, Jean"</f>
        <v>McBride, Jean</v>
      </c>
      <c r="F546" t="str">
        <f>"144 p."</f>
        <v>144 p.</v>
      </c>
      <c r="G546" s="1">
        <v>16</v>
      </c>
      <c r="H546">
        <v>2016</v>
      </c>
      <c r="I546" t="str">
        <f t="shared" si="21"/>
        <v>9: 300 - 399</v>
      </c>
      <c r="K546" t="str">
        <f t="shared" si="22"/>
        <v>WB - In</v>
      </c>
      <c r="L546" s="1">
        <v>19</v>
      </c>
      <c r="O546" t="s">
        <v>28</v>
      </c>
      <c r="P546">
        <v>0</v>
      </c>
      <c r="Q546">
        <v>1</v>
      </c>
      <c r="R546">
        <v>2</v>
      </c>
      <c r="S546" s="2">
        <v>42480</v>
      </c>
      <c r="T546" s="2">
        <v>42514</v>
      </c>
      <c r="V546" s="2">
        <v>43628</v>
      </c>
    </row>
    <row r="547" spans="1:22" x14ac:dyDescent="0.2">
      <c r="A547" t="str">
        <f>"306.89 MOS"</f>
        <v>306.89 MOS</v>
      </c>
      <c r="B547" t="str">
        <f>"smart divorce: proven strategies and val"</f>
        <v>smart divorce: proven strategies and val</v>
      </c>
      <c r="C547">
        <v>127219</v>
      </c>
      <c r="D547" t="str">
        <f>"Moskovitch, Deborah"</f>
        <v>Moskovitch, Deborah</v>
      </c>
      <c r="F547" t="str">
        <f>"204 p.."</f>
        <v>204 p..</v>
      </c>
      <c r="G547" s="1">
        <v>7</v>
      </c>
      <c r="H547">
        <v>2007</v>
      </c>
      <c r="I547" t="str">
        <f t="shared" si="21"/>
        <v>9: 300 - 399</v>
      </c>
      <c r="K547" t="str">
        <f t="shared" si="22"/>
        <v>WB - In</v>
      </c>
      <c r="L547" s="1">
        <v>20</v>
      </c>
      <c r="M547" t="s">
        <v>522</v>
      </c>
      <c r="O547" t="s">
        <v>28</v>
      </c>
      <c r="P547">
        <v>4</v>
      </c>
      <c r="Q547">
        <v>2</v>
      </c>
      <c r="R547">
        <v>33</v>
      </c>
      <c r="S547" s="2">
        <v>39294</v>
      </c>
      <c r="T547" s="2">
        <v>41053</v>
      </c>
      <c r="U547" s="2">
        <v>43815</v>
      </c>
      <c r="V547" s="2">
        <v>43645</v>
      </c>
    </row>
    <row r="548" spans="1:22" x14ac:dyDescent="0.2">
      <c r="A548" t="str">
        <f>"306.89 NEU"</f>
        <v>306.89 NEU</v>
      </c>
      <c r="B548" t="str">
        <f>"Helping your kids cope with divorce the "</f>
        <v xml:space="preserve">Helping your kids cope with divorce the </v>
      </c>
      <c r="C548">
        <v>324108</v>
      </c>
      <c r="D548" t="str">
        <f>"Neuman, M. Gary."</f>
        <v>Neuman, M. Gary.</v>
      </c>
      <c r="F548" t="str">
        <f>"xiii, 460 p., 24 cm, ill."</f>
        <v>xiii, 460 p., 24 cm, ill.</v>
      </c>
      <c r="G548" s="1">
        <v>14</v>
      </c>
      <c r="H548">
        <v>1998</v>
      </c>
      <c r="I548" t="str">
        <f t="shared" si="21"/>
        <v>9: 300 - 399</v>
      </c>
      <c r="K548" t="str">
        <f t="shared" si="22"/>
        <v>WB - In</v>
      </c>
      <c r="L548" s="1">
        <v>25</v>
      </c>
      <c r="M548" t="s">
        <v>523</v>
      </c>
      <c r="O548" t="s">
        <v>28</v>
      </c>
      <c r="P548">
        <v>2</v>
      </c>
      <c r="Q548">
        <v>0</v>
      </c>
      <c r="R548">
        <v>4</v>
      </c>
      <c r="S548" s="2">
        <v>41926</v>
      </c>
      <c r="T548" s="2">
        <v>41947</v>
      </c>
      <c r="U548" s="2">
        <v>43816</v>
      </c>
    </row>
    <row r="549" spans="1:22" x14ac:dyDescent="0.2">
      <c r="A549" t="str">
        <f>"306.89 NEU"</f>
        <v>306.89 NEU</v>
      </c>
      <c r="B549" t="str">
        <f>"Helping your kids cope with divorce the "</f>
        <v xml:space="preserve">Helping your kids cope with divorce the </v>
      </c>
      <c r="C549">
        <v>326484</v>
      </c>
      <c r="D549" t="str">
        <f>"Neuman, M. Gary."</f>
        <v>Neuman, M. Gary.</v>
      </c>
      <c r="F549" t="str">
        <f>"xiii, 460 p., 24 cm, ill."</f>
        <v>xiii, 460 p., 24 cm, ill.</v>
      </c>
      <c r="G549" s="1">
        <v>15</v>
      </c>
      <c r="H549">
        <v>1998</v>
      </c>
      <c r="I549" t="str">
        <f t="shared" si="21"/>
        <v>9: 300 - 399</v>
      </c>
      <c r="K549" t="str">
        <f>"LL - In"</f>
        <v>LL - In</v>
      </c>
      <c r="L549" s="1">
        <v>25</v>
      </c>
      <c r="M549" t="s">
        <v>523</v>
      </c>
      <c r="O549" t="s">
        <v>28</v>
      </c>
      <c r="P549">
        <v>1</v>
      </c>
      <c r="Q549">
        <v>1</v>
      </c>
      <c r="R549">
        <v>3</v>
      </c>
      <c r="S549" s="2">
        <v>42079</v>
      </c>
      <c r="T549" s="2">
        <v>42111</v>
      </c>
      <c r="U549" s="2">
        <v>43096</v>
      </c>
      <c r="V549" s="2">
        <v>43789</v>
      </c>
    </row>
    <row r="550" spans="1:22" x14ac:dyDescent="0.2">
      <c r="A550" t="str">
        <f>"306.89 ONE"</f>
        <v>306.89 ONE</v>
      </c>
      <c r="B550" t="str">
        <f>"Basics of Texas divorce law"</f>
        <v>Basics of Texas divorce law</v>
      </c>
      <c r="C550">
        <v>287716</v>
      </c>
      <c r="D550" t="str">
        <f>"O'Neil, Michelle"</f>
        <v>O'Neil, Michelle</v>
      </c>
      <c r="F550" t="str">
        <f>"177 p."</f>
        <v>177 p.</v>
      </c>
      <c r="G550" s="1">
        <v>16</v>
      </c>
      <c r="H550">
        <v>2016</v>
      </c>
      <c r="I550" t="str">
        <f t="shared" si="21"/>
        <v>9: 300 - 399</v>
      </c>
      <c r="K550" t="str">
        <f>"WB - In"</f>
        <v>WB - In</v>
      </c>
      <c r="L550" s="1">
        <v>15</v>
      </c>
      <c r="M550" t="s">
        <v>524</v>
      </c>
      <c r="O550" t="s">
        <v>28</v>
      </c>
      <c r="P550">
        <v>7</v>
      </c>
      <c r="Q550">
        <v>2</v>
      </c>
      <c r="R550">
        <v>9</v>
      </c>
      <c r="S550" s="2">
        <v>42480</v>
      </c>
      <c r="T550" s="2">
        <v>42538</v>
      </c>
      <c r="U550" s="2">
        <v>43815</v>
      </c>
      <c r="V550" s="2">
        <v>43431</v>
      </c>
    </row>
    <row r="551" spans="1:22" x14ac:dyDescent="0.2">
      <c r="A551" t="str">
        <f>"306.89 SHE"</f>
        <v>306.89 SHE</v>
      </c>
      <c r="B551" t="str">
        <f>"How to do your own divorce in Texas, 201"</f>
        <v>How to do your own divorce in Texas, 201</v>
      </c>
      <c r="C551">
        <v>283290</v>
      </c>
      <c r="D551" t="str">
        <f>"Sherman, Ed"</f>
        <v>Sherman, Ed</v>
      </c>
      <c r="F551" t="str">
        <f>"150 p., includes CD-ROM"</f>
        <v>150 p., includes CD-ROM</v>
      </c>
      <c r="G551" s="1">
        <v>15</v>
      </c>
      <c r="H551">
        <v>2015</v>
      </c>
      <c r="I551" t="str">
        <f t="shared" si="21"/>
        <v>9: 300 - 399</v>
      </c>
      <c r="K551" t="str">
        <f>"WB - In"</f>
        <v>WB - In</v>
      </c>
      <c r="L551" s="1">
        <v>35</v>
      </c>
      <c r="M551" t="s">
        <v>525</v>
      </c>
      <c r="O551" t="s">
        <v>28</v>
      </c>
      <c r="P551">
        <v>3</v>
      </c>
      <c r="Q551">
        <v>1</v>
      </c>
      <c r="R551">
        <v>6</v>
      </c>
      <c r="S551" s="2">
        <v>42325</v>
      </c>
      <c r="T551" s="2">
        <v>42328</v>
      </c>
      <c r="U551" s="2">
        <v>43506</v>
      </c>
      <c r="V551" s="2">
        <v>43628</v>
      </c>
    </row>
    <row r="552" spans="1:22" x14ac:dyDescent="0.2">
      <c r="A552" t="str">
        <f>"306.89 SHE"</f>
        <v>306.89 SHE</v>
      </c>
      <c r="B552" t="str">
        <f>"How to do your own divorce in Texas, 201"</f>
        <v>How to do your own divorce in Texas, 201</v>
      </c>
      <c r="C552">
        <v>283291</v>
      </c>
      <c r="D552" t="str">
        <f>"Sherman, Ed"</f>
        <v>Sherman, Ed</v>
      </c>
      <c r="F552" t="str">
        <f>"150 p., includes CD-ROM"</f>
        <v>150 p., includes CD-ROM</v>
      </c>
      <c r="G552" s="1">
        <v>15</v>
      </c>
      <c r="H552">
        <v>2015</v>
      </c>
      <c r="I552" t="str">
        <f t="shared" si="21"/>
        <v>9: 300 - 399</v>
      </c>
      <c r="K552" t="str">
        <f>"LL - In"</f>
        <v>LL - In</v>
      </c>
      <c r="L552" s="1">
        <v>35</v>
      </c>
      <c r="M552" t="s">
        <v>525</v>
      </c>
      <c r="O552" t="s">
        <v>28</v>
      </c>
      <c r="P552">
        <v>1</v>
      </c>
      <c r="Q552">
        <v>1</v>
      </c>
      <c r="R552">
        <v>3</v>
      </c>
      <c r="S552" s="2">
        <v>42325</v>
      </c>
      <c r="T552" s="2">
        <v>42328</v>
      </c>
      <c r="U552" s="2">
        <v>43005</v>
      </c>
      <c r="V552" s="2">
        <v>43701</v>
      </c>
    </row>
    <row r="553" spans="1:22" x14ac:dyDescent="0.2">
      <c r="A553" t="str">
        <f>"306.89 STA"</f>
        <v>306.89 STA</v>
      </c>
      <c r="B553" t="str">
        <f>"divorce talk: how to tell the kids - a p"</f>
        <v>divorce talk: how to tell the kids - a p</v>
      </c>
      <c r="C553">
        <v>287717</v>
      </c>
      <c r="D553" t="str">
        <f>"Stark, Vikki"</f>
        <v>Stark, Vikki</v>
      </c>
      <c r="F553" t="str">
        <f>"126 p."</f>
        <v>126 p.</v>
      </c>
      <c r="G553" s="1">
        <v>16</v>
      </c>
      <c r="H553">
        <v>2016</v>
      </c>
      <c r="I553" t="str">
        <f t="shared" si="21"/>
        <v>9: 300 - 399</v>
      </c>
      <c r="K553" t="str">
        <f>"WB - In"</f>
        <v>WB - In</v>
      </c>
      <c r="L553" s="1">
        <v>23</v>
      </c>
      <c r="M553" t="s">
        <v>526</v>
      </c>
      <c r="O553" t="s">
        <v>28</v>
      </c>
      <c r="P553">
        <v>0</v>
      </c>
      <c r="Q553">
        <v>0</v>
      </c>
      <c r="R553">
        <v>0</v>
      </c>
      <c r="S553" s="2">
        <v>42480</v>
      </c>
      <c r="T553" s="2">
        <v>42522</v>
      </c>
    </row>
    <row r="554" spans="1:22" x14ac:dyDescent="0.2">
      <c r="A554" t="str">
        <f>"306.89 STO"</f>
        <v>306.89 STO</v>
      </c>
      <c r="B554" t="str">
        <f>"Divorce without court: a guide to mediat"</f>
        <v>Divorce without court: a guide to mediat</v>
      </c>
      <c r="C554">
        <v>352970</v>
      </c>
      <c r="D554" t="str">
        <f>"Stoner, Katherine E.,"</f>
        <v>Stoner, Katherine E.,</v>
      </c>
      <c r="F554" t="str">
        <f>"465 pages, 23 cm"</f>
        <v>465 pages, 23 cm</v>
      </c>
      <c r="G554" s="1">
        <v>19</v>
      </c>
      <c r="H554">
        <v>2018</v>
      </c>
      <c r="I554" t="str">
        <f t="shared" si="21"/>
        <v>9: 300 - 399</v>
      </c>
      <c r="K554" t="str">
        <f>"WB - Out"</f>
        <v>WB - Out</v>
      </c>
      <c r="L554" s="1">
        <v>40</v>
      </c>
      <c r="M554" t="s">
        <v>527</v>
      </c>
      <c r="O554" t="s">
        <v>28</v>
      </c>
      <c r="P554">
        <v>1</v>
      </c>
      <c r="Q554">
        <v>0</v>
      </c>
      <c r="R554">
        <v>1</v>
      </c>
      <c r="S554" s="2">
        <v>43515</v>
      </c>
      <c r="T554" s="2">
        <v>43542</v>
      </c>
      <c r="U554" s="2">
        <v>43815</v>
      </c>
    </row>
    <row r="555" spans="1:22" x14ac:dyDescent="0.2">
      <c r="A555" t="str">
        <f>"306.89 TAL"</f>
        <v>306.89 TAL</v>
      </c>
      <c r="B555" t="str">
        <f>"How to avoid the divorce from hell: and "</f>
        <v xml:space="preserve">How to avoid the divorce from hell: and </v>
      </c>
      <c r="C555">
        <v>287713</v>
      </c>
      <c r="D555" t="str">
        <f>"Talia, M. Sue"</f>
        <v>Talia, M. Sue</v>
      </c>
      <c r="F555" t="str">
        <f>"309 p."</f>
        <v>309 p.</v>
      </c>
      <c r="G555" s="1">
        <v>16</v>
      </c>
      <c r="H555">
        <v>2016</v>
      </c>
      <c r="I555" t="str">
        <f t="shared" si="21"/>
        <v>9: 300 - 399</v>
      </c>
      <c r="K555" t="str">
        <f>"WB - In"</f>
        <v>WB - In</v>
      </c>
      <c r="L555" s="1">
        <v>23</v>
      </c>
      <c r="O555" t="s">
        <v>28</v>
      </c>
      <c r="P555">
        <v>3</v>
      </c>
      <c r="Q555">
        <v>0</v>
      </c>
      <c r="R555">
        <v>5</v>
      </c>
      <c r="S555" s="2">
        <v>42480</v>
      </c>
      <c r="T555" s="2">
        <v>42496</v>
      </c>
      <c r="U555" s="2">
        <v>43815</v>
      </c>
    </row>
    <row r="556" spans="1:22" x14ac:dyDescent="0.2">
      <c r="A556" t="str">
        <f>"306.89 TOD"</f>
        <v>306.89 TOD</v>
      </c>
      <c r="B556" t="str">
        <f>"Lone star divorce"</f>
        <v>Lone star divorce</v>
      </c>
      <c r="C556">
        <v>276327</v>
      </c>
      <c r="D556" t="str">
        <f>"Todd, David"</f>
        <v>Todd, David</v>
      </c>
      <c r="F556" t="str">
        <f>"76 p."</f>
        <v>76 p.</v>
      </c>
      <c r="G556" s="1">
        <v>14</v>
      </c>
      <c r="H556">
        <v>2013</v>
      </c>
      <c r="I556" t="str">
        <f t="shared" si="21"/>
        <v>9: 300 - 399</v>
      </c>
      <c r="K556" t="str">
        <f>"LL - Out"</f>
        <v>LL - Out</v>
      </c>
      <c r="L556" s="1">
        <v>20</v>
      </c>
      <c r="M556" t="s">
        <v>528</v>
      </c>
      <c r="O556" t="s">
        <v>28</v>
      </c>
      <c r="P556">
        <v>2</v>
      </c>
      <c r="Q556">
        <v>0</v>
      </c>
      <c r="R556">
        <v>6</v>
      </c>
      <c r="S556" s="2">
        <v>41890</v>
      </c>
      <c r="T556" s="2">
        <v>41891</v>
      </c>
      <c r="U556" s="2">
        <v>43853</v>
      </c>
      <c r="V556" s="2">
        <v>42151</v>
      </c>
    </row>
    <row r="557" spans="1:22" x14ac:dyDescent="0.2">
      <c r="A557" t="str">
        <f>"306.89 VAN"</f>
        <v>306.89 VAN</v>
      </c>
      <c r="B557" t="str">
        <f>"Protecting your assets from a Texas divo"</f>
        <v>Protecting your assets from a Texas divo</v>
      </c>
      <c r="C557">
        <v>229433</v>
      </c>
      <c r="D557" t="str">
        <f>"Vanden Eykel, Ike"</f>
        <v>Vanden Eykel, Ike</v>
      </c>
      <c r="F557" t="str">
        <f>"333 p."</f>
        <v>333 p.</v>
      </c>
      <c r="G557" s="1">
        <v>9</v>
      </c>
      <c r="H557">
        <v>2005</v>
      </c>
      <c r="I557" t="str">
        <f t="shared" si="21"/>
        <v>9: 300 - 399</v>
      </c>
      <c r="K557" t="str">
        <f>"WB - In"</f>
        <v>WB - In</v>
      </c>
      <c r="L557" s="1">
        <v>25</v>
      </c>
      <c r="M557" t="s">
        <v>529</v>
      </c>
      <c r="O557" t="s">
        <v>28</v>
      </c>
      <c r="P557">
        <v>2</v>
      </c>
      <c r="Q557">
        <v>0</v>
      </c>
      <c r="R557">
        <v>23</v>
      </c>
      <c r="S557" s="2">
        <v>40037</v>
      </c>
      <c r="T557" s="2">
        <v>41053</v>
      </c>
      <c r="U557" s="2">
        <v>43557</v>
      </c>
      <c r="V557" s="2">
        <v>42275</v>
      </c>
    </row>
    <row r="558" spans="1:22" x14ac:dyDescent="0.2">
      <c r="A558" t="str">
        <f>"306.89 WOO"</f>
        <v>306.89 WOO</v>
      </c>
      <c r="B558" t="str">
        <f>"Divorce &amp; money: how to make the best fi"</f>
        <v>Divorce &amp; money: how to make the best fi</v>
      </c>
      <c r="C558">
        <v>331071</v>
      </c>
      <c r="D558" t="str">
        <f>"Woodhouse, Violet"</f>
        <v>Woodhouse, Violet</v>
      </c>
      <c r="F558" t="str">
        <f>"522 pages, 23 cm, forms"</f>
        <v>522 pages, 23 cm, forms</v>
      </c>
      <c r="G558" s="1">
        <v>15</v>
      </c>
      <c r="H558">
        <v>2014</v>
      </c>
      <c r="I558" t="str">
        <f t="shared" si="21"/>
        <v>9: 300 - 399</v>
      </c>
      <c r="K558" t="str">
        <f>"WB - Out"</f>
        <v>WB - Out</v>
      </c>
      <c r="L558" s="1">
        <v>40</v>
      </c>
      <c r="M558" t="s">
        <v>530</v>
      </c>
      <c r="O558" t="s">
        <v>28</v>
      </c>
      <c r="P558">
        <v>4</v>
      </c>
      <c r="Q558">
        <v>0</v>
      </c>
      <c r="R558">
        <v>5</v>
      </c>
      <c r="S558" s="2">
        <v>42313</v>
      </c>
      <c r="T558" s="2">
        <v>42318</v>
      </c>
      <c r="U558" s="2">
        <v>43844</v>
      </c>
    </row>
    <row r="559" spans="1:22" x14ac:dyDescent="0.2">
      <c r="A559" t="str">
        <f>"306.89 ZEM"</f>
        <v>306.89 ZEM</v>
      </c>
      <c r="B559" t="str">
        <f>"Building a parenting agreement that work"</f>
        <v>Building a parenting agreement that work</v>
      </c>
      <c r="C559">
        <v>331060</v>
      </c>
      <c r="D559" t="str">
        <f>"Zemmelman, Mimi Lyster"</f>
        <v>Zemmelman, Mimi Lyster</v>
      </c>
      <c r="F559" t="str">
        <f>"338 pages, 28 cm, illustrations"</f>
        <v>338 pages, 28 cm, illustrations</v>
      </c>
      <c r="G559" s="1">
        <v>15</v>
      </c>
      <c r="H559">
        <v>2014</v>
      </c>
      <c r="I559" t="str">
        <f t="shared" si="21"/>
        <v>9: 300 - 399</v>
      </c>
      <c r="K559" t="str">
        <f>"WB - In"</f>
        <v>WB - In</v>
      </c>
      <c r="L559" s="1">
        <v>35</v>
      </c>
      <c r="M559" t="s">
        <v>531</v>
      </c>
      <c r="O559" t="s">
        <v>28</v>
      </c>
      <c r="P559">
        <v>6</v>
      </c>
      <c r="Q559">
        <v>0</v>
      </c>
      <c r="R559">
        <v>8</v>
      </c>
      <c r="S559" s="2">
        <v>42313</v>
      </c>
      <c r="T559" s="2">
        <v>42360</v>
      </c>
      <c r="U559" s="2">
        <v>43795</v>
      </c>
    </row>
    <row r="560" spans="1:22" x14ac:dyDescent="0.2">
      <c r="A560" t="str">
        <f>"306.9 DEA"</f>
        <v>306.9 DEA</v>
      </c>
      <c r="B560" t="str">
        <f>"Death and bereavement across cultures"</f>
        <v>Death and bereavement across cultures</v>
      </c>
      <c r="C560">
        <v>320345</v>
      </c>
      <c r="F560" t="str">
        <f>"vi, 261 p., 23 cm"</f>
        <v>vi, 261 p., 23 cm</v>
      </c>
      <c r="G560" s="1">
        <v>14</v>
      </c>
      <c r="H560">
        <v>1997</v>
      </c>
      <c r="I560" t="str">
        <f t="shared" si="21"/>
        <v>9: 300 - 399</v>
      </c>
      <c r="K560" t="str">
        <f>"WB - In"</f>
        <v>WB - In</v>
      </c>
      <c r="L560" s="1">
        <v>50</v>
      </c>
      <c r="M560" t="s">
        <v>532</v>
      </c>
      <c r="O560" t="s">
        <v>28</v>
      </c>
      <c r="P560">
        <v>0</v>
      </c>
      <c r="Q560">
        <v>0</v>
      </c>
      <c r="R560">
        <v>1</v>
      </c>
      <c r="S560" s="2">
        <v>41710</v>
      </c>
      <c r="T560" s="2">
        <v>41737</v>
      </c>
      <c r="U560" s="2">
        <v>41972</v>
      </c>
    </row>
    <row r="561" spans="1:22" x14ac:dyDescent="0.2">
      <c r="A561" t="str">
        <f>"306.9 EHR"</f>
        <v>306.9 EHR</v>
      </c>
      <c r="B561" t="str">
        <f>"Natural causes: an epidemic of wellness,"</f>
        <v>Natural causes: an epidemic of wellness,</v>
      </c>
      <c r="C561">
        <v>347130</v>
      </c>
      <c r="D561" t="str">
        <f>"Ehrenreich, Barbara"</f>
        <v>Ehrenreich, Barbara</v>
      </c>
      <c r="F561" t="str">
        <f>"xv, 234 pages, 22 cm"</f>
        <v>xv, 234 pages, 22 cm</v>
      </c>
      <c r="G561" s="1">
        <v>18</v>
      </c>
      <c r="H561">
        <v>2018</v>
      </c>
      <c r="I561" t="str">
        <f t="shared" si="21"/>
        <v>9: 300 - 399</v>
      </c>
      <c r="K561" t="str">
        <f>"LL - In"</f>
        <v>LL - In</v>
      </c>
      <c r="L561" s="1">
        <v>32</v>
      </c>
      <c r="M561" t="s">
        <v>533</v>
      </c>
      <c r="O561" t="s">
        <v>28</v>
      </c>
      <c r="P561">
        <v>12</v>
      </c>
      <c r="Q561">
        <v>0</v>
      </c>
      <c r="R561">
        <v>12</v>
      </c>
      <c r="S561" s="2">
        <v>43199</v>
      </c>
      <c r="T561" s="2">
        <v>43355</v>
      </c>
      <c r="U561" s="2">
        <v>43348</v>
      </c>
    </row>
    <row r="562" spans="1:22" x14ac:dyDescent="0.2">
      <c r="A562" t="str">
        <f>"306.9 EHR"</f>
        <v>306.9 EHR</v>
      </c>
      <c r="B562" t="str">
        <f>"Natural causes: an epidemic of wellness,"</f>
        <v>Natural causes: an epidemic of wellness,</v>
      </c>
      <c r="C562">
        <v>347789</v>
      </c>
      <c r="D562" t="str">
        <f>"Ehrenreich, Barbara"</f>
        <v>Ehrenreich, Barbara</v>
      </c>
      <c r="F562" t="str">
        <f>"xv, 234 pages, 22 cm"</f>
        <v>xv, 234 pages, 22 cm</v>
      </c>
      <c r="G562" s="1">
        <v>18</v>
      </c>
      <c r="H562">
        <v>2018</v>
      </c>
      <c r="I562" t="str">
        <f t="shared" si="21"/>
        <v>9: 300 - 399</v>
      </c>
      <c r="K562" t="str">
        <f>"WB - In"</f>
        <v>WB - In</v>
      </c>
      <c r="L562" s="1">
        <v>32</v>
      </c>
      <c r="M562" t="s">
        <v>533</v>
      </c>
      <c r="O562" t="s">
        <v>28</v>
      </c>
      <c r="P562">
        <v>12</v>
      </c>
      <c r="Q562">
        <v>0</v>
      </c>
      <c r="R562">
        <v>12</v>
      </c>
      <c r="S562" s="2">
        <v>43243</v>
      </c>
      <c r="T562" s="2">
        <v>43420</v>
      </c>
      <c r="U562" s="2">
        <v>43473</v>
      </c>
    </row>
    <row r="563" spans="1:22" x14ac:dyDescent="0.2">
      <c r="A563" t="str">
        <f>"306.9 MIL"</f>
        <v>306.9 MIL</v>
      </c>
      <c r="B563" t="str">
        <f>"beginner's guide to the end: practical a"</f>
        <v>beginner's guide to the end: practical a</v>
      </c>
      <c r="C563">
        <v>356261</v>
      </c>
      <c r="D563" t="str">
        <f>"Miller, Bruce J.,"</f>
        <v>Miller, Bruce J.,</v>
      </c>
      <c r="F563" t="str">
        <f>"520 p."</f>
        <v>520 p.</v>
      </c>
      <c r="G563" s="1">
        <v>19</v>
      </c>
      <c r="H563">
        <v>2019</v>
      </c>
      <c r="I563" t="str">
        <f t="shared" si="21"/>
        <v>9: 300 - 399</v>
      </c>
      <c r="K563" t="str">
        <f>"LL - In"</f>
        <v>LL - In</v>
      </c>
      <c r="L563" s="1">
        <v>28</v>
      </c>
      <c r="M563" t="s">
        <v>534</v>
      </c>
      <c r="O563" t="s">
        <v>28</v>
      </c>
      <c r="P563">
        <v>4</v>
      </c>
      <c r="Q563">
        <v>0</v>
      </c>
      <c r="R563">
        <v>4</v>
      </c>
      <c r="S563" s="2">
        <v>43661</v>
      </c>
      <c r="T563" s="2">
        <v>43857</v>
      </c>
      <c r="U563" s="2">
        <v>43829</v>
      </c>
    </row>
    <row r="564" spans="1:22" x14ac:dyDescent="0.2">
      <c r="A564" t="str">
        <f>"306.9 NEU"</f>
        <v>306.9 NEU</v>
      </c>
      <c r="B564" t="str">
        <f>"good death: an exploration of dying in A"</f>
        <v>good death: an exploration of dying in A</v>
      </c>
      <c r="C564">
        <v>333533</v>
      </c>
      <c r="D564" t="str">
        <f>"Neumann, Ann,"</f>
        <v>Neumann, Ann,</v>
      </c>
      <c r="F564" t="str">
        <f>"240 pages, 24 cm"</f>
        <v>240 pages, 24 cm</v>
      </c>
      <c r="G564" s="1">
        <v>16</v>
      </c>
      <c r="H564">
        <v>2016</v>
      </c>
      <c r="I564" t="str">
        <f t="shared" si="21"/>
        <v>9: 300 - 399</v>
      </c>
      <c r="K564" t="str">
        <f>"WB - In"</f>
        <v>WB - In</v>
      </c>
      <c r="L564" s="1">
        <v>32</v>
      </c>
      <c r="M564" t="s">
        <v>535</v>
      </c>
      <c r="O564" t="s">
        <v>28</v>
      </c>
      <c r="P564">
        <v>1</v>
      </c>
      <c r="Q564">
        <v>0</v>
      </c>
      <c r="R564">
        <v>9</v>
      </c>
      <c r="S564" s="2">
        <v>42429</v>
      </c>
      <c r="T564" s="2">
        <v>42648</v>
      </c>
      <c r="U564" s="2">
        <v>43075</v>
      </c>
      <c r="V564" s="2">
        <v>42688</v>
      </c>
    </row>
    <row r="565" spans="1:22" x14ac:dyDescent="0.2">
      <c r="A565" t="str">
        <f>"306.9 SMI"</f>
        <v>306.9 SMI</v>
      </c>
      <c r="B565" t="str">
        <f>"When someone dies: the practical guide t"</f>
        <v>When someone dies: the practical guide t</v>
      </c>
      <c r="C565">
        <v>357471</v>
      </c>
      <c r="D565" t="str">
        <f>"Smith, Scott Taylor."</f>
        <v>Smith, Scott Taylor.</v>
      </c>
      <c r="F565" t="str">
        <f>"xxiii, 226 p., 22 cm"</f>
        <v>xxiii, 226 p., 22 cm</v>
      </c>
      <c r="G565" s="1">
        <v>19</v>
      </c>
      <c r="H565">
        <v>2013</v>
      </c>
      <c r="I565" t="str">
        <f t="shared" si="21"/>
        <v>9: 300 - 399</v>
      </c>
      <c r="K565" t="str">
        <f>"WB - In"</f>
        <v>WB - In</v>
      </c>
      <c r="L565" s="1">
        <v>21</v>
      </c>
      <c r="M565" t="s">
        <v>536</v>
      </c>
      <c r="O565" t="s">
        <v>28</v>
      </c>
      <c r="P565">
        <v>2</v>
      </c>
      <c r="Q565">
        <v>0</v>
      </c>
      <c r="R565">
        <v>2</v>
      </c>
      <c r="S565" s="2">
        <v>43717</v>
      </c>
      <c r="T565" s="2">
        <v>43726</v>
      </c>
      <c r="U565" s="2">
        <v>43746</v>
      </c>
    </row>
    <row r="566" spans="1:22" x14ac:dyDescent="0.2">
      <c r="A566" t="str">
        <f>"306.9 TIS"</f>
        <v>306.9 TIS</v>
      </c>
      <c r="B566" t="str">
        <f>"Advice for future corpses (and those who"</f>
        <v>Advice for future corpses (and those who</v>
      </c>
      <c r="C566">
        <v>348610</v>
      </c>
      <c r="D566" t="str">
        <f>"Tisdale, Sallie."</f>
        <v>Tisdale, Sallie.</v>
      </c>
      <c r="F566" t="str">
        <f>"240 pages, 23 cm"</f>
        <v>240 pages, 23 cm</v>
      </c>
      <c r="G566" s="1">
        <v>18</v>
      </c>
      <c r="H566">
        <v>2018</v>
      </c>
      <c r="I566" t="str">
        <f t="shared" si="21"/>
        <v>9: 300 - 399</v>
      </c>
      <c r="K566" t="str">
        <f>"WB - In"</f>
        <v>WB - In</v>
      </c>
      <c r="L566" s="1">
        <v>31</v>
      </c>
      <c r="M566" t="s">
        <v>537</v>
      </c>
      <c r="O566" t="s">
        <v>28</v>
      </c>
      <c r="P566">
        <v>9</v>
      </c>
      <c r="Q566">
        <v>0</v>
      </c>
      <c r="R566">
        <v>9</v>
      </c>
      <c r="S566" s="2">
        <v>43292</v>
      </c>
      <c r="T566" s="2">
        <v>43461</v>
      </c>
      <c r="U566" s="2">
        <v>43700</v>
      </c>
    </row>
    <row r="567" spans="1:22" x14ac:dyDescent="0.2">
      <c r="A567" t="str">
        <f>"306.9 WAR"</f>
        <v>306.9 WAR</v>
      </c>
      <c r="B567" t="str">
        <f>"Modern death: how medicine changed the e"</f>
        <v>Modern death: how medicine changed the e</v>
      </c>
      <c r="C567">
        <v>339966</v>
      </c>
      <c r="D567" t="str">
        <f>"Warraich, Haider"</f>
        <v>Warraich, Haider</v>
      </c>
      <c r="F567" t="str">
        <f>"x, 324 pages, 24 cm"</f>
        <v>x, 324 pages, 24 cm</v>
      </c>
      <c r="G567" s="1">
        <v>17</v>
      </c>
      <c r="H567">
        <v>2017</v>
      </c>
      <c r="I567" t="str">
        <f t="shared" si="21"/>
        <v>9: 300 - 399</v>
      </c>
      <c r="K567" t="str">
        <f>"WB - In"</f>
        <v>WB - In</v>
      </c>
      <c r="L567" s="1">
        <v>32</v>
      </c>
      <c r="M567" t="s">
        <v>538</v>
      </c>
      <c r="O567" t="s">
        <v>28</v>
      </c>
      <c r="P567">
        <v>13</v>
      </c>
      <c r="Q567">
        <v>0</v>
      </c>
      <c r="R567">
        <v>13</v>
      </c>
      <c r="S567" s="2">
        <v>42793</v>
      </c>
      <c r="T567" s="2">
        <v>43068</v>
      </c>
      <c r="U567" s="2">
        <v>43058</v>
      </c>
    </row>
    <row r="568" spans="1:22" x14ac:dyDescent="0.2">
      <c r="A568" t="str">
        <f>"307 BLO"</f>
        <v>307 BLO</v>
      </c>
      <c r="B568" t="str">
        <f>"Community: the structure of belonging"</f>
        <v>Community: the structure of belonging</v>
      </c>
      <c r="C568">
        <v>360211</v>
      </c>
      <c r="D568" t="str">
        <f>"Block, Peter"</f>
        <v>Block, Peter</v>
      </c>
      <c r="F568" t="str">
        <f>"xix, 229 pages, 23 cm"</f>
        <v>xix, 229 pages, 23 cm</v>
      </c>
      <c r="G568" s="1">
        <v>19</v>
      </c>
      <c r="H568">
        <v>2018</v>
      </c>
      <c r="I568" t="str">
        <f t="shared" si="21"/>
        <v>9: 300 - 399</v>
      </c>
      <c r="K568" t="str">
        <f>"WB - In"</f>
        <v>WB - In</v>
      </c>
      <c r="L568" s="1">
        <v>29</v>
      </c>
      <c r="M568" t="s">
        <v>539</v>
      </c>
      <c r="O568" t="s">
        <v>28</v>
      </c>
      <c r="P568">
        <v>0</v>
      </c>
      <c r="Q568">
        <v>0</v>
      </c>
      <c r="R568">
        <v>0</v>
      </c>
      <c r="S568" s="2">
        <v>43844</v>
      </c>
      <c r="T568" s="2">
        <v>43854</v>
      </c>
    </row>
    <row r="569" spans="1:22" x14ac:dyDescent="0.2">
      <c r="A569" t="str">
        <f>"307 NAR"</f>
        <v>307 NAR</v>
      </c>
      <c r="B569" t="str">
        <f>"milk lady of Bangalore: an unexpected ad"</f>
        <v>milk lady of Bangalore: an unexpected ad</v>
      </c>
      <c r="C569">
        <v>347568</v>
      </c>
      <c r="D569" t="str">
        <f>"Narayan, Shoba"</f>
        <v>Narayan, Shoba</v>
      </c>
      <c r="F569" t="str">
        <f>"xv, 252 pages, 22 cm"</f>
        <v>xv, 252 pages, 22 cm</v>
      </c>
      <c r="G569" s="1">
        <v>18</v>
      </c>
      <c r="H569">
        <v>2018</v>
      </c>
      <c r="I569" t="str">
        <f t="shared" si="21"/>
        <v>9: 300 - 399</v>
      </c>
      <c r="K569" t="str">
        <f>"LL - In"</f>
        <v>LL - In</v>
      </c>
      <c r="L569" s="1">
        <v>30</v>
      </c>
      <c r="M569" t="s">
        <v>540</v>
      </c>
      <c r="O569" t="s">
        <v>28</v>
      </c>
      <c r="P569">
        <v>8</v>
      </c>
      <c r="Q569">
        <v>0</v>
      </c>
      <c r="R569">
        <v>8</v>
      </c>
      <c r="S569" s="2">
        <v>43228</v>
      </c>
      <c r="T569" s="2">
        <v>43402</v>
      </c>
      <c r="U569" s="2">
        <v>43472</v>
      </c>
    </row>
    <row r="570" spans="1:22" x14ac:dyDescent="0.2">
      <c r="A570" t="str">
        <f>"307.1 GRA"</f>
        <v>307.1 GRA</v>
      </c>
      <c r="B570" t="str">
        <f>"Dream cities: seven urban ideas that sha"</f>
        <v>Dream cities: seven urban ideas that sha</v>
      </c>
      <c r="C570">
        <v>285998</v>
      </c>
      <c r="D570" t="str">
        <f>"Graham, Wade."</f>
        <v>Graham, Wade.</v>
      </c>
      <c r="F570" t="str">
        <f>"xii, 323 pages, 24 cm, illustrations"</f>
        <v>xii, 323 pages, 24 cm, illustrations</v>
      </c>
      <c r="G570" s="1">
        <v>16</v>
      </c>
      <c r="H570">
        <v>2016</v>
      </c>
      <c r="I570" t="str">
        <f t="shared" si="21"/>
        <v>9: 300 - 399</v>
      </c>
      <c r="K570" t="str">
        <f>"WB - In"</f>
        <v>WB - In</v>
      </c>
      <c r="L570" s="1">
        <v>35</v>
      </c>
      <c r="M570" t="s">
        <v>541</v>
      </c>
      <c r="O570" t="s">
        <v>28</v>
      </c>
      <c r="P570">
        <v>0</v>
      </c>
      <c r="Q570">
        <v>1</v>
      </c>
      <c r="R570">
        <v>8</v>
      </c>
      <c r="S570" s="2">
        <v>42408</v>
      </c>
      <c r="T570" s="2">
        <v>42570</v>
      </c>
      <c r="U570" s="2">
        <v>42670</v>
      </c>
      <c r="V570" s="2">
        <v>43680</v>
      </c>
    </row>
    <row r="571" spans="1:22" x14ac:dyDescent="0.2">
      <c r="A571" t="str">
        <f>"307.1 JAC"</f>
        <v>307.1 JAC</v>
      </c>
      <c r="B571" t="str">
        <f>"death and life of great American cities"</f>
        <v>death and life of great American cities</v>
      </c>
      <c r="C571">
        <v>329378</v>
      </c>
      <c r="D571" t="str">
        <f>"Jacobs, Jane,"</f>
        <v>Jacobs, Jane,</v>
      </c>
      <c r="F571" t="str">
        <f>"xxxvi, 598 p., 20 cm"</f>
        <v>xxxvi, 598 p., 20 cm</v>
      </c>
      <c r="G571" s="1">
        <v>15</v>
      </c>
      <c r="H571">
        <v>2011</v>
      </c>
      <c r="I571" t="str">
        <f t="shared" si="21"/>
        <v>9: 300 - 399</v>
      </c>
      <c r="K571" t="str">
        <f>"WB - In"</f>
        <v>WB - In</v>
      </c>
      <c r="L571" s="1">
        <v>28</v>
      </c>
      <c r="M571" t="s">
        <v>542</v>
      </c>
      <c r="O571" t="s">
        <v>28</v>
      </c>
      <c r="P571">
        <v>4</v>
      </c>
      <c r="Q571">
        <v>0</v>
      </c>
      <c r="R571">
        <v>7</v>
      </c>
      <c r="S571" s="2">
        <v>42233</v>
      </c>
      <c r="T571" s="2">
        <v>42236</v>
      </c>
      <c r="U571" s="2">
        <v>43680</v>
      </c>
      <c r="V571" s="2">
        <v>42379</v>
      </c>
    </row>
    <row r="572" spans="1:22" x14ac:dyDescent="0.2">
      <c r="A572" t="str">
        <f>"307.1 MON"</f>
        <v>307.1 MON</v>
      </c>
      <c r="B572" t="str">
        <f>"Happy city: transforming our lives throu"</f>
        <v>Happy city: transforming our lives throu</v>
      </c>
      <c r="C572">
        <v>319496</v>
      </c>
      <c r="D572" t="str">
        <f>"Montgomery, Charles,"</f>
        <v>Montgomery, Charles,</v>
      </c>
      <c r="F572" t="str">
        <f>"pages cm"</f>
        <v>pages cm</v>
      </c>
      <c r="G572" s="1">
        <v>14</v>
      </c>
      <c r="H572">
        <v>2013</v>
      </c>
      <c r="I572" t="str">
        <f t="shared" si="21"/>
        <v>9: 300 - 399</v>
      </c>
      <c r="K572" t="str">
        <f>"LL - In"</f>
        <v>LL - In</v>
      </c>
      <c r="L572" s="1">
        <v>32</v>
      </c>
      <c r="M572" t="s">
        <v>543</v>
      </c>
      <c r="O572" t="s">
        <v>28</v>
      </c>
      <c r="P572">
        <v>2</v>
      </c>
      <c r="Q572">
        <v>0</v>
      </c>
      <c r="R572">
        <v>7</v>
      </c>
      <c r="S572" s="2">
        <v>41670</v>
      </c>
      <c r="T572" s="2">
        <v>41765</v>
      </c>
      <c r="U572" s="2">
        <v>43333</v>
      </c>
      <c r="V572" s="2">
        <v>42150</v>
      </c>
    </row>
    <row r="573" spans="1:22" x14ac:dyDescent="0.2">
      <c r="A573" t="str">
        <f>"307.7 AME"</f>
        <v>307.7 AME</v>
      </c>
      <c r="B573" t="str">
        <f>"America's 100 best places to retire"</f>
        <v>America's 100 best places to retire</v>
      </c>
      <c r="C573">
        <v>404529</v>
      </c>
      <c r="D573" t="str">
        <f>"Fuller, Annette"</f>
        <v>Fuller, Annette</v>
      </c>
      <c r="F573" t="str">
        <f>"320 p., 28 cm, maps"</f>
        <v>320 p., 28 cm, maps</v>
      </c>
      <c r="G573" s="1">
        <v>19</v>
      </c>
      <c r="H573">
        <v>2018</v>
      </c>
      <c r="I573" t="str">
        <f t="shared" si="21"/>
        <v>9: 300 - 399</v>
      </c>
      <c r="K573" t="str">
        <f t="shared" ref="K573:K584" si="23">"WB - In"</f>
        <v>WB - In</v>
      </c>
      <c r="L573" s="1">
        <v>24</v>
      </c>
      <c r="M573" t="s">
        <v>544</v>
      </c>
      <c r="O573" t="s">
        <v>28</v>
      </c>
      <c r="P573">
        <v>7</v>
      </c>
      <c r="Q573">
        <v>0</v>
      </c>
      <c r="R573">
        <v>7</v>
      </c>
      <c r="S573" s="2">
        <v>43482</v>
      </c>
      <c r="T573" s="2">
        <v>43525</v>
      </c>
      <c r="U573" s="2">
        <v>43736</v>
      </c>
    </row>
    <row r="574" spans="1:22" x14ac:dyDescent="0.2">
      <c r="A574" t="str">
        <f>"307.7 BLE"</f>
        <v>307.7 BLE</v>
      </c>
      <c r="B574" t="str">
        <f>"Leisureville: adventures in a world with"</f>
        <v>Leisureville: adventures in a world with</v>
      </c>
      <c r="C574">
        <v>271535</v>
      </c>
      <c r="D574" t="str">
        <f>"Blechman, Andrew D."</f>
        <v>Blechman, Andrew D.</v>
      </c>
      <c r="F574" t="str">
        <f>"244 p."</f>
        <v>244 p.</v>
      </c>
      <c r="G574" s="1">
        <v>14</v>
      </c>
      <c r="H574">
        <v>2008</v>
      </c>
      <c r="I574" t="str">
        <f t="shared" si="21"/>
        <v>9: 300 - 399</v>
      </c>
      <c r="K574" t="str">
        <f t="shared" si="23"/>
        <v>WB - In</v>
      </c>
      <c r="L574" s="1">
        <v>20</v>
      </c>
      <c r="M574" t="s">
        <v>545</v>
      </c>
      <c r="O574" t="s">
        <v>28</v>
      </c>
      <c r="P574">
        <v>0</v>
      </c>
      <c r="Q574">
        <v>0</v>
      </c>
      <c r="R574">
        <v>2</v>
      </c>
      <c r="S574" s="2">
        <v>41669</v>
      </c>
      <c r="T574" s="2">
        <v>41681</v>
      </c>
      <c r="U574" s="2">
        <v>41811</v>
      </c>
    </row>
    <row r="575" spans="1:22" x14ac:dyDescent="0.2">
      <c r="A575" t="str">
        <f>"307.7 GOL"</f>
        <v>307.7 GOL</v>
      </c>
      <c r="B575" t="str">
        <f>"Retirement without borders: how to retir"</f>
        <v>Retirement without borders: how to retir</v>
      </c>
      <c r="C575">
        <v>218337</v>
      </c>
      <c r="D575" t="str">
        <f>"Golson, Barry"</f>
        <v>Golson, Barry</v>
      </c>
      <c r="F575" t="str">
        <f>"418 p."</f>
        <v>418 p.</v>
      </c>
      <c r="G575" s="1">
        <v>9</v>
      </c>
      <c r="H575">
        <v>2008</v>
      </c>
      <c r="I575" t="str">
        <f t="shared" si="21"/>
        <v>9: 300 - 399</v>
      </c>
      <c r="K575" t="str">
        <f t="shared" si="23"/>
        <v>WB - In</v>
      </c>
      <c r="L575" s="1">
        <v>25</v>
      </c>
      <c r="M575" t="s">
        <v>546</v>
      </c>
      <c r="O575" t="s">
        <v>28</v>
      </c>
      <c r="P575">
        <v>6</v>
      </c>
      <c r="Q575">
        <v>0</v>
      </c>
      <c r="R575">
        <v>27</v>
      </c>
      <c r="S575" s="2">
        <v>39827</v>
      </c>
      <c r="T575" s="2">
        <v>41053</v>
      </c>
      <c r="U575" s="2">
        <v>43594</v>
      </c>
      <c r="V575" s="2">
        <v>41864</v>
      </c>
    </row>
    <row r="576" spans="1:22" x14ac:dyDescent="0.2">
      <c r="A576" t="str">
        <f>"307.7 HUN"</f>
        <v>307.7 HUN</v>
      </c>
      <c r="B576" t="str">
        <f>"smart woman's guide to planning for reti"</f>
        <v>smart woman's guide to planning for reti</v>
      </c>
      <c r="C576">
        <v>317948</v>
      </c>
      <c r="D576" t="str">
        <f>"Hunt, Mary,"</f>
        <v>Hunt, Mary,</v>
      </c>
      <c r="F576" t="str">
        <f>"213 pages, 23 cm"</f>
        <v>213 pages, 23 cm</v>
      </c>
      <c r="G576" s="1">
        <v>13</v>
      </c>
      <c r="H576">
        <v>2013</v>
      </c>
      <c r="I576" t="str">
        <f t="shared" si="21"/>
        <v>9: 300 - 399</v>
      </c>
      <c r="K576" t="str">
        <f t="shared" si="23"/>
        <v>WB - In</v>
      </c>
      <c r="L576" s="1">
        <v>23</v>
      </c>
      <c r="M576" t="s">
        <v>547</v>
      </c>
      <c r="O576" t="s">
        <v>28</v>
      </c>
      <c r="P576">
        <v>3</v>
      </c>
      <c r="Q576">
        <v>0</v>
      </c>
      <c r="R576">
        <v>12</v>
      </c>
      <c r="S576" s="2">
        <v>41591</v>
      </c>
      <c r="T576" s="2">
        <v>41654</v>
      </c>
      <c r="U576" s="2">
        <v>43379</v>
      </c>
      <c r="V576" s="2">
        <v>41629</v>
      </c>
    </row>
    <row r="577" spans="1:22" x14ac:dyDescent="0.2">
      <c r="A577" t="str">
        <f>"307.7 PED"</f>
        <v>307.7 PED</v>
      </c>
      <c r="B577" t="str">
        <f>"How to retire overseas: everything you n"</f>
        <v>How to retire overseas: everything you n</v>
      </c>
      <c r="C577">
        <v>354906</v>
      </c>
      <c r="D577" t="str">
        <f>"Peddicord, Kathleen"</f>
        <v>Peddicord, Kathleen</v>
      </c>
      <c r="F577" t="str">
        <f>"xx, 330 pages, 21 cm"</f>
        <v>xx, 330 pages, 21 cm</v>
      </c>
      <c r="G577" s="1">
        <v>19</v>
      </c>
      <c r="H577">
        <v>2018</v>
      </c>
      <c r="I577" t="str">
        <f t="shared" si="21"/>
        <v>9: 300 - 399</v>
      </c>
      <c r="K577" t="str">
        <f t="shared" si="23"/>
        <v>WB - In</v>
      </c>
      <c r="L577" s="1">
        <v>21</v>
      </c>
      <c r="M577" t="s">
        <v>548</v>
      </c>
      <c r="O577" t="s">
        <v>28</v>
      </c>
      <c r="P577">
        <v>2</v>
      </c>
      <c r="Q577">
        <v>0</v>
      </c>
      <c r="R577">
        <v>2</v>
      </c>
      <c r="S577" s="2">
        <v>43606</v>
      </c>
      <c r="T577" s="2">
        <v>43619</v>
      </c>
      <c r="U577" s="2">
        <v>43792</v>
      </c>
    </row>
    <row r="578" spans="1:22" x14ac:dyDescent="0.2">
      <c r="A578" t="str">
        <f>"307.7 WAY"</f>
        <v>307.7 WAY</v>
      </c>
      <c r="B578" t="str">
        <f>"Oneida: from free love Utopia to the wel"</f>
        <v>Oneida: from free love Utopia to the wel</v>
      </c>
      <c r="C578">
        <v>335141</v>
      </c>
      <c r="D578" t="str">
        <f>"Wayland-Smith, Ellen"</f>
        <v>Wayland-Smith, Ellen</v>
      </c>
      <c r="F578" t="str">
        <f>"310 pages, 25 cm, illustrations"</f>
        <v>310 pages, 25 cm, illustrations</v>
      </c>
      <c r="G578" s="1">
        <v>16</v>
      </c>
      <c r="H578">
        <v>2016</v>
      </c>
      <c r="I578" t="str">
        <f t="shared" si="21"/>
        <v>9: 300 - 399</v>
      </c>
      <c r="K578" t="str">
        <f t="shared" si="23"/>
        <v>WB - In</v>
      </c>
      <c r="L578" s="1">
        <v>32</v>
      </c>
      <c r="M578" t="s">
        <v>549</v>
      </c>
      <c r="O578" t="s">
        <v>28</v>
      </c>
      <c r="P578">
        <v>1</v>
      </c>
      <c r="Q578">
        <v>0</v>
      </c>
      <c r="R578">
        <v>8</v>
      </c>
      <c r="S578" s="2">
        <v>42506</v>
      </c>
      <c r="T578" s="2">
        <v>42662</v>
      </c>
      <c r="U578" s="2">
        <v>42893</v>
      </c>
      <c r="V578" s="2">
        <v>42571</v>
      </c>
    </row>
    <row r="579" spans="1:22" x14ac:dyDescent="0.2">
      <c r="A579" t="str">
        <f>"307.72 POW"</f>
        <v>307.72 POW</v>
      </c>
      <c r="B579" t="str">
        <f>"Dispatches from the sweet life: one fami"</f>
        <v>Dispatches from the sweet life: one fami</v>
      </c>
      <c r="C579">
        <v>349993</v>
      </c>
      <c r="D579" t="str">
        <f>"Powers, William,"</f>
        <v>Powers, William,</v>
      </c>
      <c r="F579" t="str">
        <f>"279 p."</f>
        <v>279 p.</v>
      </c>
      <c r="G579" s="1">
        <v>18</v>
      </c>
      <c r="H579">
        <v>2018</v>
      </c>
      <c r="I579" t="str">
        <f t="shared" si="21"/>
        <v>9: 300 - 399</v>
      </c>
      <c r="K579" t="str">
        <f t="shared" si="23"/>
        <v>WB - In</v>
      </c>
      <c r="L579" s="1">
        <v>22</v>
      </c>
      <c r="M579" t="s">
        <v>550</v>
      </c>
      <c r="O579" t="s">
        <v>28</v>
      </c>
      <c r="P579">
        <v>6</v>
      </c>
      <c r="Q579">
        <v>1</v>
      </c>
      <c r="R579">
        <v>8</v>
      </c>
      <c r="S579" s="2">
        <v>43361</v>
      </c>
      <c r="T579" s="2">
        <v>43530</v>
      </c>
      <c r="U579" s="2">
        <v>43678</v>
      </c>
      <c r="V579" s="2">
        <v>43644</v>
      </c>
    </row>
    <row r="580" spans="1:22" x14ac:dyDescent="0.2">
      <c r="A580" t="str">
        <f>"307.76 BIN"</f>
        <v>307.76 BIN</v>
      </c>
      <c r="B580" t="str">
        <f>"Detroit City is the place to be: the aft"</f>
        <v>Detroit City is the place to be: the aft</v>
      </c>
      <c r="C580">
        <v>311477</v>
      </c>
      <c r="D580" t="str">
        <f>"Binelli, Mark."</f>
        <v>Binelli, Mark.</v>
      </c>
      <c r="F580" t="str">
        <f>"318 p."</f>
        <v>318 p.</v>
      </c>
      <c r="G580" s="1">
        <v>12</v>
      </c>
      <c r="H580">
        <v>2012</v>
      </c>
      <c r="I580" t="str">
        <f t="shared" si="21"/>
        <v>9: 300 - 399</v>
      </c>
      <c r="K580" t="str">
        <f t="shared" si="23"/>
        <v>WB - In</v>
      </c>
      <c r="L580" s="1">
        <v>33</v>
      </c>
      <c r="M580" t="s">
        <v>551</v>
      </c>
      <c r="O580" t="s">
        <v>28</v>
      </c>
      <c r="P580">
        <v>0</v>
      </c>
      <c r="Q580">
        <v>0</v>
      </c>
      <c r="R580">
        <v>6</v>
      </c>
      <c r="S580" s="2">
        <v>41246</v>
      </c>
      <c r="T580" s="2">
        <v>41332</v>
      </c>
      <c r="U580" s="2">
        <v>41964</v>
      </c>
      <c r="V580" s="2">
        <v>41967</v>
      </c>
    </row>
    <row r="581" spans="1:22" x14ac:dyDescent="0.2">
      <c r="A581" t="str">
        <f>"307.76 FLO"</f>
        <v>307.76 FLO</v>
      </c>
      <c r="B581" t="str">
        <f>"new urban crisis: how our cities are inc"</f>
        <v>new urban crisis: how our cities are inc</v>
      </c>
      <c r="C581">
        <v>342640</v>
      </c>
      <c r="D581" t="str">
        <f>"Florida, Richard L."</f>
        <v>Florida, Richard L.</v>
      </c>
      <c r="F581" t="str">
        <f>"xx, 310 pages, 24 cm"</f>
        <v>xx, 310 pages, 24 cm</v>
      </c>
      <c r="G581" s="1">
        <v>17</v>
      </c>
      <c r="H581">
        <v>2017</v>
      </c>
      <c r="I581" t="str">
        <f t="shared" si="21"/>
        <v>9: 300 - 399</v>
      </c>
      <c r="K581" t="str">
        <f t="shared" si="23"/>
        <v>WB - In</v>
      </c>
      <c r="L581" s="1">
        <v>33</v>
      </c>
      <c r="M581" t="s">
        <v>552</v>
      </c>
      <c r="O581" t="s">
        <v>28</v>
      </c>
      <c r="P581">
        <v>15</v>
      </c>
      <c r="Q581">
        <v>0</v>
      </c>
      <c r="R581">
        <v>15</v>
      </c>
      <c r="S581" s="2">
        <v>42940</v>
      </c>
      <c r="T581" s="2">
        <v>43236</v>
      </c>
      <c r="U581" s="2">
        <v>43680</v>
      </c>
    </row>
    <row r="582" spans="1:22" x14ac:dyDescent="0.2">
      <c r="A582" t="str">
        <f>"307.76 GRA"</f>
        <v>307.76 GRA</v>
      </c>
      <c r="B582" t="str">
        <f>"Fordlandia: the rise and fall of Henry F"</f>
        <v>Fordlandia: the rise and fall of Henry F</v>
      </c>
      <c r="C582">
        <v>320073</v>
      </c>
      <c r="D582" t="str">
        <f>"Grandin, Greg,"</f>
        <v>Grandin, Greg,</v>
      </c>
      <c r="F582" t="str">
        <f>"xiv, 416 p., 21 cm, ill., maps"</f>
        <v>xiv, 416 p., 21 cm, ill., maps</v>
      </c>
      <c r="G582" s="1">
        <v>14</v>
      </c>
      <c r="H582">
        <v>2010</v>
      </c>
      <c r="I582" t="str">
        <f t="shared" si="21"/>
        <v>9: 300 - 399</v>
      </c>
      <c r="K582" t="str">
        <f t="shared" si="23"/>
        <v>WB - In</v>
      </c>
      <c r="L582" s="1">
        <v>22</v>
      </c>
      <c r="M582" t="s">
        <v>553</v>
      </c>
      <c r="O582" t="s">
        <v>28</v>
      </c>
      <c r="P582">
        <v>2</v>
      </c>
      <c r="Q582">
        <v>0</v>
      </c>
      <c r="R582">
        <v>9</v>
      </c>
      <c r="S582" s="2">
        <v>41694</v>
      </c>
      <c r="T582" s="2">
        <v>41709</v>
      </c>
      <c r="U582" s="2">
        <v>43593</v>
      </c>
      <c r="V582" s="2">
        <v>42195</v>
      </c>
    </row>
    <row r="583" spans="1:22" x14ac:dyDescent="0.2">
      <c r="A583" t="str">
        <f>"307.76 GUI"</f>
        <v>307.76 GUI</v>
      </c>
      <c r="B583" t="str">
        <f>"guide to greening cities"</f>
        <v>guide to greening cities</v>
      </c>
      <c r="C583">
        <v>318003</v>
      </c>
      <c r="F583" t="str">
        <f>"xvi, 246 pages, 26 cm, illustrations, maps"</f>
        <v>xvi, 246 pages, 26 cm, illustrations, maps</v>
      </c>
      <c r="G583" s="1">
        <v>13</v>
      </c>
      <c r="H583">
        <v>2013</v>
      </c>
      <c r="I583" t="str">
        <f t="shared" si="21"/>
        <v>9: 300 - 399</v>
      </c>
      <c r="K583" t="str">
        <f t="shared" si="23"/>
        <v>WB - In</v>
      </c>
      <c r="L583" s="1">
        <v>35</v>
      </c>
      <c r="M583" t="s">
        <v>554</v>
      </c>
      <c r="O583" t="s">
        <v>28</v>
      </c>
      <c r="P583">
        <v>0</v>
      </c>
      <c r="Q583">
        <v>0</v>
      </c>
      <c r="R583">
        <v>2</v>
      </c>
      <c r="S583" s="2">
        <v>41591</v>
      </c>
      <c r="T583" s="2">
        <v>41604</v>
      </c>
      <c r="U583" s="2">
        <v>42537</v>
      </c>
    </row>
    <row r="584" spans="1:22" x14ac:dyDescent="0.2">
      <c r="A584" t="str">
        <f>"307.76 HAI"</f>
        <v>307.76 HAI</v>
      </c>
      <c r="B584" t="str">
        <f>"Detroit hustle: a memoir of love, life &amp;"</f>
        <v>Detroit hustle: a memoir of love, life &amp;</v>
      </c>
      <c r="C584">
        <v>335342</v>
      </c>
      <c r="D584" t="str">
        <f>"Haimerl, Amy"</f>
        <v>Haimerl, Amy</v>
      </c>
      <c r="F584" t="str">
        <f>"269 pages, 24 cm"</f>
        <v>269 pages, 24 cm</v>
      </c>
      <c r="G584" s="1">
        <v>16</v>
      </c>
      <c r="H584">
        <v>2016</v>
      </c>
      <c r="I584" t="str">
        <f t="shared" ref="I584:I647" si="24">"9: 300 - 399"</f>
        <v>9: 300 - 399</v>
      </c>
      <c r="K584" t="str">
        <f t="shared" si="23"/>
        <v>WB - In</v>
      </c>
      <c r="L584" s="1">
        <v>29</v>
      </c>
      <c r="M584" t="s">
        <v>555</v>
      </c>
      <c r="O584" t="s">
        <v>28</v>
      </c>
      <c r="P584">
        <v>0</v>
      </c>
      <c r="Q584">
        <v>0</v>
      </c>
      <c r="R584">
        <v>4</v>
      </c>
      <c r="S584" s="2">
        <v>42522</v>
      </c>
      <c r="T584" s="2">
        <v>42701</v>
      </c>
      <c r="U584" s="2">
        <v>42638</v>
      </c>
    </row>
    <row r="585" spans="1:22" x14ac:dyDescent="0.2">
      <c r="A585" t="str">
        <f>"307.76 KLI"</f>
        <v>307.76 KLI</v>
      </c>
      <c r="B585" t="str">
        <f>"Palaces for the people: how social infra"</f>
        <v>Palaces for the people: how social infra</v>
      </c>
      <c r="C585">
        <v>350523</v>
      </c>
      <c r="D585" t="str">
        <f>"Klinenberg, Eric"</f>
        <v>Klinenberg, Eric</v>
      </c>
      <c r="F585" t="str">
        <f>"277 pages, 25 cm, illustrations"</f>
        <v>277 pages, 25 cm, illustrations</v>
      </c>
      <c r="G585" s="1">
        <v>18</v>
      </c>
      <c r="H585">
        <v>2018</v>
      </c>
      <c r="I585" t="str">
        <f t="shared" si="24"/>
        <v>9: 300 - 399</v>
      </c>
      <c r="K585" t="str">
        <f>"LL - In"</f>
        <v>LL - In</v>
      </c>
      <c r="L585" s="1">
        <v>33</v>
      </c>
      <c r="M585" t="s">
        <v>556</v>
      </c>
      <c r="O585" t="s">
        <v>28</v>
      </c>
      <c r="P585">
        <v>4</v>
      </c>
      <c r="Q585">
        <v>1</v>
      </c>
      <c r="R585">
        <v>5</v>
      </c>
      <c r="S585" s="2">
        <v>43383</v>
      </c>
      <c r="T585" s="2">
        <v>43586</v>
      </c>
      <c r="U585" s="2">
        <v>43649</v>
      </c>
      <c r="V585" s="2">
        <v>43586</v>
      </c>
    </row>
    <row r="586" spans="1:22" x14ac:dyDescent="0.2">
      <c r="A586" t="str">
        <f>"307.76 LED"</f>
        <v>307.76 LED</v>
      </c>
      <c r="B586" t="str">
        <f>"Detroit: an American autopsy"</f>
        <v>Detroit: an American autopsy</v>
      </c>
      <c r="C586">
        <v>312567</v>
      </c>
      <c r="D586" t="str">
        <f>"LeDuff, Charlie."</f>
        <v>LeDuff, Charlie.</v>
      </c>
      <c r="F586" t="str">
        <f>"xvi, 286 p., 24 cm., ill."</f>
        <v>xvi, 286 p., 24 cm., ill.</v>
      </c>
      <c r="G586" s="1">
        <v>13</v>
      </c>
      <c r="H586">
        <v>2013</v>
      </c>
      <c r="I586" t="str">
        <f t="shared" si="24"/>
        <v>9: 300 - 399</v>
      </c>
      <c r="K586" t="str">
        <f t="shared" ref="K586:K596" si="25">"WB - In"</f>
        <v>WB - In</v>
      </c>
      <c r="L586" s="1">
        <v>33</v>
      </c>
      <c r="M586" t="s">
        <v>557</v>
      </c>
      <c r="O586" t="s">
        <v>28</v>
      </c>
      <c r="P586">
        <v>1</v>
      </c>
      <c r="Q586">
        <v>0</v>
      </c>
      <c r="R586">
        <v>24</v>
      </c>
      <c r="S586" s="2">
        <v>41324</v>
      </c>
      <c r="T586" s="2">
        <v>41703</v>
      </c>
      <c r="U586" s="2">
        <v>42955</v>
      </c>
    </row>
    <row r="587" spans="1:22" x14ac:dyDescent="0.2">
      <c r="A587" t="str">
        <f>"307.76 MAR"</f>
        <v>307.76 MAR</v>
      </c>
      <c r="B587" t="str">
        <f>"Once in a great city: a Detroit story"</f>
        <v>Once in a great city: a Detroit story</v>
      </c>
      <c r="C587">
        <v>329978</v>
      </c>
      <c r="D587" t="str">
        <f>"Maraniss, David"</f>
        <v>Maraniss, David</v>
      </c>
      <c r="F587" t="str">
        <f>"441 p."</f>
        <v>441 p.</v>
      </c>
      <c r="G587" s="1">
        <v>15</v>
      </c>
      <c r="H587">
        <v>2015</v>
      </c>
      <c r="I587" t="str">
        <f t="shared" si="24"/>
        <v>9: 300 - 399</v>
      </c>
      <c r="K587" t="str">
        <f t="shared" si="25"/>
        <v>WB - In</v>
      </c>
      <c r="L587" s="1">
        <v>38</v>
      </c>
      <c r="M587" t="s">
        <v>558</v>
      </c>
      <c r="O587" t="s">
        <v>28</v>
      </c>
      <c r="P587">
        <v>1</v>
      </c>
      <c r="Q587">
        <v>0</v>
      </c>
      <c r="R587">
        <v>9</v>
      </c>
      <c r="S587" s="2">
        <v>42262</v>
      </c>
      <c r="T587" s="2">
        <v>42457</v>
      </c>
      <c r="U587" s="2">
        <v>42988</v>
      </c>
    </row>
    <row r="588" spans="1:22" x14ac:dyDescent="0.2">
      <c r="A588" t="str">
        <f>"307.76 SMI"</f>
        <v>307.76 SMI</v>
      </c>
      <c r="B588" t="str">
        <f>"Cities: the first 6,000 years"</f>
        <v>Cities: the first 6,000 years</v>
      </c>
      <c r="C588">
        <v>354201</v>
      </c>
      <c r="D588" t="str">
        <f>"Smith, Monica L."</f>
        <v>Smith, Monica L.</v>
      </c>
      <c r="F588" t="str">
        <f>"pages cm"</f>
        <v>pages cm</v>
      </c>
      <c r="G588" s="1">
        <v>19</v>
      </c>
      <c r="H588">
        <v>2019</v>
      </c>
      <c r="I588" t="str">
        <f t="shared" si="24"/>
        <v>9: 300 - 399</v>
      </c>
      <c r="K588" t="str">
        <f t="shared" si="25"/>
        <v>WB - In</v>
      </c>
      <c r="L588" s="1">
        <v>35</v>
      </c>
      <c r="M588" t="s">
        <v>559</v>
      </c>
      <c r="O588" t="s">
        <v>28</v>
      </c>
      <c r="P588">
        <v>9</v>
      </c>
      <c r="Q588">
        <v>0</v>
      </c>
      <c r="R588">
        <v>9</v>
      </c>
      <c r="S588" s="2">
        <v>43572</v>
      </c>
      <c r="T588" s="2">
        <v>43803</v>
      </c>
      <c r="U588" s="2">
        <v>43778</v>
      </c>
    </row>
    <row r="589" spans="1:22" x14ac:dyDescent="0.2">
      <c r="A589" t="str">
        <f>"307.76 TRE"</f>
        <v>307.76 TRE</v>
      </c>
      <c r="B589" t="str">
        <f>"Shadows of a sunbelt city: the environme"</f>
        <v>Shadows of a sunbelt city: the environme</v>
      </c>
      <c r="C589">
        <v>343774</v>
      </c>
      <c r="D589" t="str">
        <f>"Tretter, Eliot."</f>
        <v>Tretter, Eliot.</v>
      </c>
      <c r="E589" t="str">
        <f>"Geographies of Justice and Social Transformation series"</f>
        <v>Geographies of Justice and Social Transformation series</v>
      </c>
      <c r="F589" t="str">
        <f>"viii, 179 pages, 23 cm"</f>
        <v>viii, 179 pages, 23 cm</v>
      </c>
      <c r="G589" s="1">
        <v>17</v>
      </c>
      <c r="H589">
        <v>2016</v>
      </c>
      <c r="I589" t="str">
        <f t="shared" si="24"/>
        <v>9: 300 - 399</v>
      </c>
      <c r="K589" t="str">
        <f t="shared" si="25"/>
        <v>WB - In</v>
      </c>
      <c r="L589" s="1">
        <v>30</v>
      </c>
      <c r="M589" t="s">
        <v>560</v>
      </c>
      <c r="O589" t="s">
        <v>28</v>
      </c>
      <c r="P589">
        <v>0</v>
      </c>
      <c r="Q589">
        <v>0</v>
      </c>
      <c r="R589">
        <v>0</v>
      </c>
      <c r="S589" s="2">
        <v>43005</v>
      </c>
      <c r="T589" s="2">
        <v>43018</v>
      </c>
    </row>
    <row r="590" spans="1:22" x14ac:dyDescent="0.2">
      <c r="A590" t="str">
        <f>"320 AND"</f>
        <v>320 AND</v>
      </c>
      <c r="B590" t="str">
        <f>"How do you kill 11 million people?: why "</f>
        <v xml:space="preserve">How do you kill 11 million people?: why </v>
      </c>
      <c r="C590">
        <v>307076</v>
      </c>
      <c r="D590" t="str">
        <f>"Andrews, Andy"</f>
        <v>Andrews, Andy</v>
      </c>
      <c r="F590" t="str">
        <f>"84 p., 19 cm., ill."</f>
        <v>84 p., 19 cm., ill.</v>
      </c>
      <c r="G590" s="1">
        <v>12</v>
      </c>
      <c r="H590">
        <v>2011</v>
      </c>
      <c r="I590" t="str">
        <f t="shared" si="24"/>
        <v>9: 300 - 399</v>
      </c>
      <c r="K590" t="str">
        <f t="shared" si="25"/>
        <v>WB - In</v>
      </c>
      <c r="L590" s="1">
        <v>20</v>
      </c>
      <c r="M590" t="s">
        <v>561</v>
      </c>
      <c r="O590" t="s">
        <v>28</v>
      </c>
      <c r="P590">
        <v>2</v>
      </c>
      <c r="Q590">
        <v>1</v>
      </c>
      <c r="R590">
        <v>17</v>
      </c>
      <c r="S590" s="2">
        <v>41024</v>
      </c>
      <c r="T590" s="2">
        <v>41226</v>
      </c>
      <c r="U590" s="2">
        <v>43456</v>
      </c>
      <c r="V590" s="2">
        <v>42796</v>
      </c>
    </row>
    <row r="591" spans="1:22" x14ac:dyDescent="0.2">
      <c r="A591" t="str">
        <f>"320 COH"</f>
        <v>320 COH</v>
      </c>
      <c r="B591" t="str">
        <f>"Breakthrough: the making of America's fi"</f>
        <v>Breakthrough: the making of America's fi</v>
      </c>
      <c r="C591">
        <v>333528</v>
      </c>
      <c r="D591" t="str">
        <f>"Cohen, Nancy L."</f>
        <v>Cohen, Nancy L.</v>
      </c>
      <c r="F591" t="str">
        <f>"323 pages, 24 cm"</f>
        <v>323 pages, 24 cm</v>
      </c>
      <c r="G591" s="1">
        <v>16</v>
      </c>
      <c r="H591">
        <v>2016</v>
      </c>
      <c r="I591" t="str">
        <f t="shared" si="24"/>
        <v>9: 300 - 399</v>
      </c>
      <c r="K591" t="str">
        <f t="shared" si="25"/>
        <v>WB - In</v>
      </c>
      <c r="L591" s="1">
        <v>31</v>
      </c>
      <c r="M591" t="s">
        <v>562</v>
      </c>
      <c r="O591" t="s">
        <v>28</v>
      </c>
      <c r="P591">
        <v>0</v>
      </c>
      <c r="Q591">
        <v>0</v>
      </c>
      <c r="R591">
        <v>4</v>
      </c>
      <c r="S591" s="2">
        <v>42429</v>
      </c>
      <c r="T591" s="2">
        <v>42724</v>
      </c>
      <c r="U591" s="2">
        <v>42554</v>
      </c>
      <c r="V591" s="2">
        <v>42499</v>
      </c>
    </row>
    <row r="592" spans="1:22" x14ac:dyDescent="0.2">
      <c r="A592" t="str">
        <f>"320 COL"</f>
        <v>320 COL</v>
      </c>
      <c r="B592" t="str">
        <f>"As Texas goes--: how the Lone Star State"</f>
        <v>As Texas goes--: how the Lone Star State</v>
      </c>
      <c r="C592">
        <v>308019</v>
      </c>
      <c r="D592" t="str">
        <f>"Collins, Gail"</f>
        <v>Collins, Gail</v>
      </c>
      <c r="F592" t="str">
        <f>"267 p., 25 cm."</f>
        <v>267 p., 25 cm.</v>
      </c>
      <c r="G592" s="1">
        <v>12</v>
      </c>
      <c r="H592">
        <v>2012</v>
      </c>
      <c r="I592" t="str">
        <f t="shared" si="24"/>
        <v>9: 300 - 399</v>
      </c>
      <c r="K592" t="str">
        <f t="shared" si="25"/>
        <v>WB - In</v>
      </c>
      <c r="L592" s="1">
        <v>31</v>
      </c>
      <c r="M592" t="s">
        <v>563</v>
      </c>
      <c r="O592" t="s">
        <v>28</v>
      </c>
      <c r="P592">
        <v>2</v>
      </c>
      <c r="Q592">
        <v>1</v>
      </c>
      <c r="R592">
        <v>19</v>
      </c>
      <c r="S592" s="2">
        <v>41074</v>
      </c>
      <c r="T592" s="2">
        <v>41386</v>
      </c>
      <c r="U592" s="2">
        <v>43689</v>
      </c>
      <c r="V592" s="2">
        <v>43139</v>
      </c>
    </row>
    <row r="593" spans="1:22" x14ac:dyDescent="0.2">
      <c r="A593" t="str">
        <f>"320 FRE"</f>
        <v>320 FRE</v>
      </c>
      <c r="B593" t="str">
        <f>"less perfect union: the case for states'"</f>
        <v>less perfect union: the case for states'</v>
      </c>
      <c r="C593">
        <v>329860</v>
      </c>
      <c r="D593" t="str">
        <f>"Freedman, Adam."</f>
        <v>Freedman, Adam.</v>
      </c>
      <c r="F593" t="str">
        <f>"viii, 357 pages, 24 cm"</f>
        <v>viii, 357 pages, 24 cm</v>
      </c>
      <c r="G593" s="1">
        <v>15</v>
      </c>
      <c r="H593">
        <v>2015</v>
      </c>
      <c r="I593" t="str">
        <f t="shared" si="24"/>
        <v>9: 300 - 399</v>
      </c>
      <c r="K593" t="str">
        <f t="shared" si="25"/>
        <v>WB - In</v>
      </c>
      <c r="L593" s="1">
        <v>33</v>
      </c>
      <c r="M593" t="s">
        <v>564</v>
      </c>
      <c r="O593" t="s">
        <v>28</v>
      </c>
      <c r="P593">
        <v>0</v>
      </c>
      <c r="Q593">
        <v>0</v>
      </c>
      <c r="R593">
        <v>4</v>
      </c>
      <c r="S593" s="2">
        <v>42255</v>
      </c>
      <c r="T593" s="2">
        <v>42451</v>
      </c>
      <c r="U593" s="2">
        <v>42425</v>
      </c>
    </row>
    <row r="594" spans="1:22" x14ac:dyDescent="0.2">
      <c r="A594" t="str">
        <f>"320 GAN"</f>
        <v>320 GAN</v>
      </c>
      <c r="B594" t="str">
        <f>"Politics from a to z"</f>
        <v>Politics from a to z</v>
      </c>
      <c r="C594">
        <v>283161</v>
      </c>
      <c r="D594" t="str">
        <f>"Ganis, Richard"</f>
        <v>Ganis, Richard</v>
      </c>
      <c r="F594" t="str">
        <f>"286 p."</f>
        <v>286 p.</v>
      </c>
      <c r="G594" s="1">
        <v>15</v>
      </c>
      <c r="H594">
        <v>2015</v>
      </c>
      <c r="I594" t="str">
        <f t="shared" si="24"/>
        <v>9: 300 - 399</v>
      </c>
      <c r="K594" t="str">
        <f t="shared" si="25"/>
        <v>WB - In</v>
      </c>
      <c r="L594" s="1">
        <v>21</v>
      </c>
      <c r="M594" t="s">
        <v>565</v>
      </c>
      <c r="O594" t="s">
        <v>28</v>
      </c>
      <c r="P594">
        <v>0</v>
      </c>
      <c r="Q594">
        <v>0</v>
      </c>
      <c r="R594">
        <v>2</v>
      </c>
      <c r="S594" s="2">
        <v>42327</v>
      </c>
      <c r="T594" s="2">
        <v>42347</v>
      </c>
      <c r="U594" s="2">
        <v>42569</v>
      </c>
    </row>
    <row r="595" spans="1:22" x14ac:dyDescent="0.2">
      <c r="A595" t="str">
        <f>"320 JUD"</f>
        <v>320 JUD</v>
      </c>
      <c r="B595" t="str">
        <f>"Thinking the twentieth century"</f>
        <v>Thinking the twentieth century</v>
      </c>
      <c r="C595">
        <v>305428</v>
      </c>
      <c r="D595" t="str">
        <f>"Judt, Tony"</f>
        <v>Judt, Tony</v>
      </c>
      <c r="F595" t="str">
        <f>"414 p."</f>
        <v>414 p.</v>
      </c>
      <c r="G595" s="1">
        <v>12</v>
      </c>
      <c r="H595">
        <v>2012</v>
      </c>
      <c r="I595" t="str">
        <f t="shared" si="24"/>
        <v>9: 300 - 399</v>
      </c>
      <c r="K595" t="str">
        <f t="shared" si="25"/>
        <v>WB - In</v>
      </c>
      <c r="L595" s="1">
        <v>41</v>
      </c>
      <c r="M595" t="s">
        <v>566</v>
      </c>
      <c r="O595" t="s">
        <v>28</v>
      </c>
      <c r="P595">
        <v>1</v>
      </c>
      <c r="Q595">
        <v>0</v>
      </c>
      <c r="R595">
        <v>10</v>
      </c>
      <c r="S595" s="2">
        <v>40940</v>
      </c>
      <c r="T595" s="2">
        <v>41164</v>
      </c>
      <c r="U595" s="2">
        <v>42798</v>
      </c>
    </row>
    <row r="596" spans="1:22" x14ac:dyDescent="0.2">
      <c r="A596" t="str">
        <f>"320 KUT"</f>
        <v>320 KUT</v>
      </c>
      <c r="B596" t="str">
        <f>"Can democracy survive global capitalism?"</f>
        <v>Can democracy survive global capitalism?</v>
      </c>
      <c r="C596">
        <v>348466</v>
      </c>
      <c r="D596" t="str">
        <f>"Kuttner, Robert"</f>
        <v>Kuttner, Robert</v>
      </c>
      <c r="F596" t="str">
        <f>"xxii, 359 pages, 25 cm"</f>
        <v>xxii, 359 pages, 25 cm</v>
      </c>
      <c r="G596" s="1">
        <v>18</v>
      </c>
      <c r="H596">
        <v>2018</v>
      </c>
      <c r="I596" t="str">
        <f t="shared" si="24"/>
        <v>9: 300 - 399</v>
      </c>
      <c r="K596" t="str">
        <f t="shared" si="25"/>
        <v>WB - In</v>
      </c>
      <c r="L596" s="1">
        <v>33</v>
      </c>
      <c r="M596" t="s">
        <v>567</v>
      </c>
      <c r="O596" t="s">
        <v>28</v>
      </c>
      <c r="P596">
        <v>5</v>
      </c>
      <c r="Q596">
        <v>0</v>
      </c>
      <c r="R596">
        <v>5</v>
      </c>
      <c r="S596" s="2">
        <v>43283</v>
      </c>
      <c r="T596" s="2">
        <v>43461</v>
      </c>
      <c r="U596" s="2">
        <v>43503</v>
      </c>
    </row>
    <row r="597" spans="1:22" x14ac:dyDescent="0.2">
      <c r="A597" t="str">
        <f>"320 NEW"</f>
        <v>320 NEW</v>
      </c>
      <c r="B597" t="str">
        <f>"Broad influence: how women are changing "</f>
        <v xml:space="preserve">Broad influence: how women are changing </v>
      </c>
      <c r="C597">
        <v>334589</v>
      </c>
      <c r="D597" t="str">
        <f>"Newton-Small, Jay"</f>
        <v>Newton-Small, Jay</v>
      </c>
      <c r="F597" t="str">
        <f>"232 pages, 24 cm"</f>
        <v>232 pages, 24 cm</v>
      </c>
      <c r="G597" s="1">
        <v>16</v>
      </c>
      <c r="H597">
        <v>2016</v>
      </c>
      <c r="I597" t="str">
        <f t="shared" si="24"/>
        <v>9: 300 - 399</v>
      </c>
      <c r="K597" t="str">
        <f>"LL - In"</f>
        <v>LL - In</v>
      </c>
      <c r="L597" s="1">
        <v>33</v>
      </c>
      <c r="M597" t="s">
        <v>568</v>
      </c>
      <c r="O597" t="s">
        <v>28</v>
      </c>
      <c r="P597">
        <v>1</v>
      </c>
      <c r="Q597">
        <v>0</v>
      </c>
      <c r="R597">
        <v>4</v>
      </c>
      <c r="S597" s="2">
        <v>42478</v>
      </c>
      <c r="T597" s="2">
        <v>42744</v>
      </c>
      <c r="U597" s="2">
        <v>43129</v>
      </c>
    </row>
    <row r="598" spans="1:22" x14ac:dyDescent="0.2">
      <c r="A598" t="str">
        <f>"320 RYA v.1"</f>
        <v>320 RYA v.1</v>
      </c>
      <c r="B598" t="str">
        <f>"On politics, v.1 of 2: a history of poli"</f>
        <v>On politics, v.1 of 2: a history of poli</v>
      </c>
      <c r="C598">
        <v>261544</v>
      </c>
      <c r="D598" t="str">
        <f>"Ryan, Alan,"</f>
        <v>Ryan, Alan,</v>
      </c>
      <c r="F598" t="str">
        <f>"399 p."</f>
        <v>399 p.</v>
      </c>
      <c r="G598" s="1">
        <v>12</v>
      </c>
      <c r="H598">
        <v>2012</v>
      </c>
      <c r="I598" t="str">
        <f t="shared" si="24"/>
        <v>9: 300 - 399</v>
      </c>
      <c r="K598" t="str">
        <f>"WB - In"</f>
        <v>WB - In</v>
      </c>
      <c r="L598" s="1">
        <v>40</v>
      </c>
      <c r="M598" t="s">
        <v>569</v>
      </c>
      <c r="O598" t="s">
        <v>28</v>
      </c>
      <c r="P598">
        <v>0</v>
      </c>
      <c r="Q598">
        <v>1</v>
      </c>
      <c r="R598">
        <v>6</v>
      </c>
      <c r="S598" s="2">
        <v>41211</v>
      </c>
      <c r="T598" s="2">
        <v>41276</v>
      </c>
      <c r="U598" s="2">
        <v>41829</v>
      </c>
      <c r="V598" s="2">
        <v>43638</v>
      </c>
    </row>
    <row r="599" spans="1:22" x14ac:dyDescent="0.2">
      <c r="A599" t="str">
        <f>"320 RYA v.2"</f>
        <v>320 RYA v.2</v>
      </c>
      <c r="B599" t="str">
        <f>"On politics, v.2 of 2: a history of poli"</f>
        <v>On politics, v.2 of 2: a history of poli</v>
      </c>
      <c r="C599">
        <v>261545</v>
      </c>
      <c r="D599" t="str">
        <f>"Ryan, Alan,"</f>
        <v>Ryan, Alan,</v>
      </c>
      <c r="F599" t="str">
        <f>"403 to 1114 p"</f>
        <v>403 to 1114 p</v>
      </c>
      <c r="G599" s="1">
        <v>12</v>
      </c>
      <c r="H599">
        <v>2012</v>
      </c>
      <c r="I599" t="str">
        <f t="shared" si="24"/>
        <v>9: 300 - 399</v>
      </c>
      <c r="K599" t="str">
        <f>"WB - In"</f>
        <v>WB - In</v>
      </c>
      <c r="L599" s="1">
        <v>40</v>
      </c>
      <c r="M599" t="s">
        <v>569</v>
      </c>
      <c r="O599" t="s">
        <v>28</v>
      </c>
      <c r="P599">
        <v>0</v>
      </c>
      <c r="Q599">
        <v>0</v>
      </c>
      <c r="R599">
        <v>1</v>
      </c>
      <c r="S599" s="2">
        <v>41211</v>
      </c>
      <c r="T599" s="2">
        <v>41298</v>
      </c>
      <c r="U599" s="2">
        <v>41260</v>
      </c>
    </row>
    <row r="600" spans="1:22" x14ac:dyDescent="0.2">
      <c r="A600" t="str">
        <f>"320 SAV"</f>
        <v>320 SAV</v>
      </c>
      <c r="B600" t="str">
        <f>"Stop mass hysteria: America's insanity f"</f>
        <v>Stop mass hysteria: America's insanity f</v>
      </c>
      <c r="C600">
        <v>350982</v>
      </c>
      <c r="D600" t="str">
        <f>"Savage, Michael"</f>
        <v>Savage, Michael</v>
      </c>
      <c r="F600" t="str">
        <f>"339 pages, 24 cm"</f>
        <v>339 pages, 24 cm</v>
      </c>
      <c r="G600" s="1">
        <v>18</v>
      </c>
      <c r="H600">
        <v>2018</v>
      </c>
      <c r="I600" t="str">
        <f t="shared" si="24"/>
        <v>9: 300 - 399</v>
      </c>
      <c r="K600" t="str">
        <f>"WB - In"</f>
        <v>WB - In</v>
      </c>
      <c r="L600" s="1">
        <v>33</v>
      </c>
      <c r="M600" t="s">
        <v>570</v>
      </c>
      <c r="O600" t="s">
        <v>28</v>
      </c>
      <c r="P600">
        <v>5</v>
      </c>
      <c r="Q600">
        <v>2</v>
      </c>
      <c r="R600">
        <v>7</v>
      </c>
      <c r="S600" s="2">
        <v>43402</v>
      </c>
      <c r="T600" s="2">
        <v>43607</v>
      </c>
      <c r="U600" s="2">
        <v>43559</v>
      </c>
      <c r="V600" s="2">
        <v>43615</v>
      </c>
    </row>
    <row r="601" spans="1:22" x14ac:dyDescent="0.2">
      <c r="A601" t="str">
        <f>"320 THO"</f>
        <v>320 THO</v>
      </c>
      <c r="B601" t="str">
        <f>"Enough said: what's gone wrong with the "</f>
        <v xml:space="preserve">Enough said: what's gone wrong with the </v>
      </c>
      <c r="C601">
        <v>337468</v>
      </c>
      <c r="D601" t="str">
        <f>"Thompson, Mark John,"</f>
        <v>Thompson, Mark John,</v>
      </c>
      <c r="F601" t="str">
        <f>"342 pages, 25 cm"</f>
        <v>342 pages, 25 cm</v>
      </c>
      <c r="G601" s="1">
        <v>16</v>
      </c>
      <c r="H601">
        <v>2016</v>
      </c>
      <c r="I601" t="str">
        <f t="shared" si="24"/>
        <v>9: 300 - 399</v>
      </c>
      <c r="K601" t="str">
        <f>"WB - Problem"</f>
        <v>WB - Problem</v>
      </c>
      <c r="L601" s="1">
        <v>33</v>
      </c>
      <c r="M601" t="s">
        <v>571</v>
      </c>
      <c r="O601" t="s">
        <v>28</v>
      </c>
      <c r="P601">
        <v>1</v>
      </c>
      <c r="Q601">
        <v>0</v>
      </c>
      <c r="R601">
        <v>4</v>
      </c>
      <c r="S601" s="2">
        <v>42632</v>
      </c>
      <c r="T601" s="2">
        <v>42774</v>
      </c>
      <c r="U601" s="2">
        <v>43649</v>
      </c>
    </row>
    <row r="602" spans="1:22" x14ac:dyDescent="0.2">
      <c r="A602" t="str">
        <f>"320.09 DAR"</f>
        <v>320.09 DAR</v>
      </c>
      <c r="B602" t="str">
        <f>"Landslide: LBJ and Ronald Reagan at the "</f>
        <v xml:space="preserve">Landslide: LBJ and Ronald Reagan at the </v>
      </c>
      <c r="C602">
        <v>324172</v>
      </c>
      <c r="D602" t="str">
        <f>"Darman, Jonathan."</f>
        <v>Darman, Jonathan.</v>
      </c>
      <c r="F602" t="str">
        <f>"xxx, 448 pages, 25 cm, illustrations"</f>
        <v>xxx, 448 pages, 25 cm, illustrations</v>
      </c>
      <c r="G602" s="1">
        <v>14</v>
      </c>
      <c r="H602">
        <v>2014</v>
      </c>
      <c r="I602" t="str">
        <f t="shared" si="24"/>
        <v>9: 300 - 399</v>
      </c>
      <c r="K602" t="str">
        <f>"LL - In"</f>
        <v>LL - In</v>
      </c>
      <c r="L602" s="1">
        <v>35</v>
      </c>
      <c r="M602" t="s">
        <v>572</v>
      </c>
      <c r="O602" t="s">
        <v>28</v>
      </c>
      <c r="P602">
        <v>0</v>
      </c>
      <c r="Q602">
        <v>0</v>
      </c>
      <c r="R602">
        <v>4</v>
      </c>
      <c r="S602" s="2">
        <v>41932</v>
      </c>
      <c r="T602" s="2">
        <v>42114</v>
      </c>
      <c r="U602" s="2">
        <v>42058</v>
      </c>
    </row>
    <row r="603" spans="1:22" x14ac:dyDescent="0.2">
      <c r="A603" t="str">
        <f>"320.1 FUK"</f>
        <v>320.1 FUK</v>
      </c>
      <c r="B603" t="str">
        <f>"Identity: the demand for dignity and the"</f>
        <v>Identity: the demand for dignity and the</v>
      </c>
      <c r="C603">
        <v>351774</v>
      </c>
      <c r="D603" t="str">
        <f>"Fukuyama, Francis."</f>
        <v>Fukuyama, Francis.</v>
      </c>
      <c r="F603" t="str">
        <f>"xvii, 218 pages, 22 cm"</f>
        <v>xvii, 218 pages, 22 cm</v>
      </c>
      <c r="G603" s="1">
        <v>18</v>
      </c>
      <c r="H603">
        <v>2018</v>
      </c>
      <c r="I603" t="str">
        <f t="shared" si="24"/>
        <v>9: 300 - 399</v>
      </c>
      <c r="K603" t="str">
        <f>"WB - In"</f>
        <v>WB - In</v>
      </c>
      <c r="L603" s="1">
        <v>31</v>
      </c>
      <c r="M603" t="s">
        <v>573</v>
      </c>
      <c r="O603" t="s">
        <v>28</v>
      </c>
      <c r="P603">
        <v>6</v>
      </c>
      <c r="Q603">
        <v>0</v>
      </c>
      <c r="R603">
        <v>6</v>
      </c>
      <c r="S603" s="2">
        <v>43444</v>
      </c>
      <c r="T603" s="2">
        <v>43677</v>
      </c>
      <c r="U603" s="2">
        <v>43634</v>
      </c>
    </row>
    <row r="604" spans="1:22" x14ac:dyDescent="0.2">
      <c r="A604" t="str">
        <f>"320.1 KAP"</f>
        <v>320.1 KAP</v>
      </c>
      <c r="B604" t="str">
        <f>"revenge of geography: what the map tells"</f>
        <v>revenge of geography: what the map tells</v>
      </c>
      <c r="C604">
        <v>309533</v>
      </c>
      <c r="D604" t="str">
        <f>"Kaplan, Robert D."</f>
        <v>Kaplan, Robert D.</v>
      </c>
      <c r="F604" t="str">
        <f>"p. cm."</f>
        <v>p. cm.</v>
      </c>
      <c r="G604" s="1">
        <v>12</v>
      </c>
      <c r="H604">
        <v>2012</v>
      </c>
      <c r="I604" t="str">
        <f t="shared" si="24"/>
        <v>9: 300 - 399</v>
      </c>
      <c r="K604" t="str">
        <f>"WB - In"</f>
        <v>WB - In</v>
      </c>
      <c r="L604" s="1">
        <v>33</v>
      </c>
      <c r="M604" t="s">
        <v>574</v>
      </c>
      <c r="O604" t="s">
        <v>28</v>
      </c>
      <c r="P604">
        <v>2</v>
      </c>
      <c r="Q604">
        <v>0</v>
      </c>
      <c r="R604">
        <v>24</v>
      </c>
      <c r="S604" s="2">
        <v>41164</v>
      </c>
      <c r="T604" s="2">
        <v>41542</v>
      </c>
      <c r="U604" s="2">
        <v>43687</v>
      </c>
    </row>
    <row r="605" spans="1:22" x14ac:dyDescent="0.2">
      <c r="A605" t="str">
        <f>"320.1 MAC"</f>
        <v>320.1 MAC</v>
      </c>
      <c r="B605" t="s">
        <v>575</v>
      </c>
      <c r="C605">
        <v>140092</v>
      </c>
      <c r="D605" t="str">
        <f>"Machiavelli, Niccolo"</f>
        <v>Machiavelli, Niccolo</v>
      </c>
      <c r="F605" t="str">
        <f>"xxxiv, 126 p., 18 cm."</f>
        <v>xxxiv, 126 p., 18 cm.</v>
      </c>
      <c r="G605" s="1">
        <v>9</v>
      </c>
      <c r="H605">
        <v>2008</v>
      </c>
      <c r="I605" t="str">
        <f t="shared" si="24"/>
        <v>9: 300 - 399</v>
      </c>
      <c r="K605" t="str">
        <f>"LL - In"</f>
        <v>LL - In</v>
      </c>
      <c r="L605" s="1">
        <v>18</v>
      </c>
      <c r="M605" t="s">
        <v>576</v>
      </c>
      <c r="O605" t="s">
        <v>28</v>
      </c>
      <c r="P605">
        <v>3</v>
      </c>
      <c r="Q605">
        <v>0</v>
      </c>
      <c r="R605">
        <v>12</v>
      </c>
      <c r="S605" s="2">
        <v>40149</v>
      </c>
      <c r="T605" s="2">
        <v>41053</v>
      </c>
      <c r="U605" s="2">
        <v>43467</v>
      </c>
    </row>
    <row r="606" spans="1:22" x14ac:dyDescent="0.2">
      <c r="A606" t="str">
        <f>"320.1 MAR"</f>
        <v>320.1 MAR</v>
      </c>
      <c r="B606" t="str">
        <f>"Prisoners of geography: ten maps that ex"</f>
        <v>Prisoners of geography: ten maps that ex</v>
      </c>
      <c r="C606">
        <v>292877</v>
      </c>
      <c r="D606" t="str">
        <f>"Marshall, Tim,"</f>
        <v>Marshall, Tim,</v>
      </c>
      <c r="F606" t="str">
        <f>"307 pages, 23 cm, maps"</f>
        <v>307 pages, 23 cm, maps</v>
      </c>
      <c r="G606" s="1">
        <v>17</v>
      </c>
      <c r="H606">
        <v>2016</v>
      </c>
      <c r="I606" t="str">
        <f t="shared" si="24"/>
        <v>9: 300 - 399</v>
      </c>
      <c r="K606" t="str">
        <f>"LL - In"</f>
        <v>LL - In</v>
      </c>
      <c r="L606" s="1">
        <v>22</v>
      </c>
      <c r="M606" t="s">
        <v>577</v>
      </c>
      <c r="O606" t="s">
        <v>28</v>
      </c>
      <c r="P606">
        <v>13</v>
      </c>
      <c r="Q606">
        <v>1</v>
      </c>
      <c r="R606">
        <v>15</v>
      </c>
      <c r="S606" s="2">
        <v>42758</v>
      </c>
      <c r="T606" s="2">
        <v>42954</v>
      </c>
      <c r="U606" s="2">
        <v>43794</v>
      </c>
      <c r="V606" s="2">
        <v>43130</v>
      </c>
    </row>
    <row r="607" spans="1:22" x14ac:dyDescent="0.2">
      <c r="A607" t="str">
        <f>"320.5 BEL"</f>
        <v>320.5 BEL</v>
      </c>
      <c r="B607" t="str">
        <f>"Bring the war home: the white power move"</f>
        <v>Bring the war home: the white power move</v>
      </c>
      <c r="C607">
        <v>349988</v>
      </c>
      <c r="D607" t="str">
        <f>"Belew, Kathleen,"</f>
        <v>Belew, Kathleen,</v>
      </c>
      <c r="F607" t="str">
        <f>"x, 339 pages, 24 cm, illustrations"</f>
        <v>x, 339 pages, 24 cm, illustrations</v>
      </c>
      <c r="G607" s="1">
        <v>18</v>
      </c>
      <c r="H607">
        <v>2018</v>
      </c>
      <c r="I607" t="str">
        <f t="shared" si="24"/>
        <v>9: 300 - 399</v>
      </c>
      <c r="K607" t="str">
        <f>"WB - In"</f>
        <v>WB - In</v>
      </c>
      <c r="L607" s="1">
        <v>35</v>
      </c>
      <c r="M607" t="s">
        <v>578</v>
      </c>
      <c r="O607" t="s">
        <v>28</v>
      </c>
      <c r="P607">
        <v>2</v>
      </c>
      <c r="Q607">
        <v>1</v>
      </c>
      <c r="R607">
        <v>3</v>
      </c>
      <c r="S607" s="2">
        <v>43361</v>
      </c>
      <c r="T607" s="2">
        <v>43502</v>
      </c>
      <c r="U607" s="2">
        <v>43400</v>
      </c>
      <c r="V607" s="2">
        <v>43484</v>
      </c>
    </row>
    <row r="608" spans="1:22" x14ac:dyDescent="0.2">
      <c r="A608" t="str">
        <f>"320.5 GOO"</f>
        <v>320.5 GOO</v>
      </c>
      <c r="B608" t="str">
        <f>"road to somewhere: the populist revolt a"</f>
        <v>road to somewhere: the populist revolt a</v>
      </c>
      <c r="C608">
        <v>401992</v>
      </c>
      <c r="D608" t="str">
        <f>"Goodhart, David"</f>
        <v>Goodhart, David</v>
      </c>
      <c r="F608" t="str">
        <f>"viii, 278 pages, 23 cm, illustrations"</f>
        <v>viii, 278 pages, 23 cm, illustrations</v>
      </c>
      <c r="G608" s="1">
        <v>18</v>
      </c>
      <c r="H608">
        <v>2017</v>
      </c>
      <c r="I608" t="str">
        <f t="shared" si="24"/>
        <v>9: 300 - 399</v>
      </c>
      <c r="K608" t="str">
        <f>"WB - In"</f>
        <v>WB - In</v>
      </c>
      <c r="L608" s="1">
        <v>30</v>
      </c>
      <c r="M608" t="s">
        <v>579</v>
      </c>
      <c r="O608" t="s">
        <v>28</v>
      </c>
      <c r="P608">
        <v>3</v>
      </c>
      <c r="Q608">
        <v>0</v>
      </c>
      <c r="R608">
        <v>3</v>
      </c>
      <c r="S608" s="2">
        <v>43270</v>
      </c>
      <c r="T608" s="2">
        <v>43423</v>
      </c>
      <c r="U608" s="2">
        <v>43702</v>
      </c>
    </row>
    <row r="609" spans="1:22" x14ac:dyDescent="0.2">
      <c r="A609" t="str">
        <f>"320.5 JON"</f>
        <v>320.5 JON</v>
      </c>
      <c r="B609" t="str">
        <f>"Beyond the messy truth: how we came apar"</f>
        <v>Beyond the messy truth: how we came apar</v>
      </c>
      <c r="C609">
        <v>344581</v>
      </c>
      <c r="D609" t="str">
        <f>"Jones, Van,"</f>
        <v>Jones, Van,</v>
      </c>
      <c r="F609" t="str">
        <f>"xvi, 233 pages, 25 cm"</f>
        <v>xvi, 233 pages, 25 cm</v>
      </c>
      <c r="G609" s="1">
        <v>17</v>
      </c>
      <c r="H609">
        <v>2017</v>
      </c>
      <c r="I609" t="str">
        <f t="shared" si="24"/>
        <v>9: 300 - 399</v>
      </c>
      <c r="K609" t="str">
        <f>"LL - In"</f>
        <v>LL - In</v>
      </c>
      <c r="L609" s="1">
        <v>32</v>
      </c>
      <c r="M609" t="s">
        <v>580</v>
      </c>
      <c r="O609" t="s">
        <v>28</v>
      </c>
      <c r="P609">
        <v>4</v>
      </c>
      <c r="Q609">
        <v>1</v>
      </c>
      <c r="R609">
        <v>5</v>
      </c>
      <c r="S609" s="2">
        <v>43047</v>
      </c>
      <c r="T609" s="2">
        <v>43258</v>
      </c>
      <c r="U609" s="2">
        <v>43233</v>
      </c>
      <c r="V609" s="2">
        <v>43177</v>
      </c>
    </row>
    <row r="610" spans="1:22" x14ac:dyDescent="0.2">
      <c r="A610" t="str">
        <f>"320.5 JUD"</f>
        <v>320.5 JUD</v>
      </c>
      <c r="B610" t="str">
        <f>"populist explosion: how the great recess"</f>
        <v>populist explosion: how the great recess</v>
      </c>
      <c r="C610">
        <v>340840</v>
      </c>
      <c r="D610" t="str">
        <f>"Judis, John B."</f>
        <v>Judis, John B.</v>
      </c>
      <c r="F610" t="str">
        <f>"182 pages, 20 cm, map"</f>
        <v>182 pages, 20 cm, map</v>
      </c>
      <c r="G610" s="1">
        <v>17</v>
      </c>
      <c r="H610">
        <v>2016</v>
      </c>
      <c r="I610" t="str">
        <f t="shared" si="24"/>
        <v>9: 300 - 399</v>
      </c>
      <c r="K610" t="str">
        <f>"WB - In"</f>
        <v>WB - In</v>
      </c>
      <c r="L610" s="1">
        <v>18</v>
      </c>
      <c r="M610" t="s">
        <v>581</v>
      </c>
      <c r="O610" t="s">
        <v>28</v>
      </c>
      <c r="P610">
        <v>3</v>
      </c>
      <c r="Q610">
        <v>0</v>
      </c>
      <c r="R610">
        <v>3</v>
      </c>
      <c r="S610" s="2">
        <v>42842</v>
      </c>
      <c r="T610" s="2">
        <v>43040</v>
      </c>
      <c r="U610" s="2">
        <v>43596</v>
      </c>
    </row>
    <row r="611" spans="1:22" x14ac:dyDescent="0.2">
      <c r="A611" t="str">
        <f>"320.5 LAK"</f>
        <v>320.5 LAK</v>
      </c>
      <c r="B611" t="str">
        <f>"all new don't think of an elephant!: kno"</f>
        <v>all new don't think of an elephant!: kno</v>
      </c>
      <c r="C611">
        <v>340467</v>
      </c>
      <c r="D611" t="str">
        <f>"Lakoff, George."</f>
        <v>Lakoff, George.</v>
      </c>
      <c r="F611" t="str">
        <f>"xv, 168 pages, 22 cm"</f>
        <v>xv, 168 pages, 22 cm</v>
      </c>
      <c r="G611" s="1">
        <v>17</v>
      </c>
      <c r="H611">
        <v>2014</v>
      </c>
      <c r="I611" t="str">
        <f t="shared" si="24"/>
        <v>9: 300 - 399</v>
      </c>
      <c r="K611" t="str">
        <f>"WB - Problem"</f>
        <v>WB - Problem</v>
      </c>
      <c r="L611" s="1">
        <v>20</v>
      </c>
      <c r="M611" t="s">
        <v>582</v>
      </c>
      <c r="O611" t="s">
        <v>28</v>
      </c>
      <c r="P611">
        <v>3</v>
      </c>
      <c r="Q611">
        <v>0</v>
      </c>
      <c r="R611">
        <v>3</v>
      </c>
      <c r="S611" s="2">
        <v>42821</v>
      </c>
      <c r="T611" s="2">
        <v>42829</v>
      </c>
      <c r="U611" s="2">
        <v>43649</v>
      </c>
    </row>
    <row r="612" spans="1:22" x14ac:dyDescent="0.2">
      <c r="A612" t="str">
        <f>"320.5 LAK"</f>
        <v>320.5 LAK</v>
      </c>
      <c r="B612" t="str">
        <f>"all new don't think of an elephant!: kno"</f>
        <v>all new don't think of an elephant!: kno</v>
      </c>
      <c r="C612">
        <v>351418</v>
      </c>
      <c r="D612" t="str">
        <f>"Lakoff, George."</f>
        <v>Lakoff, George.</v>
      </c>
      <c r="F612" t="str">
        <f>"xv, 168 pages, 22 cm"</f>
        <v>xv, 168 pages, 22 cm</v>
      </c>
      <c r="G612" s="1">
        <v>18</v>
      </c>
      <c r="H612">
        <v>2014</v>
      </c>
      <c r="I612" t="str">
        <f t="shared" si="24"/>
        <v>9: 300 - 399</v>
      </c>
      <c r="K612" t="str">
        <f>"WB - In"</f>
        <v>WB - In</v>
      </c>
      <c r="L612" s="1">
        <v>20</v>
      </c>
      <c r="M612" t="s">
        <v>582</v>
      </c>
      <c r="O612" t="s">
        <v>28</v>
      </c>
      <c r="P612">
        <v>0</v>
      </c>
      <c r="Q612">
        <v>0</v>
      </c>
      <c r="R612">
        <v>0</v>
      </c>
      <c r="S612" s="2">
        <v>43424</v>
      </c>
      <c r="T612" s="2">
        <v>43437</v>
      </c>
    </row>
    <row r="613" spans="1:22" x14ac:dyDescent="0.2">
      <c r="A613" t="str">
        <f>"320.5 ROO"</f>
        <v>320.5 ROO</v>
      </c>
      <c r="B613" t="str">
        <f>"unlikely disciple: a sinner's semester a"</f>
        <v>unlikely disciple: a sinner's semester a</v>
      </c>
      <c r="C613">
        <v>136532</v>
      </c>
      <c r="D613" t="str">
        <f>"Roose, Kevin."</f>
        <v>Roose, Kevin.</v>
      </c>
      <c r="F613" t="str">
        <f>"324 p., 24 cm."</f>
        <v>324 p., 24 cm.</v>
      </c>
      <c r="G613" s="1">
        <v>9</v>
      </c>
      <c r="H613">
        <v>2009</v>
      </c>
      <c r="I613" t="str">
        <f t="shared" si="24"/>
        <v>9: 300 - 399</v>
      </c>
      <c r="K613" t="str">
        <f>"WB - In"</f>
        <v>WB - In</v>
      </c>
      <c r="L613" s="1">
        <v>30</v>
      </c>
      <c r="M613" t="s">
        <v>583</v>
      </c>
      <c r="O613" t="s">
        <v>28</v>
      </c>
      <c r="P613">
        <v>2</v>
      </c>
      <c r="Q613">
        <v>1</v>
      </c>
      <c r="R613">
        <v>24</v>
      </c>
      <c r="S613" s="2">
        <v>39941</v>
      </c>
      <c r="T613" s="2">
        <v>41053</v>
      </c>
      <c r="U613" s="2">
        <v>43613</v>
      </c>
      <c r="V613" s="2">
        <v>42963</v>
      </c>
    </row>
    <row r="614" spans="1:22" x14ac:dyDescent="0.2">
      <c r="A614" t="str">
        <f>"320.5 SOW"</f>
        <v>320.5 SOW</v>
      </c>
      <c r="B614" t="str">
        <f>"Intellectuals and race"</f>
        <v>Intellectuals and race</v>
      </c>
      <c r="C614">
        <v>319501</v>
      </c>
      <c r="D614" t="str">
        <f>"Sowell, Thomas"</f>
        <v>Sowell, Thomas</v>
      </c>
      <c r="F614" t="str">
        <f>"vii, 184 p., 25 cm"</f>
        <v>vii, 184 p., 25 cm</v>
      </c>
      <c r="G614" s="1">
        <v>14</v>
      </c>
      <c r="H614">
        <v>2013</v>
      </c>
      <c r="I614" t="str">
        <f t="shared" si="24"/>
        <v>9: 300 - 399</v>
      </c>
      <c r="K614" t="str">
        <f>"WB - In"</f>
        <v>WB - In</v>
      </c>
      <c r="L614" s="1">
        <v>31</v>
      </c>
      <c r="M614" t="s">
        <v>584</v>
      </c>
      <c r="O614" t="s">
        <v>28</v>
      </c>
      <c r="P614">
        <v>5</v>
      </c>
      <c r="Q614">
        <v>0</v>
      </c>
      <c r="R614">
        <v>17</v>
      </c>
      <c r="S614" s="2">
        <v>41670</v>
      </c>
      <c r="T614" s="2">
        <v>41940</v>
      </c>
      <c r="U614" s="2">
        <v>43733</v>
      </c>
    </row>
    <row r="615" spans="1:22" x14ac:dyDescent="0.2">
      <c r="A615" t="str">
        <f>"320.51 ALT"</f>
        <v>320.51 ALT</v>
      </c>
      <c r="B615" t="str">
        <f>"cause: the fight for American liberalism"</f>
        <v>cause: the fight for American liberalism</v>
      </c>
      <c r="C615">
        <v>307165</v>
      </c>
      <c r="D615" t="str">
        <f>"Alterman, Eric."</f>
        <v>Alterman, Eric.</v>
      </c>
      <c r="F615" t="str">
        <f>"xi, 561 p., 25 cm."</f>
        <v>xi, 561 p., 25 cm.</v>
      </c>
      <c r="G615" s="1">
        <v>12</v>
      </c>
      <c r="H615">
        <v>2012</v>
      </c>
      <c r="I615" t="str">
        <f t="shared" si="24"/>
        <v>9: 300 - 399</v>
      </c>
      <c r="K615" t="str">
        <f>"WB - In"</f>
        <v>WB - In</v>
      </c>
      <c r="L615" s="1">
        <v>38</v>
      </c>
      <c r="M615" t="s">
        <v>585</v>
      </c>
      <c r="O615" t="s">
        <v>28</v>
      </c>
      <c r="P615">
        <v>0</v>
      </c>
      <c r="Q615">
        <v>0</v>
      </c>
      <c r="R615">
        <v>4</v>
      </c>
      <c r="S615" s="2">
        <v>41030</v>
      </c>
      <c r="T615" s="2">
        <v>41095</v>
      </c>
      <c r="U615" s="2">
        <v>42343</v>
      </c>
      <c r="V615" s="2">
        <v>42422</v>
      </c>
    </row>
    <row r="616" spans="1:22" x14ac:dyDescent="0.2">
      <c r="A616" t="str">
        <f>"320.51 CAS"</f>
        <v>320.51 CAS</v>
      </c>
      <c r="B616" t="str">
        <f>"Scarlet letters: the ever-increasing int"</f>
        <v>Scarlet letters: the ever-increasing int</v>
      </c>
      <c r="C616">
        <v>286011</v>
      </c>
      <c r="D616" t="str">
        <f>"Cashill, Jack."</f>
        <v>Cashill, Jack.</v>
      </c>
      <c r="F616" t="str">
        <f>"xii, 253 pages, 24 cm"</f>
        <v>xii, 253 pages, 24 cm</v>
      </c>
      <c r="G616" s="1">
        <v>16</v>
      </c>
      <c r="H616">
        <v>2015</v>
      </c>
      <c r="I616" t="str">
        <f t="shared" si="24"/>
        <v>9: 300 - 399</v>
      </c>
      <c r="K616" t="str">
        <f>"LL - In"</f>
        <v>LL - In</v>
      </c>
      <c r="L616" s="1">
        <v>32</v>
      </c>
      <c r="M616" t="s">
        <v>586</v>
      </c>
      <c r="O616" t="s">
        <v>28</v>
      </c>
      <c r="P616">
        <v>1</v>
      </c>
      <c r="Q616">
        <v>0</v>
      </c>
      <c r="R616">
        <v>7</v>
      </c>
      <c r="S616" s="2">
        <v>42409</v>
      </c>
      <c r="T616" s="2">
        <v>42562</v>
      </c>
      <c r="U616" s="2">
        <v>43668</v>
      </c>
      <c r="V616" s="2">
        <v>42674</v>
      </c>
    </row>
    <row r="617" spans="1:22" x14ac:dyDescent="0.2">
      <c r="A617" t="str">
        <f>"320.51 DEN"</f>
        <v>320.51 DEN</v>
      </c>
      <c r="B617" t="str">
        <f>"Why liberalism failed"</f>
        <v>Why liberalism failed</v>
      </c>
      <c r="C617">
        <v>348504</v>
      </c>
      <c r="D617" t="str">
        <f>"Deneen, Patrick J.,"</f>
        <v>Deneen, Patrick J.,</v>
      </c>
      <c r="F617" t="str">
        <f>"xix, 225 pages, 22 cm"</f>
        <v>xix, 225 pages, 22 cm</v>
      </c>
      <c r="G617" s="1">
        <v>18</v>
      </c>
      <c r="H617">
        <v>2018</v>
      </c>
      <c r="I617" t="str">
        <f t="shared" si="24"/>
        <v>9: 300 - 399</v>
      </c>
      <c r="K617" t="str">
        <f>"WB - In"</f>
        <v>WB - In</v>
      </c>
      <c r="L617" s="1">
        <v>35</v>
      </c>
      <c r="M617" t="s">
        <v>587</v>
      </c>
      <c r="O617" t="s">
        <v>28</v>
      </c>
      <c r="P617">
        <v>11</v>
      </c>
      <c r="Q617">
        <v>1</v>
      </c>
      <c r="R617">
        <v>12</v>
      </c>
      <c r="S617" s="2">
        <v>43283</v>
      </c>
      <c r="T617" s="2">
        <v>43565</v>
      </c>
      <c r="U617" s="2">
        <v>43522</v>
      </c>
      <c r="V617" s="2">
        <v>43574</v>
      </c>
    </row>
    <row r="618" spans="1:22" x14ac:dyDescent="0.2">
      <c r="A618" t="str">
        <f>"320.51 FRA"</f>
        <v>320.51 FRA</v>
      </c>
      <c r="B618" t="str">
        <f>"limousine liberal: how an incendiary ima"</f>
        <v>limousine liberal: how an incendiary ima</v>
      </c>
      <c r="C618">
        <v>335254</v>
      </c>
      <c r="D618" t="str">
        <f>"Fraser, Steve,"</f>
        <v>Fraser, Steve,</v>
      </c>
      <c r="F618" t="str">
        <f>"vii, 291 pages, 25 cm"</f>
        <v>vii, 291 pages, 25 cm</v>
      </c>
      <c r="G618" s="1">
        <v>16</v>
      </c>
      <c r="H618">
        <v>2016</v>
      </c>
      <c r="I618" t="str">
        <f t="shared" si="24"/>
        <v>9: 300 - 399</v>
      </c>
      <c r="K618" t="str">
        <f>"WB - In"</f>
        <v>WB - In</v>
      </c>
      <c r="L618" s="1">
        <v>33</v>
      </c>
      <c r="M618" t="s">
        <v>588</v>
      </c>
      <c r="O618" t="s">
        <v>28</v>
      </c>
      <c r="P618">
        <v>0</v>
      </c>
      <c r="Q618">
        <v>0</v>
      </c>
      <c r="R618">
        <v>4</v>
      </c>
      <c r="S618" s="2">
        <v>42513</v>
      </c>
      <c r="T618" s="2">
        <v>42670</v>
      </c>
      <c r="U618" s="2">
        <v>42646</v>
      </c>
    </row>
    <row r="619" spans="1:22" x14ac:dyDescent="0.2">
      <c r="A619" t="str">
        <f>"320.51 GOP"</f>
        <v>320.51 GOP</v>
      </c>
      <c r="B619" t="str">
        <f>"thousand small sanities: the moral adven"</f>
        <v>thousand small sanities: the moral adven</v>
      </c>
      <c r="C619">
        <v>355082</v>
      </c>
      <c r="D619" t="str">
        <f>"Gopnik, Adam"</f>
        <v>Gopnik, Adam</v>
      </c>
      <c r="F619" t="str">
        <f>"vii, 249 pages, 22 cm"</f>
        <v>vii, 249 pages, 22 cm</v>
      </c>
      <c r="G619" s="1">
        <v>19</v>
      </c>
      <c r="H619">
        <v>2019</v>
      </c>
      <c r="I619" t="str">
        <f t="shared" si="24"/>
        <v>9: 300 - 399</v>
      </c>
      <c r="K619" t="str">
        <f>"WB - In"</f>
        <v>WB - In</v>
      </c>
      <c r="L619" s="1">
        <v>33</v>
      </c>
      <c r="M619" t="s">
        <v>589</v>
      </c>
      <c r="O619" t="s">
        <v>28</v>
      </c>
      <c r="P619">
        <v>4</v>
      </c>
      <c r="Q619">
        <v>0</v>
      </c>
      <c r="R619">
        <v>4</v>
      </c>
      <c r="S619" s="2">
        <v>43613</v>
      </c>
      <c r="T619" s="2">
        <v>43775</v>
      </c>
      <c r="U619" s="2">
        <v>43739</v>
      </c>
    </row>
    <row r="620" spans="1:22" x14ac:dyDescent="0.2">
      <c r="A620" t="str">
        <f>"320.51 HOL"</f>
        <v>320.51 HOL</v>
      </c>
      <c r="B620" t="str">
        <f>"closing of the liberal mind: how groupth"</f>
        <v>closing of the liberal mind: how groupth</v>
      </c>
      <c r="C620">
        <v>335507</v>
      </c>
      <c r="D620" t="str">
        <f>"Holmes, Kim R."</f>
        <v>Holmes, Kim R.</v>
      </c>
      <c r="F620" t="str">
        <f>"xii, 362 pages, 24 cm"</f>
        <v>xii, 362 pages, 24 cm</v>
      </c>
      <c r="G620" s="1">
        <v>16</v>
      </c>
      <c r="H620">
        <v>2016</v>
      </c>
      <c r="I620" t="str">
        <f t="shared" si="24"/>
        <v>9: 300 - 399</v>
      </c>
      <c r="K620" t="str">
        <f>"LL - In"</f>
        <v>LL - In</v>
      </c>
      <c r="L620" s="1">
        <v>31</v>
      </c>
      <c r="M620" t="s">
        <v>590</v>
      </c>
      <c r="O620" t="s">
        <v>28</v>
      </c>
      <c r="P620">
        <v>2</v>
      </c>
      <c r="Q620">
        <v>0</v>
      </c>
      <c r="R620">
        <v>10</v>
      </c>
      <c r="S620" s="2">
        <v>42528</v>
      </c>
      <c r="T620" s="2">
        <v>42717</v>
      </c>
      <c r="U620" s="2">
        <v>43668</v>
      </c>
      <c r="V620" s="2">
        <v>42731</v>
      </c>
    </row>
    <row r="621" spans="1:22" x14ac:dyDescent="0.2">
      <c r="A621" t="str">
        <f>"320.51 MAY"</f>
        <v>320.51 MAY</v>
      </c>
      <c r="B621" t="str">
        <f>"Dark money: the hidden history of the bi"</f>
        <v>Dark money: the hidden history of the bi</v>
      </c>
      <c r="C621">
        <v>332821</v>
      </c>
      <c r="D621" t="str">
        <f>"Mayer, Jane."</f>
        <v>Mayer, Jane.</v>
      </c>
      <c r="F621" t="str">
        <f>"xii, 449 pages, 25 cm"</f>
        <v>xii, 449 pages, 25 cm</v>
      </c>
      <c r="G621" s="1">
        <v>16</v>
      </c>
      <c r="H621">
        <v>2016</v>
      </c>
      <c r="I621" t="str">
        <f t="shared" si="24"/>
        <v>9: 300 - 399</v>
      </c>
      <c r="K621" t="str">
        <f>"WB - In"</f>
        <v>WB - In</v>
      </c>
      <c r="L621" s="1">
        <v>35</v>
      </c>
      <c r="M621" t="s">
        <v>591</v>
      </c>
      <c r="O621" t="s">
        <v>28</v>
      </c>
      <c r="P621">
        <v>11</v>
      </c>
      <c r="Q621">
        <v>1</v>
      </c>
      <c r="R621">
        <v>22</v>
      </c>
      <c r="S621" s="2">
        <v>42403</v>
      </c>
      <c r="T621" s="2">
        <v>42572</v>
      </c>
      <c r="U621" s="2">
        <v>43598</v>
      </c>
      <c r="V621" s="2">
        <v>43704</v>
      </c>
    </row>
    <row r="622" spans="1:22" x14ac:dyDescent="0.2">
      <c r="A622" t="str">
        <f>"320.51 MAY"</f>
        <v>320.51 MAY</v>
      </c>
      <c r="B622" t="str">
        <f>"Dark money: the hidden history of the bi"</f>
        <v>Dark money: the hidden history of the bi</v>
      </c>
      <c r="C622">
        <v>334703</v>
      </c>
      <c r="D622" t="str">
        <f>"Mayer, Jane."</f>
        <v>Mayer, Jane.</v>
      </c>
      <c r="F622" t="str">
        <f>"xii, 449 pages, 25 cm"</f>
        <v>xii, 449 pages, 25 cm</v>
      </c>
      <c r="G622" s="1">
        <v>16</v>
      </c>
      <c r="H622">
        <v>2016</v>
      </c>
      <c r="I622" t="str">
        <f t="shared" si="24"/>
        <v>9: 300 - 399</v>
      </c>
      <c r="K622" t="str">
        <f>"LL - In"</f>
        <v>LL - In</v>
      </c>
      <c r="L622" s="1">
        <v>35</v>
      </c>
      <c r="M622" t="s">
        <v>591</v>
      </c>
      <c r="O622" t="s">
        <v>28</v>
      </c>
      <c r="P622">
        <v>14</v>
      </c>
      <c r="Q622">
        <v>0</v>
      </c>
      <c r="R622">
        <v>24</v>
      </c>
      <c r="S622" s="2">
        <v>42486</v>
      </c>
      <c r="T622" s="2">
        <v>42654</v>
      </c>
      <c r="U622" s="2">
        <v>43622</v>
      </c>
    </row>
    <row r="623" spans="1:22" x14ac:dyDescent="0.2">
      <c r="A623" t="str">
        <f>"320.51 OWE"</f>
        <v>320.51 OWE</v>
      </c>
      <c r="B623" t="str">
        <f>"Liberalism: or How to turn good men into"</f>
        <v>Liberalism: or How to turn good men into</v>
      </c>
      <c r="C623">
        <v>343411</v>
      </c>
      <c r="D623" t="str">
        <f>"Owens, Burgess"</f>
        <v>Owens, Burgess</v>
      </c>
      <c r="F623" t="str">
        <f>"351 pages, 21 cm, illustrations"</f>
        <v>351 pages, 21 cm, illustrations</v>
      </c>
      <c r="G623" s="1">
        <v>17</v>
      </c>
      <c r="H623">
        <v>2016</v>
      </c>
      <c r="I623" t="str">
        <f t="shared" si="24"/>
        <v>9: 300 - 399</v>
      </c>
      <c r="K623" t="str">
        <f>"WB - In"</f>
        <v>WB - In</v>
      </c>
      <c r="L623" s="1">
        <v>21</v>
      </c>
      <c r="M623" t="s">
        <v>592</v>
      </c>
      <c r="O623" t="s">
        <v>28</v>
      </c>
      <c r="P623">
        <v>2</v>
      </c>
      <c r="Q623">
        <v>0</v>
      </c>
      <c r="R623">
        <v>2</v>
      </c>
      <c r="S623" s="2">
        <v>42984</v>
      </c>
      <c r="T623" s="2">
        <v>42991</v>
      </c>
      <c r="U623" s="2">
        <v>43334</v>
      </c>
    </row>
    <row r="624" spans="1:22" x14ac:dyDescent="0.2">
      <c r="A624" t="str">
        <f>"320.51 ROB"</f>
        <v>320.51 ROB</v>
      </c>
      <c r="B624" t="str">
        <f>"Erasing America: losing our future by de"</f>
        <v>Erasing America: losing our future by de</v>
      </c>
      <c r="C624">
        <v>349853</v>
      </c>
      <c r="D624" t="str">
        <f>"Robbins, James S.,"</f>
        <v>Robbins, James S.,</v>
      </c>
      <c r="F624" t="str">
        <f>"344 pages, 8 unnumbered pages of plates, 24 cm, color illustrations, color map"</f>
        <v>344 pages, 8 unnumbered pages of plates, 24 cm, color illustrations, color map</v>
      </c>
      <c r="G624" s="1">
        <v>18</v>
      </c>
      <c r="H624">
        <v>2018</v>
      </c>
      <c r="I624" t="str">
        <f t="shared" si="24"/>
        <v>9: 300 - 399</v>
      </c>
      <c r="K624" t="str">
        <f>"LL - In"</f>
        <v>LL - In</v>
      </c>
      <c r="L624" s="1">
        <v>34</v>
      </c>
      <c r="M624" t="s">
        <v>593</v>
      </c>
      <c r="O624" t="s">
        <v>28</v>
      </c>
      <c r="P624">
        <v>6</v>
      </c>
      <c r="Q624">
        <v>0</v>
      </c>
      <c r="R624">
        <v>6</v>
      </c>
      <c r="S624" s="2">
        <v>43354</v>
      </c>
      <c r="T624" s="2">
        <v>43539</v>
      </c>
      <c r="U624" s="2">
        <v>43668</v>
      </c>
    </row>
    <row r="625" spans="1:22" x14ac:dyDescent="0.2">
      <c r="A625" t="str">
        <f>"320.52 BEN"</f>
        <v>320.52 BEN</v>
      </c>
      <c r="B625" t="str">
        <f>"Strength for your future: principles tha"</f>
        <v>Strength for your future: principles tha</v>
      </c>
      <c r="C625">
        <v>335277</v>
      </c>
      <c r="D625" t="str">
        <f>"Bennett, William J."</f>
        <v>Bennett, William J.</v>
      </c>
      <c r="F625" t="str">
        <f>"pages cm"</f>
        <v>pages cm</v>
      </c>
      <c r="G625" s="1">
        <v>16</v>
      </c>
      <c r="H625">
        <v>2016</v>
      </c>
      <c r="I625" t="str">
        <f t="shared" si="24"/>
        <v>9: 300 - 399</v>
      </c>
      <c r="K625" t="str">
        <f>"WB - In"</f>
        <v>WB - In</v>
      </c>
      <c r="L625" s="1">
        <v>23</v>
      </c>
      <c r="M625" t="s">
        <v>594</v>
      </c>
      <c r="O625" t="s">
        <v>28</v>
      </c>
      <c r="P625">
        <v>2</v>
      </c>
      <c r="Q625">
        <v>0</v>
      </c>
      <c r="R625">
        <v>8</v>
      </c>
      <c r="S625" s="2">
        <v>42513</v>
      </c>
      <c r="T625" s="2">
        <v>42700</v>
      </c>
      <c r="U625" s="2">
        <v>43554</v>
      </c>
      <c r="V625" s="2">
        <v>42700</v>
      </c>
    </row>
    <row r="626" spans="1:22" x14ac:dyDescent="0.2">
      <c r="A626" t="str">
        <f>"320.52 CLA"</f>
        <v>320.52 CLA</v>
      </c>
      <c r="B626" t="str">
        <f>"Cop under fire: moving beyond hashtags o"</f>
        <v>Cop under fire: moving beyond hashtags o</v>
      </c>
      <c r="C626">
        <v>340814</v>
      </c>
      <c r="D626" t="str">
        <f>"Clarke, David,"</f>
        <v>Clarke, David,</v>
      </c>
      <c r="F626" t="str">
        <f>"xiv, 256 pages, 24 cm"</f>
        <v>xiv, 256 pages, 24 cm</v>
      </c>
      <c r="G626" s="1">
        <v>17</v>
      </c>
      <c r="H626">
        <v>2017</v>
      </c>
      <c r="I626" t="str">
        <f t="shared" si="24"/>
        <v>9: 300 - 399</v>
      </c>
      <c r="K626" t="str">
        <f>"WB - In"</f>
        <v>WB - In</v>
      </c>
      <c r="L626" s="1">
        <v>27</v>
      </c>
      <c r="M626" t="s">
        <v>595</v>
      </c>
      <c r="O626" t="s">
        <v>28</v>
      </c>
      <c r="P626">
        <v>3</v>
      </c>
      <c r="Q626">
        <v>0</v>
      </c>
      <c r="R626">
        <v>3</v>
      </c>
      <c r="S626" s="2">
        <v>42842</v>
      </c>
      <c r="T626" s="2">
        <v>43033</v>
      </c>
      <c r="U626" s="2">
        <v>42987</v>
      </c>
    </row>
    <row r="627" spans="1:22" x14ac:dyDescent="0.2">
      <c r="A627" t="str">
        <f>"320.52 FLA"</f>
        <v>320.52 FLA</v>
      </c>
      <c r="B627" t="str">
        <f>"Conscience of a conservative: a rejectio"</f>
        <v>Conscience of a conservative: a rejectio</v>
      </c>
      <c r="C627">
        <v>296623</v>
      </c>
      <c r="D627" t="str">
        <f>"Flake, Jeff"</f>
        <v>Flake, Jeff</v>
      </c>
      <c r="F627" t="str">
        <f>"xi, 140 pages, 22 cm"</f>
        <v>xi, 140 pages, 22 cm</v>
      </c>
      <c r="G627" s="1">
        <v>17</v>
      </c>
      <c r="H627">
        <v>2017</v>
      </c>
      <c r="I627" t="str">
        <f t="shared" si="24"/>
        <v>9: 300 - 399</v>
      </c>
      <c r="K627" t="str">
        <f>"WB - In"</f>
        <v>WB - In</v>
      </c>
      <c r="L627" s="1">
        <v>27</v>
      </c>
      <c r="M627" t="s">
        <v>596</v>
      </c>
      <c r="O627" t="s">
        <v>28</v>
      </c>
      <c r="P627">
        <v>8</v>
      </c>
      <c r="Q627">
        <v>1</v>
      </c>
      <c r="R627">
        <v>9</v>
      </c>
      <c r="S627" s="2">
        <v>42971</v>
      </c>
      <c r="T627" s="2">
        <v>43180</v>
      </c>
      <c r="U627" s="2">
        <v>43696</v>
      </c>
      <c r="V627" s="2">
        <v>43027</v>
      </c>
    </row>
    <row r="628" spans="1:22" x14ac:dyDescent="0.2">
      <c r="A628" t="str">
        <f>"320.52 GUT"</f>
        <v>320.52 GUT</v>
      </c>
      <c r="B628" t="str">
        <f>"How to be right: the art of being persua"</f>
        <v>How to be right: the art of being persua</v>
      </c>
      <c r="C628">
        <v>331382</v>
      </c>
      <c r="D628" t="str">
        <f>"Gutfeld, Greg."</f>
        <v>Gutfeld, Greg.</v>
      </c>
      <c r="F628" t="str">
        <f>"viii, 228 pages, 22 cm, illustration"</f>
        <v>viii, 228 pages, 22 cm, illustration</v>
      </c>
      <c r="G628" s="1">
        <v>15</v>
      </c>
      <c r="H628">
        <v>2015</v>
      </c>
      <c r="I628" t="str">
        <f t="shared" si="24"/>
        <v>9: 300 - 399</v>
      </c>
      <c r="K628" t="str">
        <f>"WB - In"</f>
        <v>WB - In</v>
      </c>
      <c r="L628" s="1">
        <v>30</v>
      </c>
      <c r="M628" t="s">
        <v>597</v>
      </c>
      <c r="O628" t="s">
        <v>28</v>
      </c>
      <c r="P628">
        <v>2</v>
      </c>
      <c r="Q628">
        <v>0</v>
      </c>
      <c r="R628">
        <v>9</v>
      </c>
      <c r="S628" s="2">
        <v>42320</v>
      </c>
      <c r="T628" s="2">
        <v>42491</v>
      </c>
      <c r="U628" s="2">
        <v>43454</v>
      </c>
    </row>
    <row r="629" spans="1:22" x14ac:dyDescent="0.2">
      <c r="A629" t="str">
        <f>"320.52 HOC"</f>
        <v>320.52 HOC</v>
      </c>
      <c r="B629" t="str">
        <f>"Strangers in their own land: anger and m"</f>
        <v>Strangers in their own land: anger and m</v>
      </c>
      <c r="C629">
        <v>342317</v>
      </c>
      <c r="D629" t="str">
        <f>"Hochschild, Arlie Russell,"</f>
        <v>Hochschild, Arlie Russell,</v>
      </c>
      <c r="F629" t="str">
        <f>"xii, 351 pages, 25 cm, illustrations"</f>
        <v>xii, 351 pages, 25 cm, illustrations</v>
      </c>
      <c r="G629" s="1">
        <v>17</v>
      </c>
      <c r="H629">
        <v>2016</v>
      </c>
      <c r="I629" t="str">
        <f t="shared" si="24"/>
        <v>9: 300 - 399</v>
      </c>
      <c r="K629" t="str">
        <f>"LL - In"</f>
        <v>LL - In</v>
      </c>
      <c r="L629" s="1">
        <v>33</v>
      </c>
      <c r="M629" t="s">
        <v>598</v>
      </c>
      <c r="O629" t="s">
        <v>28</v>
      </c>
      <c r="P629">
        <v>5</v>
      </c>
      <c r="Q629">
        <v>0</v>
      </c>
      <c r="R629">
        <v>5</v>
      </c>
      <c r="S629" s="2">
        <v>42919</v>
      </c>
      <c r="T629" s="2">
        <v>42926</v>
      </c>
      <c r="U629" s="2">
        <v>43288</v>
      </c>
    </row>
    <row r="630" spans="1:22" x14ac:dyDescent="0.2">
      <c r="A630" t="str">
        <f>"320.52 LEV"</f>
        <v>320.52 LEV</v>
      </c>
      <c r="B630" t="str">
        <f>"Plunder and deceit: big government's exp"</f>
        <v>Plunder and deceit: big government's exp</v>
      </c>
      <c r="C630">
        <v>329396</v>
      </c>
      <c r="D630" t="str">
        <f>"Levin, Mark R"</f>
        <v>Levin, Mark R</v>
      </c>
      <c r="F630" t="str">
        <f>"viii, 244 pages, 22 cm"</f>
        <v>viii, 244 pages, 22 cm</v>
      </c>
      <c r="G630" s="1">
        <v>15</v>
      </c>
      <c r="H630">
        <v>2015</v>
      </c>
      <c r="I630" t="str">
        <f t="shared" si="24"/>
        <v>9: 300 - 399</v>
      </c>
      <c r="K630" t="str">
        <f>"LL - In"</f>
        <v>LL - In</v>
      </c>
      <c r="L630" s="1">
        <v>32</v>
      </c>
      <c r="M630" t="s">
        <v>599</v>
      </c>
      <c r="O630" t="s">
        <v>28</v>
      </c>
      <c r="P630">
        <v>2</v>
      </c>
      <c r="Q630">
        <v>0</v>
      </c>
      <c r="R630">
        <v>12</v>
      </c>
      <c r="S630" s="2">
        <v>42233</v>
      </c>
      <c r="T630" s="2">
        <v>42411</v>
      </c>
      <c r="U630" s="2">
        <v>43743</v>
      </c>
    </row>
    <row r="631" spans="1:22" x14ac:dyDescent="0.2">
      <c r="A631" t="str">
        <f>"320.52 LEV"</f>
        <v>320.52 LEV</v>
      </c>
      <c r="B631" t="str">
        <f>"Rediscovering Americanism: and the tyran"</f>
        <v>Rediscovering Americanism: and the tyran</v>
      </c>
      <c r="C631">
        <v>342452</v>
      </c>
      <c r="D631" t="str">
        <f>"Levin, Mark R"</f>
        <v>Levin, Mark R</v>
      </c>
      <c r="F631" t="str">
        <f>"259 p."</f>
        <v>259 p.</v>
      </c>
      <c r="G631" s="1">
        <v>17</v>
      </c>
      <c r="H631">
        <v>2017</v>
      </c>
      <c r="I631" t="str">
        <f t="shared" si="24"/>
        <v>9: 300 - 399</v>
      </c>
      <c r="K631" t="str">
        <f>"WB - In"</f>
        <v>WB - In</v>
      </c>
      <c r="L631" s="1">
        <v>32</v>
      </c>
      <c r="M631" t="s">
        <v>600</v>
      </c>
      <c r="O631" t="s">
        <v>28</v>
      </c>
      <c r="P631">
        <v>12</v>
      </c>
      <c r="Q631">
        <v>0</v>
      </c>
      <c r="R631">
        <v>12</v>
      </c>
      <c r="S631" s="2">
        <v>42929</v>
      </c>
      <c r="T631" s="2">
        <v>43096</v>
      </c>
      <c r="U631" s="2">
        <v>43848</v>
      </c>
    </row>
    <row r="632" spans="1:22" x14ac:dyDescent="0.2">
      <c r="A632" t="str">
        <f>"320.52 MAL"</f>
        <v>320.52 MAL</v>
      </c>
      <c r="B632" t="str">
        <f>"new right: a journey to the fringe of Am"</f>
        <v>new right: a journey to the fringe of Am</v>
      </c>
      <c r="C632">
        <v>355576</v>
      </c>
      <c r="D632" t="str">
        <f>"Malice, Michael."</f>
        <v>Malice, Michael.</v>
      </c>
      <c r="F632" t="str">
        <f>"307 pages, 22 cm"</f>
        <v>307 pages, 22 cm</v>
      </c>
      <c r="G632" s="1">
        <v>19</v>
      </c>
      <c r="H632">
        <v>2019</v>
      </c>
      <c r="I632" t="str">
        <f t="shared" si="24"/>
        <v>9: 300 - 399</v>
      </c>
      <c r="K632" t="str">
        <f>"WB - In"</f>
        <v>WB - In</v>
      </c>
      <c r="L632" s="1">
        <v>34</v>
      </c>
      <c r="M632" t="s">
        <v>601</v>
      </c>
      <c r="O632" t="s">
        <v>28</v>
      </c>
      <c r="P632">
        <v>5</v>
      </c>
      <c r="Q632">
        <v>1</v>
      </c>
      <c r="R632">
        <v>6</v>
      </c>
      <c r="S632" s="2">
        <v>43633</v>
      </c>
      <c r="T632" s="2">
        <v>43789</v>
      </c>
      <c r="U632" s="2">
        <v>43734</v>
      </c>
      <c r="V632" s="2">
        <v>43716</v>
      </c>
    </row>
    <row r="633" spans="1:22" x14ac:dyDescent="0.2">
      <c r="A633" t="str">
        <f>"320.52 ORE"</f>
        <v>320.52 ORE</v>
      </c>
      <c r="B633" t="str">
        <f>"Old school: life in the sane lane"</f>
        <v>Old school: life in the sane lane</v>
      </c>
      <c r="C633">
        <v>340410</v>
      </c>
      <c r="D633" t="str">
        <f>"O'Reilly, Bill"</f>
        <v>O'Reilly, Bill</v>
      </c>
      <c r="F633" t="str">
        <f>"xi, 178 pages, 22 cm, illustrations"</f>
        <v>xi, 178 pages, 22 cm, illustrations</v>
      </c>
      <c r="G633" s="1">
        <v>17</v>
      </c>
      <c r="H633">
        <v>2017</v>
      </c>
      <c r="I633" t="str">
        <f t="shared" si="24"/>
        <v>9: 300 - 399</v>
      </c>
      <c r="K633" t="str">
        <f>"LL - In"</f>
        <v>LL - In</v>
      </c>
      <c r="L633" s="1">
        <v>32</v>
      </c>
      <c r="M633" t="s">
        <v>602</v>
      </c>
      <c r="O633" t="s">
        <v>28</v>
      </c>
      <c r="P633">
        <v>8</v>
      </c>
      <c r="Q633">
        <v>1</v>
      </c>
      <c r="R633">
        <v>9</v>
      </c>
      <c r="S633" s="2">
        <v>42821</v>
      </c>
      <c r="T633" s="2">
        <v>42991</v>
      </c>
      <c r="U633" s="2">
        <v>42938</v>
      </c>
      <c r="V633" s="2">
        <v>43153</v>
      </c>
    </row>
    <row r="634" spans="1:22" x14ac:dyDescent="0.2">
      <c r="A634" t="str">
        <f>"320.52 ROT"</f>
        <v>320.52 ROT</v>
      </c>
      <c r="B634" t="str">
        <f>"great suppression: voting rights, corpor"</f>
        <v>great suppression: voting rights, corpor</v>
      </c>
      <c r="C634">
        <v>336992</v>
      </c>
      <c r="D634" t="str">
        <f>"Roth, Zachary"</f>
        <v>Roth, Zachary</v>
      </c>
      <c r="F634" t="str">
        <f>"246 pages, 22 cm"</f>
        <v>246 pages, 22 cm</v>
      </c>
      <c r="G634" s="1">
        <v>16</v>
      </c>
      <c r="H634">
        <v>2016</v>
      </c>
      <c r="I634" t="str">
        <f t="shared" si="24"/>
        <v>9: 300 - 399</v>
      </c>
      <c r="K634" t="str">
        <f>"WB - In"</f>
        <v>WB - In</v>
      </c>
      <c r="L634" s="1">
        <v>31</v>
      </c>
      <c r="M634" t="s">
        <v>603</v>
      </c>
      <c r="O634" t="s">
        <v>28</v>
      </c>
      <c r="P634">
        <v>0</v>
      </c>
      <c r="Q634">
        <v>0</v>
      </c>
      <c r="R634">
        <v>4</v>
      </c>
      <c r="S634" s="2">
        <v>42605</v>
      </c>
      <c r="T634" s="2">
        <v>42760</v>
      </c>
      <c r="U634" s="2">
        <v>42710</v>
      </c>
    </row>
    <row r="635" spans="1:22" x14ac:dyDescent="0.2">
      <c r="A635" t="str">
        <f>"320.52 SCR"</f>
        <v>320.52 SCR</v>
      </c>
      <c r="B635" t="str">
        <f>"Conservatism: an invitation to the great"</f>
        <v>Conservatism: an invitation to the great</v>
      </c>
      <c r="C635">
        <v>350172</v>
      </c>
      <c r="D635" t="str">
        <f>"Scruton, Roger"</f>
        <v>Scruton, Roger</v>
      </c>
      <c r="F635" t="str">
        <f>"164 pages, 22 cm"</f>
        <v>164 pages, 22 cm</v>
      </c>
      <c r="G635" s="1">
        <v>18</v>
      </c>
      <c r="H635">
        <v>2018</v>
      </c>
      <c r="I635" t="str">
        <f t="shared" si="24"/>
        <v>9: 300 - 399</v>
      </c>
      <c r="K635" t="str">
        <f>"WB - In"</f>
        <v>WB - In</v>
      </c>
      <c r="L635" s="1">
        <v>30</v>
      </c>
      <c r="M635" t="s">
        <v>604</v>
      </c>
      <c r="O635" t="s">
        <v>28</v>
      </c>
      <c r="P635">
        <v>6</v>
      </c>
      <c r="Q635">
        <v>0</v>
      </c>
      <c r="R635">
        <v>6</v>
      </c>
      <c r="S635" s="2">
        <v>43368</v>
      </c>
      <c r="T635" s="2">
        <v>43544</v>
      </c>
      <c r="U635" s="2">
        <v>43696</v>
      </c>
    </row>
    <row r="636" spans="1:22" x14ac:dyDescent="0.2">
      <c r="A636" t="str">
        <f>"320.52 WIL"</f>
        <v>320.52 WIL</v>
      </c>
      <c r="B636" t="str">
        <f>"conservative sensibility"</f>
        <v>conservative sensibility</v>
      </c>
      <c r="C636">
        <v>355559</v>
      </c>
      <c r="D636" t="str">
        <f>"Will, George F."</f>
        <v>Will, George F.</v>
      </c>
      <c r="F636" t="str">
        <f>"xxxvii, 600 pages, 24 cm"</f>
        <v>xxxvii, 600 pages, 24 cm</v>
      </c>
      <c r="G636" s="1">
        <v>19</v>
      </c>
      <c r="H636">
        <v>2019</v>
      </c>
      <c r="I636" t="str">
        <f t="shared" si="24"/>
        <v>9: 300 - 399</v>
      </c>
      <c r="K636" t="str">
        <f>"WB - In"</f>
        <v>WB - In</v>
      </c>
      <c r="L636" s="1">
        <v>40</v>
      </c>
      <c r="M636" t="s">
        <v>605</v>
      </c>
      <c r="O636" t="s">
        <v>28</v>
      </c>
      <c r="P636">
        <v>7</v>
      </c>
      <c r="Q636">
        <v>0</v>
      </c>
      <c r="R636">
        <v>7</v>
      </c>
      <c r="S636" s="2">
        <v>43633</v>
      </c>
      <c r="T636" s="2">
        <v>43810</v>
      </c>
      <c r="U636" s="2">
        <v>43788</v>
      </c>
    </row>
    <row r="637" spans="1:22" x14ac:dyDescent="0.2">
      <c r="A637" t="str">
        <f>"320.53 ALB"</f>
        <v>320.53 ALB</v>
      </c>
      <c r="B637" t="str">
        <f>"Fascism: a warning"</f>
        <v>Fascism: a warning</v>
      </c>
      <c r="C637">
        <v>400324</v>
      </c>
      <c r="D637" t="str">
        <f>"Albright, Madeleine"</f>
        <v>Albright, Madeleine</v>
      </c>
      <c r="F637" t="str">
        <f>"288 pages, 24 cm"</f>
        <v>288 pages, 24 cm</v>
      </c>
      <c r="G637" s="1">
        <v>18</v>
      </c>
      <c r="H637">
        <v>2018</v>
      </c>
      <c r="I637" t="str">
        <f t="shared" si="24"/>
        <v>9: 300 - 399</v>
      </c>
      <c r="K637" t="str">
        <f>"LL - In"</f>
        <v>LL - In</v>
      </c>
      <c r="L637" s="1">
        <v>33</v>
      </c>
      <c r="M637" t="s">
        <v>606</v>
      </c>
      <c r="O637" t="s">
        <v>28</v>
      </c>
      <c r="P637">
        <v>13</v>
      </c>
      <c r="Q637">
        <v>0</v>
      </c>
      <c r="R637">
        <v>13</v>
      </c>
      <c r="S637" s="2">
        <v>43207</v>
      </c>
      <c r="T637" s="2">
        <v>43446</v>
      </c>
      <c r="U637" s="2">
        <v>43635</v>
      </c>
    </row>
    <row r="638" spans="1:22" x14ac:dyDescent="0.2">
      <c r="A638" t="str">
        <f>"320.53 CAN"</f>
        <v>320.53 CAN</v>
      </c>
      <c r="B638" t="str">
        <f>"Can it happen here?: authoritarianism in"</f>
        <v>Can it happen here?: authoritarianism in</v>
      </c>
      <c r="C638">
        <v>347026</v>
      </c>
      <c r="F638" t="str">
        <f>"xi, 481 pages, 21 cm"</f>
        <v>xi, 481 pages, 21 cm</v>
      </c>
      <c r="G638" s="1">
        <v>18</v>
      </c>
      <c r="I638" t="str">
        <f t="shared" si="24"/>
        <v>9: 300 - 399</v>
      </c>
      <c r="K638" t="str">
        <f>"WB - In"</f>
        <v>WB - In</v>
      </c>
      <c r="L638" s="1">
        <v>23</v>
      </c>
      <c r="M638" t="s">
        <v>607</v>
      </c>
      <c r="O638" t="s">
        <v>28</v>
      </c>
      <c r="P638">
        <v>4</v>
      </c>
      <c r="Q638">
        <v>0</v>
      </c>
      <c r="R638">
        <v>4</v>
      </c>
      <c r="S638" s="2">
        <v>43192</v>
      </c>
      <c r="T638" s="2">
        <v>43362</v>
      </c>
      <c r="U638" s="2">
        <v>43503</v>
      </c>
    </row>
    <row r="639" spans="1:22" x14ac:dyDescent="0.2">
      <c r="A639" t="str">
        <f>"320.53 KIM"</f>
        <v>320.53 KIM</v>
      </c>
      <c r="B639" t="str">
        <f>"Healing from hate: how young men get int"</f>
        <v>Healing from hate: how young men get int</v>
      </c>
      <c r="C639">
        <v>350665</v>
      </c>
      <c r="D639" t="str">
        <f>"Kimmel, Michael S."</f>
        <v>Kimmel, Michael S.</v>
      </c>
      <c r="F639" t="str">
        <f>"263 p., 24 cm, illustrations"</f>
        <v>263 p., 24 cm, illustrations</v>
      </c>
      <c r="G639" s="1">
        <v>18</v>
      </c>
      <c r="H639">
        <v>2018</v>
      </c>
      <c r="I639" t="str">
        <f t="shared" si="24"/>
        <v>9: 300 - 399</v>
      </c>
      <c r="K639" t="str">
        <f>"LL - In"</f>
        <v>LL - In</v>
      </c>
      <c r="L639" s="1">
        <v>35</v>
      </c>
      <c r="M639" t="s">
        <v>608</v>
      </c>
      <c r="O639" t="s">
        <v>28</v>
      </c>
      <c r="P639">
        <v>2</v>
      </c>
      <c r="Q639">
        <v>0</v>
      </c>
      <c r="R639">
        <v>2</v>
      </c>
      <c r="S639" s="2">
        <v>43389</v>
      </c>
      <c r="T639" s="2">
        <v>43577</v>
      </c>
      <c r="U639" s="2">
        <v>43530</v>
      </c>
    </row>
    <row r="640" spans="1:22" x14ac:dyDescent="0.2">
      <c r="A640" t="str">
        <f>"320.53 MAC"</f>
        <v>320.53 MAC</v>
      </c>
      <c r="B640" t="str">
        <f>"Democracy in chains: the deep history of"</f>
        <v>Democracy in chains: the deep history of</v>
      </c>
      <c r="C640">
        <v>343402</v>
      </c>
      <c r="D640" t="str">
        <f>"MacLean, Nancy"</f>
        <v>MacLean, Nancy</v>
      </c>
      <c r="F640" t="str">
        <f>"xxxii, 334 pages, 24 cm"</f>
        <v>xxxii, 334 pages, 24 cm</v>
      </c>
      <c r="G640" s="1">
        <v>17</v>
      </c>
      <c r="H640">
        <v>2017</v>
      </c>
      <c r="I640" t="str">
        <f t="shared" si="24"/>
        <v>9: 300 - 399</v>
      </c>
      <c r="K640" t="str">
        <f>"WB - In"</f>
        <v>WB - In</v>
      </c>
      <c r="L640" s="1">
        <v>33</v>
      </c>
      <c r="M640" t="s">
        <v>609</v>
      </c>
      <c r="O640" t="s">
        <v>28</v>
      </c>
      <c r="P640">
        <v>7</v>
      </c>
      <c r="Q640">
        <v>0</v>
      </c>
      <c r="R640">
        <v>7</v>
      </c>
      <c r="S640" s="2">
        <v>42984</v>
      </c>
      <c r="T640" s="2">
        <v>43173</v>
      </c>
      <c r="U640" s="2">
        <v>43792</v>
      </c>
    </row>
    <row r="641" spans="1:22" x14ac:dyDescent="0.2">
      <c r="A641" t="str">
        <f>"320.53 SNY"</f>
        <v>320.53 SNY</v>
      </c>
      <c r="B641" t="str">
        <f>"road to unfreedom: Russia, Europe, Ameri"</f>
        <v>road to unfreedom: Russia, Europe, Ameri</v>
      </c>
      <c r="C641">
        <v>348031</v>
      </c>
      <c r="D641" t="str">
        <f>"Snyder, Timothy"</f>
        <v>Snyder, Timothy</v>
      </c>
      <c r="F641" t="str">
        <f>"359 pages, 25 cm, maps"</f>
        <v>359 pages, 25 cm, maps</v>
      </c>
      <c r="G641" s="1">
        <v>18</v>
      </c>
      <c r="H641">
        <v>2018</v>
      </c>
      <c r="I641" t="str">
        <f t="shared" si="24"/>
        <v>9: 300 - 399</v>
      </c>
      <c r="K641" t="str">
        <f>"LL - In"</f>
        <v>LL - In</v>
      </c>
      <c r="L641" s="1">
        <v>32</v>
      </c>
      <c r="M641" t="s">
        <v>610</v>
      </c>
      <c r="O641" t="s">
        <v>28</v>
      </c>
      <c r="P641">
        <v>3</v>
      </c>
      <c r="Q641">
        <v>0</v>
      </c>
      <c r="R641">
        <v>3</v>
      </c>
      <c r="S641" s="2">
        <v>43257</v>
      </c>
      <c r="T641" s="2">
        <v>43416</v>
      </c>
      <c r="U641" s="2">
        <v>43340</v>
      </c>
    </row>
    <row r="642" spans="1:22" x14ac:dyDescent="0.2">
      <c r="A642" t="str">
        <f>"320.54 JUD"</f>
        <v>320.54 JUD</v>
      </c>
      <c r="B642" t="str">
        <f>"Nationalist revival: trade, immigration,"</f>
        <v>Nationalist revival: trade, immigration,</v>
      </c>
      <c r="C642">
        <v>353333</v>
      </c>
      <c r="D642" t="str">
        <f>"Judis, John B."</f>
        <v>Judis, John B.</v>
      </c>
      <c r="F642" t="str">
        <f>"154 p."</f>
        <v>154 p.</v>
      </c>
      <c r="G642" s="1">
        <v>19</v>
      </c>
      <c r="H642">
        <v>2018</v>
      </c>
      <c r="I642" t="str">
        <f t="shared" si="24"/>
        <v>9: 300 - 399</v>
      </c>
      <c r="K642" t="str">
        <f>"LL - In"</f>
        <v>LL - In</v>
      </c>
      <c r="L642" s="1">
        <v>21</v>
      </c>
      <c r="M642" t="s">
        <v>611</v>
      </c>
      <c r="O642" t="s">
        <v>28</v>
      </c>
      <c r="P642">
        <v>4</v>
      </c>
      <c r="Q642">
        <v>0</v>
      </c>
      <c r="R642">
        <v>4</v>
      </c>
      <c r="S642" s="2">
        <v>43529</v>
      </c>
      <c r="T642" s="2">
        <v>43712</v>
      </c>
      <c r="U642" s="2">
        <v>43683</v>
      </c>
    </row>
    <row r="643" spans="1:22" x14ac:dyDescent="0.2">
      <c r="A643" t="str">
        <f>"320.9 FUK"</f>
        <v>320.9 FUK</v>
      </c>
      <c r="B643" t="str">
        <f>"origins of political order: from prehuma"</f>
        <v>origins of political order: from prehuma</v>
      </c>
      <c r="C643">
        <v>273584</v>
      </c>
      <c r="D643" t="str">
        <f>"Fukuyama, Francis."</f>
        <v>Fukuyama, Francis.</v>
      </c>
      <c r="F643" t="str">
        <f>"xiv, 585 p., 21 cm, ill., maps"</f>
        <v>xiv, 585 p., 21 cm, ill., maps</v>
      </c>
      <c r="G643" s="1">
        <v>14</v>
      </c>
      <c r="H643">
        <v>2011</v>
      </c>
      <c r="I643" t="str">
        <f t="shared" si="24"/>
        <v>9: 300 - 399</v>
      </c>
      <c r="K643" t="str">
        <f>"WB - Out"</f>
        <v>WB - Out</v>
      </c>
      <c r="L643" s="1">
        <v>23</v>
      </c>
      <c r="M643" t="s">
        <v>612</v>
      </c>
      <c r="O643" t="s">
        <v>28</v>
      </c>
      <c r="P643">
        <v>3</v>
      </c>
      <c r="Q643">
        <v>0</v>
      </c>
      <c r="R643">
        <v>12</v>
      </c>
      <c r="S643" s="2">
        <v>41775</v>
      </c>
      <c r="T643" s="2">
        <v>41782</v>
      </c>
      <c r="U643" s="2">
        <v>43829</v>
      </c>
      <c r="V643" s="2">
        <v>41948</v>
      </c>
    </row>
    <row r="644" spans="1:22" x14ac:dyDescent="0.2">
      <c r="A644" t="str">
        <f>"320.97 BUC"</f>
        <v>320.97 BUC</v>
      </c>
      <c r="B644" t="str">
        <f>"Drain the swamp: how Washington corrupti"</f>
        <v>Drain the swamp: how Washington corrupti</v>
      </c>
      <c r="C644">
        <v>341349</v>
      </c>
      <c r="D644" t="str">
        <f>"Buck, Ken"</f>
        <v>Buck, Ken</v>
      </c>
      <c r="F644" t="str">
        <f>"218 pages, 24 cm"</f>
        <v>218 pages, 24 cm</v>
      </c>
      <c r="G644" s="1">
        <v>17</v>
      </c>
      <c r="H644">
        <v>2017</v>
      </c>
      <c r="I644" t="str">
        <f t="shared" si="24"/>
        <v>9: 300 - 399</v>
      </c>
      <c r="K644" t="str">
        <f>"LL - In"</f>
        <v>LL - In</v>
      </c>
      <c r="L644" s="1">
        <v>34</v>
      </c>
      <c r="M644" t="s">
        <v>613</v>
      </c>
      <c r="O644" t="s">
        <v>28</v>
      </c>
      <c r="P644">
        <v>8</v>
      </c>
      <c r="Q644">
        <v>2</v>
      </c>
      <c r="R644">
        <v>10</v>
      </c>
      <c r="S644" s="2">
        <v>42873</v>
      </c>
      <c r="T644" s="2">
        <v>43314</v>
      </c>
      <c r="U644" s="2">
        <v>43066</v>
      </c>
      <c r="V644" s="2">
        <v>43066</v>
      </c>
    </row>
    <row r="645" spans="1:22" x14ac:dyDescent="0.2">
      <c r="A645" t="str">
        <f>"320.97 BUC"</f>
        <v>320.97 BUC</v>
      </c>
      <c r="B645" t="str">
        <f>"Drain the swamp: how Washington corrupti"</f>
        <v>Drain the swamp: how Washington corrupti</v>
      </c>
      <c r="C645">
        <v>346646</v>
      </c>
      <c r="D645" t="str">
        <f>"Buck, Ken"</f>
        <v>Buck, Ken</v>
      </c>
      <c r="F645" t="str">
        <f>"218 pages, 24 cm"</f>
        <v>218 pages, 24 cm</v>
      </c>
      <c r="G645" s="1">
        <v>18</v>
      </c>
      <c r="H645">
        <v>2017</v>
      </c>
      <c r="I645" t="str">
        <f t="shared" si="24"/>
        <v>9: 300 - 399</v>
      </c>
      <c r="K645" t="str">
        <f>"WB - In"</f>
        <v>WB - In</v>
      </c>
      <c r="L645" s="1">
        <v>34</v>
      </c>
      <c r="M645" t="s">
        <v>613</v>
      </c>
      <c r="O645" t="s">
        <v>28</v>
      </c>
      <c r="P645">
        <v>2</v>
      </c>
      <c r="Q645">
        <v>0</v>
      </c>
      <c r="R645">
        <v>2</v>
      </c>
      <c r="S645" s="2">
        <v>43172</v>
      </c>
      <c r="T645" s="2">
        <v>43174</v>
      </c>
      <c r="U645" s="2">
        <v>43214</v>
      </c>
    </row>
    <row r="646" spans="1:22" x14ac:dyDescent="0.2">
      <c r="A646" t="str">
        <f>"320.97 COH"</f>
        <v>320.97 COH</v>
      </c>
      <c r="B646" t="str">
        <f>"Clear and present safety: the world has "</f>
        <v xml:space="preserve">Clear and present safety: the world has </v>
      </c>
      <c r="C646">
        <v>405671</v>
      </c>
      <c r="D646" t="str">
        <f>"Cohen, Michael A.,"</f>
        <v>Cohen, Michael A.,</v>
      </c>
      <c r="F646" t="str">
        <f>"xi, 256 pages, 22 cm"</f>
        <v>xi, 256 pages, 22 cm</v>
      </c>
      <c r="G646" s="1">
        <v>19</v>
      </c>
      <c r="H646">
        <v>2019</v>
      </c>
      <c r="I646" t="str">
        <f t="shared" si="24"/>
        <v>9: 300 - 399</v>
      </c>
      <c r="K646" t="str">
        <f>"LL - In"</f>
        <v>LL - In</v>
      </c>
      <c r="L646" s="1">
        <v>33</v>
      </c>
      <c r="M646" t="s">
        <v>614</v>
      </c>
      <c r="O646" t="s">
        <v>28</v>
      </c>
      <c r="P646">
        <v>5</v>
      </c>
      <c r="Q646">
        <v>1</v>
      </c>
      <c r="R646">
        <v>6</v>
      </c>
      <c r="S646" s="2">
        <v>43585</v>
      </c>
      <c r="T646" s="2">
        <v>43761</v>
      </c>
      <c r="U646" s="2">
        <v>43752</v>
      </c>
      <c r="V646" s="2">
        <v>43671</v>
      </c>
    </row>
    <row r="647" spans="1:22" x14ac:dyDescent="0.2">
      <c r="A647" t="str">
        <f>"320.97 CON"</f>
        <v>320.97 CON</v>
      </c>
      <c r="B647" t="str">
        <f>"What you should know about politics but "</f>
        <v xml:space="preserve">What you should know about politics but </v>
      </c>
      <c r="C647">
        <v>290988</v>
      </c>
      <c r="D647" t="str">
        <f>"Conrad, Jessamyn"</f>
        <v>Conrad, Jessamyn</v>
      </c>
      <c r="F647" t="str">
        <f>"xxi, 384 pages, 23 cm"</f>
        <v>xxi, 384 pages, 23 cm</v>
      </c>
      <c r="G647" s="1">
        <v>16</v>
      </c>
      <c r="H647">
        <v>2016</v>
      </c>
      <c r="I647" t="str">
        <f t="shared" si="24"/>
        <v>9: 300 - 399</v>
      </c>
      <c r="K647" t="str">
        <f>"LL - In"</f>
        <v>LL - In</v>
      </c>
      <c r="L647" s="1">
        <v>22</v>
      </c>
      <c r="M647" t="s">
        <v>615</v>
      </c>
      <c r="O647" t="s">
        <v>28</v>
      </c>
      <c r="P647">
        <v>6</v>
      </c>
      <c r="Q647">
        <v>1</v>
      </c>
      <c r="R647">
        <v>12</v>
      </c>
      <c r="S647" s="2">
        <v>42653</v>
      </c>
      <c r="T647" s="2">
        <v>42858</v>
      </c>
      <c r="U647" s="2">
        <v>43519</v>
      </c>
      <c r="V647" s="2">
        <v>43287</v>
      </c>
    </row>
    <row r="648" spans="1:22" x14ac:dyDescent="0.2">
      <c r="A648" t="str">
        <f>"320.97 JAC"</f>
        <v>320.97 JAC</v>
      </c>
      <c r="B648" t="str">
        <f>"Panic at the pump: the energy crisis and"</f>
        <v>Panic at the pump: the energy crisis and</v>
      </c>
      <c r="C648">
        <v>335004</v>
      </c>
      <c r="D648" t="str">
        <f>"Jacobs, Meg,"</f>
        <v>Jacobs, Meg,</v>
      </c>
      <c r="F648" t="str">
        <f>"viii, 371 pages, 16 unnumbered pages of plates, 24 cm, illustrations"</f>
        <v>viii, 371 pages, 16 unnumbered pages of plates, 24 cm, illustrations</v>
      </c>
      <c r="G648" s="1">
        <v>16</v>
      </c>
      <c r="H648">
        <v>2016</v>
      </c>
      <c r="I648" t="str">
        <f t="shared" ref="I648:I711" si="26">"9: 300 - 399"</f>
        <v>9: 300 - 399</v>
      </c>
      <c r="K648" t="str">
        <f>"WB - In"</f>
        <v>WB - In</v>
      </c>
      <c r="L648" s="1">
        <v>40</v>
      </c>
      <c r="M648" t="s">
        <v>616</v>
      </c>
      <c r="O648" t="s">
        <v>28</v>
      </c>
      <c r="P648">
        <v>3</v>
      </c>
      <c r="Q648">
        <v>0</v>
      </c>
      <c r="R648">
        <v>8</v>
      </c>
      <c r="S648" s="2">
        <v>42500</v>
      </c>
      <c r="T648" s="2">
        <v>42710</v>
      </c>
      <c r="U648" s="2">
        <v>43382</v>
      </c>
    </row>
    <row r="649" spans="1:22" x14ac:dyDescent="0.2">
      <c r="A649" t="str">
        <f>"320.97 KAU"</f>
        <v>320.97 KAU</v>
      </c>
      <c r="B649" t="str">
        <f>"fall of Wisconsin: the conservative conq"</f>
        <v>fall of Wisconsin: the conservative conq</v>
      </c>
      <c r="C649">
        <v>349175</v>
      </c>
      <c r="D649" t="str">
        <f>"Kaufman, Dan,"</f>
        <v>Kaufman, Dan,</v>
      </c>
      <c r="F649" t="str">
        <f>"319 pages, 25 cm"</f>
        <v>319 pages, 25 cm</v>
      </c>
      <c r="G649" s="1">
        <v>18</v>
      </c>
      <c r="H649">
        <v>2018</v>
      </c>
      <c r="I649" t="str">
        <f t="shared" si="26"/>
        <v>9: 300 - 399</v>
      </c>
      <c r="K649" t="str">
        <f>"WB - In"</f>
        <v>WB - In</v>
      </c>
      <c r="L649" s="1">
        <v>32</v>
      </c>
      <c r="M649" t="s">
        <v>617</v>
      </c>
      <c r="O649" t="s">
        <v>28</v>
      </c>
      <c r="P649">
        <v>1</v>
      </c>
      <c r="Q649">
        <v>0</v>
      </c>
      <c r="R649">
        <v>1</v>
      </c>
      <c r="S649" s="2">
        <v>43320</v>
      </c>
      <c r="T649" s="2">
        <v>43453</v>
      </c>
      <c r="U649" s="2">
        <v>43327</v>
      </c>
    </row>
    <row r="650" spans="1:22" x14ac:dyDescent="0.2">
      <c r="A650" t="str">
        <f>"320.97 LEP"</f>
        <v>320.97 LEP</v>
      </c>
      <c r="B650" t="str">
        <f>"This America: the case for the nation"</f>
        <v>This America: the case for the nation</v>
      </c>
      <c r="C650">
        <v>355081</v>
      </c>
      <c r="D650" t="str">
        <f>"Lepore, Jill,"</f>
        <v>Lepore, Jill,</v>
      </c>
      <c r="F650" t="str">
        <f>"150 pages, 20 cm"</f>
        <v>150 pages, 20 cm</v>
      </c>
      <c r="G650" s="1">
        <v>19</v>
      </c>
      <c r="H650">
        <v>2019</v>
      </c>
      <c r="I650" t="str">
        <f t="shared" si="26"/>
        <v>9: 300 - 399</v>
      </c>
      <c r="K650" t="str">
        <f>"WB - In"</f>
        <v>WB - In</v>
      </c>
      <c r="L650" s="1">
        <v>22</v>
      </c>
      <c r="M650" t="s">
        <v>618</v>
      </c>
      <c r="O650" t="s">
        <v>28</v>
      </c>
      <c r="P650">
        <v>8</v>
      </c>
      <c r="Q650">
        <v>0</v>
      </c>
      <c r="R650">
        <v>8</v>
      </c>
      <c r="S650" s="2">
        <v>43613</v>
      </c>
      <c r="T650" s="2">
        <v>43780</v>
      </c>
      <c r="U650" s="2">
        <v>43746</v>
      </c>
    </row>
    <row r="651" spans="1:22" x14ac:dyDescent="0.2">
      <c r="A651" t="str">
        <f>"320.97 LEW"</f>
        <v>320.97 LEW</v>
      </c>
      <c r="B651" t="str">
        <f>"fifth risk"</f>
        <v>fifth risk</v>
      </c>
      <c r="C651">
        <v>350661</v>
      </c>
      <c r="D651" t="str">
        <f>"Lewis, Michael"</f>
        <v>Lewis, Michael</v>
      </c>
      <c r="F651" t="str">
        <f>"221 pages, 25 cm"</f>
        <v>221 pages, 25 cm</v>
      </c>
      <c r="G651" s="1">
        <v>18</v>
      </c>
      <c r="H651">
        <v>2018</v>
      </c>
      <c r="I651" t="str">
        <f t="shared" si="26"/>
        <v>9: 300 - 399</v>
      </c>
      <c r="K651" t="str">
        <f>"LL - Out"</f>
        <v>LL - Out</v>
      </c>
      <c r="L651" s="1">
        <v>32</v>
      </c>
      <c r="M651" t="s">
        <v>619</v>
      </c>
      <c r="O651" t="s">
        <v>28</v>
      </c>
      <c r="P651">
        <v>17</v>
      </c>
      <c r="Q651">
        <v>2</v>
      </c>
      <c r="R651">
        <v>19</v>
      </c>
      <c r="S651" s="2">
        <v>43389</v>
      </c>
      <c r="T651" s="2">
        <v>43704</v>
      </c>
      <c r="U651" s="2">
        <v>43861</v>
      </c>
      <c r="V651" s="2">
        <v>43680</v>
      </c>
    </row>
    <row r="652" spans="1:22" x14ac:dyDescent="0.2">
      <c r="A652" t="str">
        <f>"320.97 LEW"</f>
        <v>320.97 LEW</v>
      </c>
      <c r="B652" t="str">
        <f>"fifth risk"</f>
        <v>fifth risk</v>
      </c>
      <c r="C652">
        <v>350662</v>
      </c>
      <c r="D652" t="str">
        <f>"Lewis, Michael"</f>
        <v>Lewis, Michael</v>
      </c>
      <c r="F652" t="str">
        <f>"221 pages, 25 cm"</f>
        <v>221 pages, 25 cm</v>
      </c>
      <c r="G652" s="1">
        <v>18</v>
      </c>
      <c r="H652">
        <v>2018</v>
      </c>
      <c r="I652" t="str">
        <f t="shared" si="26"/>
        <v>9: 300 - 399</v>
      </c>
      <c r="K652" t="str">
        <f>"WB - In"</f>
        <v>WB - In</v>
      </c>
      <c r="L652" s="1">
        <v>32</v>
      </c>
      <c r="M652" t="s">
        <v>619</v>
      </c>
      <c r="O652" t="s">
        <v>28</v>
      </c>
      <c r="P652">
        <v>17</v>
      </c>
      <c r="Q652">
        <v>1</v>
      </c>
      <c r="R652">
        <v>18</v>
      </c>
      <c r="S652" s="2">
        <v>43389</v>
      </c>
      <c r="T652" s="2">
        <v>43621</v>
      </c>
      <c r="U652" s="2">
        <v>43806</v>
      </c>
      <c r="V652" s="2">
        <v>43622</v>
      </c>
    </row>
    <row r="653" spans="1:22" x14ac:dyDescent="0.2">
      <c r="A653" t="str">
        <f>"320.97 NEL"</f>
        <v>320.97 NEL</v>
      </c>
      <c r="B653" t="str">
        <f>"Beltway Bible: an A-Z guide to America's"</f>
        <v>Beltway Bible: an A-Z guide to America's</v>
      </c>
      <c r="C653">
        <v>339010</v>
      </c>
      <c r="D653" t="str">
        <f>"Nelson, Eliot"</f>
        <v>Nelson, Eliot</v>
      </c>
      <c r="F653" t="str">
        <f>"424 pages, 21 cm"</f>
        <v>424 pages, 21 cm</v>
      </c>
      <c r="G653" s="1">
        <v>16</v>
      </c>
      <c r="H653">
        <v>2016</v>
      </c>
      <c r="I653" t="str">
        <f t="shared" si="26"/>
        <v>9: 300 - 399</v>
      </c>
      <c r="K653" t="str">
        <f>"WB - In"</f>
        <v>WB - In</v>
      </c>
      <c r="L653" s="1">
        <v>23</v>
      </c>
      <c r="M653" t="s">
        <v>620</v>
      </c>
      <c r="O653" t="s">
        <v>28</v>
      </c>
      <c r="P653">
        <v>5</v>
      </c>
      <c r="Q653">
        <v>0</v>
      </c>
      <c r="R653">
        <v>6</v>
      </c>
      <c r="S653" s="2">
        <v>42744</v>
      </c>
      <c r="T653" s="2">
        <v>42935</v>
      </c>
      <c r="U653" s="2">
        <v>42923</v>
      </c>
    </row>
    <row r="654" spans="1:22" x14ac:dyDescent="0.2">
      <c r="A654" t="str">
        <f>"320.97 POW"</f>
        <v>320.97 POW</v>
      </c>
      <c r="B654" t="str">
        <f>"Licensed to lie: exposing corruption in "</f>
        <v xml:space="preserve">Licensed to lie: exposing corruption in </v>
      </c>
      <c r="C654">
        <v>355064</v>
      </c>
      <c r="D654" t="str">
        <f>"Powell, Sidney K.,"</f>
        <v>Powell, Sidney K.,</v>
      </c>
      <c r="F654" t="str">
        <f>"xvii, 444 pages, 24 cm"</f>
        <v>xvii, 444 pages, 24 cm</v>
      </c>
      <c r="G654" s="1">
        <v>19</v>
      </c>
      <c r="H654">
        <v>2018</v>
      </c>
      <c r="I654" t="str">
        <f t="shared" si="26"/>
        <v>9: 300 - 399</v>
      </c>
      <c r="K654" t="str">
        <f>"WB - In"</f>
        <v>WB - In</v>
      </c>
      <c r="L654" s="1">
        <v>25</v>
      </c>
      <c r="M654" t="s">
        <v>621</v>
      </c>
      <c r="O654" t="s">
        <v>28</v>
      </c>
      <c r="P654">
        <v>3</v>
      </c>
      <c r="Q654">
        <v>0</v>
      </c>
      <c r="R654">
        <v>3</v>
      </c>
      <c r="S654" s="2">
        <v>43613</v>
      </c>
      <c r="T654" s="2">
        <v>43626</v>
      </c>
      <c r="U654" s="2">
        <v>43741</v>
      </c>
    </row>
    <row r="655" spans="1:22" x14ac:dyDescent="0.2">
      <c r="A655" t="str">
        <f>"320.97 PUZ"</f>
        <v>320.97 PUZ</v>
      </c>
      <c r="B655" t="str">
        <f>"capitalist comeback: the Trump boom and "</f>
        <v xml:space="preserve">capitalist comeback: the Trump boom and </v>
      </c>
      <c r="C655">
        <v>401460</v>
      </c>
      <c r="D655" t="str">
        <f>"Puzder, Andrew F."</f>
        <v>Puzder, Andrew F.</v>
      </c>
      <c r="F655" t="str">
        <f>"xxxii, 349 pages, 24 cm"</f>
        <v>xxxii, 349 pages, 24 cm</v>
      </c>
      <c r="G655" s="1">
        <v>18</v>
      </c>
      <c r="H655">
        <v>2018</v>
      </c>
      <c r="I655" t="str">
        <f t="shared" si="26"/>
        <v>9: 300 - 399</v>
      </c>
      <c r="K655" t="str">
        <f>"LL - In"</f>
        <v>LL - In</v>
      </c>
      <c r="L655" s="1">
        <v>27</v>
      </c>
      <c r="M655" t="s">
        <v>622</v>
      </c>
      <c r="O655" t="s">
        <v>28</v>
      </c>
      <c r="P655">
        <v>3</v>
      </c>
      <c r="Q655">
        <v>0</v>
      </c>
      <c r="R655">
        <v>3</v>
      </c>
      <c r="S655" s="2">
        <v>43242</v>
      </c>
      <c r="T655" s="2">
        <v>43313</v>
      </c>
      <c r="U655" s="2">
        <v>43283</v>
      </c>
    </row>
    <row r="656" spans="1:22" x14ac:dyDescent="0.2">
      <c r="A656" t="str">
        <f>"320.97 SUR"</f>
        <v>320.97 SUR</v>
      </c>
      <c r="B656" t="str">
        <f>"impossible presidency: the rise and fall"</f>
        <v>impossible presidency: the rise and fall</v>
      </c>
      <c r="C656">
        <v>344821</v>
      </c>
      <c r="D656" t="str">
        <f>"Suri, Jeremi"</f>
        <v>Suri, Jeremi</v>
      </c>
      <c r="F656" t="str">
        <f>"xxiii, 343 pages, 24 cm, illustrations"</f>
        <v>xxiii, 343 pages, 24 cm, illustrations</v>
      </c>
      <c r="G656" s="1">
        <v>17</v>
      </c>
      <c r="H656">
        <v>2017</v>
      </c>
      <c r="I656" t="str">
        <f t="shared" si="26"/>
        <v>9: 300 - 399</v>
      </c>
      <c r="K656" t="str">
        <f>"LL - In"</f>
        <v>LL - In</v>
      </c>
      <c r="L656" s="1">
        <v>37</v>
      </c>
      <c r="M656" t="s">
        <v>623</v>
      </c>
      <c r="O656" t="s">
        <v>28</v>
      </c>
      <c r="P656">
        <v>5</v>
      </c>
      <c r="Q656">
        <v>1</v>
      </c>
      <c r="R656">
        <v>6</v>
      </c>
      <c r="S656" s="2">
        <v>43067</v>
      </c>
      <c r="T656" s="2">
        <v>43278</v>
      </c>
      <c r="U656" s="2">
        <v>43250</v>
      </c>
      <c r="V656" s="2">
        <v>43226</v>
      </c>
    </row>
    <row r="657" spans="1:22" x14ac:dyDescent="0.2">
      <c r="A657" t="str">
        <f>"320.97 TOC"</f>
        <v>320.97 TOC</v>
      </c>
      <c r="B657" t="str">
        <f>"Democracy in America: the complete and u"</f>
        <v>Democracy in America: the complete and u</v>
      </c>
      <c r="C657">
        <v>360031</v>
      </c>
      <c r="D657" t="str">
        <f>"Tocqueville, Alexis de"</f>
        <v>Tocqueville, Alexis de</v>
      </c>
      <c r="E657" t="str">
        <f>"Bantam classics"</f>
        <v>Bantam classics</v>
      </c>
      <c r="F657" t="str">
        <f>"xlii, 928 p., 18 cm"</f>
        <v>xlii, 928 p., 18 cm</v>
      </c>
      <c r="G657" s="1">
        <v>19</v>
      </c>
      <c r="H657">
        <v>2004</v>
      </c>
      <c r="I657" t="str">
        <f t="shared" si="26"/>
        <v>9: 300 - 399</v>
      </c>
      <c r="K657" t="str">
        <f>"WB - In"</f>
        <v>WB - In</v>
      </c>
      <c r="L657" s="1">
        <v>13</v>
      </c>
      <c r="M657" t="s">
        <v>624</v>
      </c>
      <c r="O657" t="s">
        <v>28</v>
      </c>
      <c r="P657">
        <v>0</v>
      </c>
      <c r="Q657">
        <v>0</v>
      </c>
      <c r="R657">
        <v>0</v>
      </c>
      <c r="S657" s="2">
        <v>43826</v>
      </c>
      <c r="T657" s="2">
        <v>43839</v>
      </c>
    </row>
    <row r="658" spans="1:22" x14ac:dyDescent="0.2">
      <c r="A658" t="str">
        <f>"320.97 TRU"</f>
        <v>320.97 TRU</v>
      </c>
      <c r="B658" t="str">
        <f>"Crippled America: how to make America gr"</f>
        <v>Crippled America: how to make America gr</v>
      </c>
      <c r="C658">
        <v>331521</v>
      </c>
      <c r="D658" t="str">
        <f>"Trump, Donald"</f>
        <v>Trump, Donald</v>
      </c>
      <c r="F658" t="str">
        <f>"xiv, 193 p., [16] p. of plates, 23 cm, ill. (chiefly col.)"</f>
        <v>xiv, 193 p., [16] p. of plates, 23 cm, ill. (chiefly col.)</v>
      </c>
      <c r="G658" s="1">
        <v>15</v>
      </c>
      <c r="H658">
        <v>2015</v>
      </c>
      <c r="I658" t="str">
        <f t="shared" si="26"/>
        <v>9: 300 - 399</v>
      </c>
      <c r="K658" t="str">
        <f>"WB - In"</f>
        <v>WB - In</v>
      </c>
      <c r="L658" s="1">
        <v>30</v>
      </c>
      <c r="M658" t="s">
        <v>625</v>
      </c>
      <c r="O658" t="s">
        <v>28</v>
      </c>
      <c r="P658">
        <v>6</v>
      </c>
      <c r="Q658">
        <v>0</v>
      </c>
      <c r="R658">
        <v>21</v>
      </c>
      <c r="S658" s="2">
        <v>42328</v>
      </c>
      <c r="T658" s="2">
        <v>42515</v>
      </c>
      <c r="U658" s="2">
        <v>43784</v>
      </c>
      <c r="V658" s="2">
        <v>42672</v>
      </c>
    </row>
    <row r="659" spans="1:22" x14ac:dyDescent="0.2">
      <c r="A659" t="str">
        <f>"320.97 WIL"</f>
        <v>320.97 WIL</v>
      </c>
      <c r="B659" t="str">
        <f>"We the people: the modern-day figures wh"</f>
        <v>We the people: the modern-day figures wh</v>
      </c>
      <c r="C659">
        <v>287405</v>
      </c>
      <c r="D659" t="str">
        <f>"Williams, Juan"</f>
        <v>Williams, Juan</v>
      </c>
      <c r="F659" t="str">
        <f>"453 p."</f>
        <v>453 p.</v>
      </c>
      <c r="G659" s="1">
        <v>16</v>
      </c>
      <c r="H659">
        <v>2016</v>
      </c>
      <c r="I659" t="str">
        <f t="shared" si="26"/>
        <v>9: 300 - 399</v>
      </c>
      <c r="K659" t="str">
        <f>"WB - In"</f>
        <v>WB - In</v>
      </c>
      <c r="L659" s="1">
        <v>35</v>
      </c>
      <c r="M659" t="s">
        <v>626</v>
      </c>
      <c r="O659" t="s">
        <v>28</v>
      </c>
      <c r="P659">
        <v>0</v>
      </c>
      <c r="Q659">
        <v>0</v>
      </c>
      <c r="R659">
        <v>4</v>
      </c>
      <c r="S659" s="2">
        <v>42465</v>
      </c>
      <c r="T659" s="2">
        <v>42654</v>
      </c>
      <c r="U659" s="2">
        <v>42588</v>
      </c>
      <c r="V659" s="2">
        <v>42654</v>
      </c>
    </row>
    <row r="660" spans="1:22" x14ac:dyDescent="0.2">
      <c r="A660" t="str">
        <f>"320.97 WIL"</f>
        <v>320.97 WIL</v>
      </c>
      <c r="B660" t="str">
        <f>"end is near and it's going to be awesome"</f>
        <v>end is near and it's going to be awesome</v>
      </c>
      <c r="C660">
        <v>314330</v>
      </c>
      <c r="D660" t="str">
        <f>"Williamson, Kevin D."</f>
        <v>Williamson, Kevin D.</v>
      </c>
      <c r="F660" t="str">
        <f>"x, 229 p., 24 cm."</f>
        <v>x, 229 p., 24 cm.</v>
      </c>
      <c r="G660" s="1">
        <v>13</v>
      </c>
      <c r="H660">
        <v>2013</v>
      </c>
      <c r="I660" t="str">
        <f t="shared" si="26"/>
        <v>9: 300 - 399</v>
      </c>
      <c r="K660" t="str">
        <f>"LL - In"</f>
        <v>LL - In</v>
      </c>
      <c r="L660" s="1">
        <v>33</v>
      </c>
      <c r="M660" t="s">
        <v>627</v>
      </c>
      <c r="O660" t="s">
        <v>28</v>
      </c>
      <c r="P660">
        <v>2</v>
      </c>
      <c r="Q660">
        <v>0</v>
      </c>
      <c r="R660">
        <v>15</v>
      </c>
      <c r="S660" s="2">
        <v>41415</v>
      </c>
      <c r="T660" s="2">
        <v>41695</v>
      </c>
      <c r="U660" s="2">
        <v>42935</v>
      </c>
    </row>
    <row r="661" spans="1:22" x14ac:dyDescent="0.2">
      <c r="A661" t="str">
        <f>"321.8 DIA"</f>
        <v>321.8 DIA</v>
      </c>
      <c r="B661" t="str">
        <f>"Ill winds: saving democracy from Russian"</f>
        <v>Ill winds: saving democracy from Russian</v>
      </c>
      <c r="C661">
        <v>355537</v>
      </c>
      <c r="D661" t="str">
        <f>"Diamond, Larry Jay"</f>
        <v>Diamond, Larry Jay</v>
      </c>
      <c r="F661" t="str">
        <f>"354 pages, 25 cm"</f>
        <v>354 pages, 25 cm</v>
      </c>
      <c r="G661" s="1">
        <v>19</v>
      </c>
      <c r="H661">
        <v>2019</v>
      </c>
      <c r="I661" t="str">
        <f t="shared" si="26"/>
        <v>9: 300 - 399</v>
      </c>
      <c r="K661" t="str">
        <f>"WB - In"</f>
        <v>WB - In</v>
      </c>
      <c r="L661" s="1">
        <v>33</v>
      </c>
      <c r="M661" t="s">
        <v>628</v>
      </c>
      <c r="O661" t="s">
        <v>28</v>
      </c>
      <c r="P661">
        <v>3</v>
      </c>
      <c r="Q661">
        <v>0</v>
      </c>
      <c r="R661">
        <v>3</v>
      </c>
      <c r="S661" s="2">
        <v>43634</v>
      </c>
      <c r="T661" s="2">
        <v>43789</v>
      </c>
      <c r="U661" s="2">
        <v>43739</v>
      </c>
    </row>
    <row r="662" spans="1:22" x14ac:dyDescent="0.2">
      <c r="A662" t="str">
        <f>"321.8 LEV"</f>
        <v>321.8 LEV</v>
      </c>
      <c r="B662" t="str">
        <f>"How democracies die"</f>
        <v>How democracies die</v>
      </c>
      <c r="C662">
        <v>345761</v>
      </c>
      <c r="D662" t="str">
        <f>"Levitsky, Steven"</f>
        <v>Levitsky, Steven</v>
      </c>
      <c r="F662" t="str">
        <f>"312 pages, 22 cm"</f>
        <v>312 pages, 22 cm</v>
      </c>
      <c r="G662" s="1">
        <v>18</v>
      </c>
      <c r="H662">
        <v>2018</v>
      </c>
      <c r="I662" t="str">
        <f t="shared" si="26"/>
        <v>9: 300 - 399</v>
      </c>
      <c r="K662" t="str">
        <f>"WB - In"</f>
        <v>WB - In</v>
      </c>
      <c r="L662" s="1">
        <v>31</v>
      </c>
      <c r="M662" t="s">
        <v>629</v>
      </c>
      <c r="O662" t="s">
        <v>28</v>
      </c>
      <c r="P662">
        <v>12</v>
      </c>
      <c r="Q662">
        <v>0</v>
      </c>
      <c r="R662">
        <v>12</v>
      </c>
      <c r="S662" s="2">
        <v>43131</v>
      </c>
      <c r="T662" s="2">
        <v>43369</v>
      </c>
      <c r="U662" s="2">
        <v>43704</v>
      </c>
    </row>
    <row r="663" spans="1:22" x14ac:dyDescent="0.2">
      <c r="A663" t="str">
        <f>"321.8 RAS"</f>
        <v>321.8 RAS</v>
      </c>
      <c r="B663" t="str">
        <f>"sun is still rising: politics has failed"</f>
        <v>sun is still rising: politics has failed</v>
      </c>
      <c r="C663">
        <v>352841</v>
      </c>
      <c r="D663" t="str">
        <f>"Rasmussen, Scott W."</f>
        <v>Rasmussen, Scott W.</v>
      </c>
      <c r="F663" t="str">
        <f>"306 p"</f>
        <v>306 p</v>
      </c>
      <c r="G663" s="1">
        <v>19</v>
      </c>
      <c r="H663">
        <v>2018</v>
      </c>
      <c r="I663" t="str">
        <f t="shared" si="26"/>
        <v>9: 300 - 399</v>
      </c>
      <c r="K663" t="str">
        <f>"WB - In"</f>
        <v>WB - In</v>
      </c>
      <c r="L663" s="1">
        <v>21</v>
      </c>
      <c r="M663" t="s">
        <v>630</v>
      </c>
      <c r="O663" t="s">
        <v>28</v>
      </c>
      <c r="P663">
        <v>2</v>
      </c>
      <c r="Q663">
        <v>0</v>
      </c>
      <c r="R663">
        <v>2</v>
      </c>
      <c r="S663" s="2">
        <v>43507</v>
      </c>
      <c r="T663" s="2">
        <v>43516</v>
      </c>
      <c r="U663" s="2">
        <v>43802</v>
      </c>
    </row>
    <row r="664" spans="1:22" x14ac:dyDescent="0.2">
      <c r="A664" t="str">
        <f>"321.8 RIC"</f>
        <v>321.8 RIC</v>
      </c>
      <c r="B664" t="str">
        <f>"Democracy: stories from the long road to"</f>
        <v>Democracy: stories from the long road to</v>
      </c>
      <c r="C664">
        <v>341469</v>
      </c>
      <c r="D664" t="str">
        <f>"Rice, Condoleezza,"</f>
        <v>Rice, Condoleezza,</v>
      </c>
      <c r="F664" t="str">
        <f>"viii, 486 pages, 24 cm, illustrations (chiefly color)"</f>
        <v>viii, 486 pages, 24 cm, illustrations (chiefly color)</v>
      </c>
      <c r="G664" s="1">
        <v>17</v>
      </c>
      <c r="H664">
        <v>2017</v>
      </c>
      <c r="I664" t="str">
        <f t="shared" si="26"/>
        <v>9: 300 - 399</v>
      </c>
      <c r="K664" t="str">
        <f>"WB - In"</f>
        <v>WB - In</v>
      </c>
      <c r="L664" s="1">
        <v>40</v>
      </c>
      <c r="M664" t="s">
        <v>631</v>
      </c>
      <c r="O664" t="s">
        <v>28</v>
      </c>
      <c r="P664">
        <v>10</v>
      </c>
      <c r="Q664">
        <v>1</v>
      </c>
      <c r="R664">
        <v>11</v>
      </c>
      <c r="S664" s="2">
        <v>42879</v>
      </c>
      <c r="T664" s="2">
        <v>43045</v>
      </c>
      <c r="U664" s="2">
        <v>43765</v>
      </c>
      <c r="V664" s="2">
        <v>42999</v>
      </c>
    </row>
    <row r="665" spans="1:22" x14ac:dyDescent="0.2">
      <c r="A665" t="str">
        <f>"321.8 RUN"</f>
        <v>321.8 RUN</v>
      </c>
      <c r="B665" t="str">
        <f>"How democracy ends"</f>
        <v>How democracy ends</v>
      </c>
      <c r="C665">
        <v>349332</v>
      </c>
      <c r="D665" t="str">
        <f>"Runciman, David"</f>
        <v>Runciman, David</v>
      </c>
      <c r="F665" t="str">
        <f>"249 pages, 24 cm"</f>
        <v>249 pages, 24 cm</v>
      </c>
      <c r="G665" s="1">
        <v>18</v>
      </c>
      <c r="H665">
        <v>2018</v>
      </c>
      <c r="I665" t="str">
        <f t="shared" si="26"/>
        <v>9: 300 - 399</v>
      </c>
      <c r="K665" t="str">
        <f>"LL - In"</f>
        <v>LL - In</v>
      </c>
      <c r="L665" s="1">
        <v>32</v>
      </c>
      <c r="M665" t="s">
        <v>632</v>
      </c>
      <c r="O665" t="s">
        <v>28</v>
      </c>
      <c r="P665">
        <v>4</v>
      </c>
      <c r="Q665">
        <v>0</v>
      </c>
      <c r="R665">
        <v>4</v>
      </c>
      <c r="S665" s="2">
        <v>43326</v>
      </c>
      <c r="T665" s="2">
        <v>43502</v>
      </c>
      <c r="U665" s="2">
        <v>43464</v>
      </c>
    </row>
    <row r="666" spans="1:22" x14ac:dyDescent="0.2">
      <c r="A666" t="str">
        <f>"321.8 TAY"</f>
        <v>321.8 TAY</v>
      </c>
      <c r="B666" t="str">
        <f>"Democracy may not exist, but we'll miss "</f>
        <v xml:space="preserve">Democracy may not exist, but we'll miss </v>
      </c>
      <c r="C666">
        <v>356381</v>
      </c>
      <c r="D666" t="str">
        <f>"Taylor, Astra"</f>
        <v>Taylor, Astra</v>
      </c>
      <c r="F666" t="str">
        <f>"x, 357 pages, 22 cm"</f>
        <v>x, 357 pages, 22 cm</v>
      </c>
      <c r="G666" s="1">
        <v>19</v>
      </c>
      <c r="H666">
        <v>2019</v>
      </c>
      <c r="I666" t="str">
        <f t="shared" si="26"/>
        <v>9: 300 - 399</v>
      </c>
      <c r="K666" t="str">
        <f>"WB - In"</f>
        <v>WB - In</v>
      </c>
      <c r="L666" s="1">
        <v>32</v>
      </c>
      <c r="M666" t="s">
        <v>633</v>
      </c>
      <c r="O666" t="s">
        <v>28</v>
      </c>
      <c r="P666">
        <v>3</v>
      </c>
      <c r="Q666">
        <v>0</v>
      </c>
      <c r="R666">
        <v>3</v>
      </c>
      <c r="S666" s="2">
        <v>43671</v>
      </c>
      <c r="T666" s="2">
        <v>43852</v>
      </c>
      <c r="U666" s="2">
        <v>43836</v>
      </c>
    </row>
    <row r="667" spans="1:22" x14ac:dyDescent="0.2">
      <c r="A667" t="str">
        <f>"321.9 ARE"</f>
        <v>321.9 ARE</v>
      </c>
      <c r="B667" t="str">
        <f>"origins of totalitarianism"</f>
        <v>origins of totalitarianism</v>
      </c>
      <c r="C667">
        <v>338654</v>
      </c>
      <c r="D667" t="str">
        <f>"Arendt, Hannah,"</f>
        <v>Arendt, Hannah,</v>
      </c>
      <c r="F667" t="str">
        <f>"xliii, 527 p., 21 cm"</f>
        <v>xliii, 527 p., 21 cm</v>
      </c>
      <c r="G667" s="1">
        <v>16</v>
      </c>
      <c r="H667">
        <v>1973</v>
      </c>
      <c r="I667" t="str">
        <f t="shared" si="26"/>
        <v>9: 300 - 399</v>
      </c>
      <c r="K667" t="str">
        <f>"LL - In"</f>
        <v>LL - In</v>
      </c>
      <c r="L667" s="1">
        <v>24</v>
      </c>
      <c r="M667" t="s">
        <v>634</v>
      </c>
      <c r="O667" t="s">
        <v>28</v>
      </c>
      <c r="P667">
        <v>2</v>
      </c>
      <c r="Q667">
        <v>2</v>
      </c>
      <c r="R667">
        <v>6</v>
      </c>
      <c r="S667" s="2">
        <v>42709</v>
      </c>
      <c r="T667" s="2">
        <v>42717</v>
      </c>
      <c r="U667" s="2">
        <v>43742</v>
      </c>
      <c r="V667" s="2">
        <v>43364</v>
      </c>
    </row>
    <row r="668" spans="1:22" x14ac:dyDescent="0.2">
      <c r="A668" t="str">
        <f>"321.9 SNY"</f>
        <v>321.9 SNY</v>
      </c>
      <c r="B668" t="str">
        <f>"On tyranny: twenty lessons from the twen"</f>
        <v>On tyranny: twenty lessons from the twen</v>
      </c>
      <c r="C668">
        <v>340522</v>
      </c>
      <c r="D668" t="str">
        <f>"Snyder, Timothy"</f>
        <v>Snyder, Timothy</v>
      </c>
      <c r="F668" t="str">
        <f>"126 pages, 16 cm"</f>
        <v>126 pages, 16 cm</v>
      </c>
      <c r="G668" s="1">
        <v>17</v>
      </c>
      <c r="H668">
        <v>2017</v>
      </c>
      <c r="I668" t="str">
        <f t="shared" si="26"/>
        <v>9: 300 - 399</v>
      </c>
      <c r="K668" t="str">
        <f>"WB - In"</f>
        <v>WB - In</v>
      </c>
      <c r="L668" s="1">
        <v>13</v>
      </c>
      <c r="M668" t="s">
        <v>635</v>
      </c>
      <c r="O668" t="s">
        <v>28</v>
      </c>
      <c r="P668">
        <v>19</v>
      </c>
      <c r="Q668">
        <v>0</v>
      </c>
      <c r="R668">
        <v>19</v>
      </c>
      <c r="S668" s="2">
        <v>42828</v>
      </c>
      <c r="T668" s="2">
        <v>43009</v>
      </c>
      <c r="U668" s="2">
        <v>43740</v>
      </c>
    </row>
    <row r="669" spans="1:22" x14ac:dyDescent="0.2">
      <c r="A669" t="str">
        <f>"321.9 SNY"</f>
        <v>321.9 SNY</v>
      </c>
      <c r="B669" t="str">
        <f>"On tyranny: twenty lessons from the twen"</f>
        <v>On tyranny: twenty lessons from the twen</v>
      </c>
      <c r="C669">
        <v>352118</v>
      </c>
      <c r="D669" t="str">
        <f>"Snyder, Timothy"</f>
        <v>Snyder, Timothy</v>
      </c>
      <c r="F669" t="str">
        <f>"126 pages, 16 cm"</f>
        <v>126 pages, 16 cm</v>
      </c>
      <c r="G669" s="1">
        <v>19</v>
      </c>
      <c r="H669">
        <v>2017</v>
      </c>
      <c r="I669" t="str">
        <f t="shared" si="26"/>
        <v>9: 300 - 399</v>
      </c>
      <c r="K669" t="str">
        <f>"LL - In"</f>
        <v>LL - In</v>
      </c>
      <c r="L669" s="1">
        <v>14</v>
      </c>
      <c r="M669" t="s">
        <v>635</v>
      </c>
      <c r="O669" t="s">
        <v>28</v>
      </c>
      <c r="P669">
        <v>1</v>
      </c>
      <c r="Q669">
        <v>0</v>
      </c>
      <c r="R669">
        <v>1</v>
      </c>
      <c r="S669" s="2">
        <v>43468</v>
      </c>
      <c r="T669" s="2">
        <v>43482</v>
      </c>
      <c r="U669" s="2">
        <v>43741</v>
      </c>
    </row>
    <row r="670" spans="1:22" x14ac:dyDescent="0.2">
      <c r="A670" t="str">
        <f>"322 HOR"</f>
        <v>322 HOR</v>
      </c>
      <c r="B670" t="str">
        <f>"Dark agenda: the war to destroy Christia"</f>
        <v>Dark agenda: the war to destroy Christia</v>
      </c>
      <c r="C670">
        <v>356506</v>
      </c>
      <c r="D670" t="str">
        <f>"Horowitz, David A."</f>
        <v>Horowitz, David A.</v>
      </c>
      <c r="F670" t="str">
        <f>"194 p., 24 cm"</f>
        <v>194 p., 24 cm</v>
      </c>
      <c r="G670" s="1">
        <v>19</v>
      </c>
      <c r="H670">
        <v>2018</v>
      </c>
      <c r="I670" t="str">
        <f t="shared" si="26"/>
        <v>9: 300 - 399</v>
      </c>
      <c r="K670" t="str">
        <f>"WB - Out"</f>
        <v>WB - Out</v>
      </c>
      <c r="L670" s="1">
        <v>32</v>
      </c>
      <c r="M670" t="s">
        <v>636</v>
      </c>
      <c r="O670" t="s">
        <v>28</v>
      </c>
      <c r="P670">
        <v>2</v>
      </c>
      <c r="Q670">
        <v>2</v>
      </c>
      <c r="R670">
        <v>4</v>
      </c>
      <c r="S670" s="2">
        <v>43678</v>
      </c>
      <c r="T670" s="2">
        <v>43780</v>
      </c>
      <c r="U670" s="2">
        <v>43829</v>
      </c>
      <c r="V670" s="2">
        <v>43774</v>
      </c>
    </row>
    <row r="671" spans="1:22" x14ac:dyDescent="0.2">
      <c r="A671" t="str">
        <f>"322 KER"</f>
        <v>322 KER</v>
      </c>
      <c r="B671" t="str">
        <f>"Pope and Mussolini: the secret history o"</f>
        <v>Pope and Mussolini: the secret history o</v>
      </c>
      <c r="C671">
        <v>327498</v>
      </c>
      <c r="D671" t="str">
        <f>"Kertzer, David I.,"</f>
        <v>Kertzer, David I.,</v>
      </c>
      <c r="F671" t="str">
        <f>"xxxiii, 549 pages, 25 cm, illustrations, maps"</f>
        <v>xxxiii, 549 pages, 25 cm, illustrations, maps</v>
      </c>
      <c r="G671" s="1">
        <v>15</v>
      </c>
      <c r="H671">
        <v>2014</v>
      </c>
      <c r="I671" t="str">
        <f t="shared" si="26"/>
        <v>9: 300 - 399</v>
      </c>
      <c r="K671" t="str">
        <f>"WB - In"</f>
        <v>WB - In</v>
      </c>
      <c r="L671" s="1">
        <v>37</v>
      </c>
      <c r="M671" t="s">
        <v>637</v>
      </c>
      <c r="O671" t="s">
        <v>28</v>
      </c>
      <c r="P671">
        <v>1</v>
      </c>
      <c r="Q671">
        <v>0</v>
      </c>
      <c r="R671">
        <v>12</v>
      </c>
      <c r="S671" s="2">
        <v>42150</v>
      </c>
      <c r="T671" s="2">
        <v>42345</v>
      </c>
      <c r="U671" s="2">
        <v>42892</v>
      </c>
      <c r="V671" s="2">
        <v>42342</v>
      </c>
    </row>
    <row r="672" spans="1:22" x14ac:dyDescent="0.2">
      <c r="A672" t="str">
        <f>"322 MCD"</f>
        <v>322 MCD</v>
      </c>
      <c r="B672" t="str">
        <f>"tragedy of U.S. foreign policy: how Amer"</f>
        <v>tragedy of U.S. foreign policy: how Amer</v>
      </c>
      <c r="C672">
        <v>339124</v>
      </c>
      <c r="D672" t="str">
        <f>"McDougall, Walter A.,"</f>
        <v>McDougall, Walter A.,</v>
      </c>
      <c r="F672" t="str">
        <f>"x, 408 pages, 25 cm"</f>
        <v>x, 408 pages, 25 cm</v>
      </c>
      <c r="G672" s="1">
        <v>17</v>
      </c>
      <c r="H672">
        <v>2016</v>
      </c>
      <c r="I672" t="str">
        <f t="shared" si="26"/>
        <v>9: 300 - 399</v>
      </c>
      <c r="K672" t="str">
        <f>"LL - In"</f>
        <v>LL - In</v>
      </c>
      <c r="L672" s="1">
        <v>35</v>
      </c>
      <c r="M672" t="s">
        <v>638</v>
      </c>
      <c r="O672" t="s">
        <v>28</v>
      </c>
      <c r="P672">
        <v>7</v>
      </c>
      <c r="Q672">
        <v>0</v>
      </c>
      <c r="R672">
        <v>7</v>
      </c>
      <c r="S672" s="2">
        <v>42754</v>
      </c>
      <c r="T672" s="2">
        <v>42949</v>
      </c>
      <c r="U672" s="2">
        <v>43516</v>
      </c>
    </row>
    <row r="673" spans="1:22" x14ac:dyDescent="0.2">
      <c r="A673" t="str">
        <f>"322.4 BER"</f>
        <v>322.4 BER</v>
      </c>
      <c r="B673" t="str">
        <f>"Ten dollars to hate: the Texas man who f"</f>
        <v>Ten dollars to hate: the Texas man who f</v>
      </c>
      <c r="C673">
        <v>355797</v>
      </c>
      <c r="D673" t="str">
        <f>"Bernstein, Patricia."</f>
        <v>Bernstein, Patricia.</v>
      </c>
      <c r="F673" t="str">
        <f>"282 p."</f>
        <v>282 p.</v>
      </c>
      <c r="G673" s="1">
        <v>19</v>
      </c>
      <c r="H673">
        <v>2018</v>
      </c>
      <c r="I673" t="str">
        <f t="shared" si="26"/>
        <v>9: 300 - 399</v>
      </c>
      <c r="K673" t="str">
        <f>"WB - In"</f>
        <v>WB - In</v>
      </c>
      <c r="L673" s="1">
        <v>33</v>
      </c>
      <c r="M673" t="s">
        <v>639</v>
      </c>
      <c r="O673" t="s">
        <v>28</v>
      </c>
      <c r="P673">
        <v>0</v>
      </c>
      <c r="Q673">
        <v>0</v>
      </c>
      <c r="R673">
        <v>0</v>
      </c>
      <c r="S673" s="2">
        <v>43640</v>
      </c>
      <c r="T673" s="2">
        <v>43665</v>
      </c>
    </row>
    <row r="674" spans="1:22" x14ac:dyDescent="0.2">
      <c r="A674" t="str">
        <f>"322.4 BLA"</f>
        <v>322.4 BLA</v>
      </c>
      <c r="B674" t="str">
        <f>"Black Panthers: portraits from an unfini"</f>
        <v>Black Panthers: portraits from an unfini</v>
      </c>
      <c r="C674">
        <v>337773</v>
      </c>
      <c r="F674" t="str">
        <f>"xiv, 272 pages, 26 cm, illustrations"</f>
        <v>xiv, 272 pages, 26 cm, illustrations</v>
      </c>
      <c r="G674" s="1">
        <v>16</v>
      </c>
      <c r="H674">
        <v>2016</v>
      </c>
      <c r="I674" t="str">
        <f t="shared" si="26"/>
        <v>9: 300 - 399</v>
      </c>
      <c r="K674" t="str">
        <f>"WB - In"</f>
        <v>WB - In</v>
      </c>
      <c r="L674" s="1">
        <v>30</v>
      </c>
      <c r="M674" t="s">
        <v>640</v>
      </c>
      <c r="O674" t="s">
        <v>28</v>
      </c>
      <c r="P674">
        <v>2</v>
      </c>
      <c r="Q674">
        <v>0</v>
      </c>
      <c r="R674">
        <v>4</v>
      </c>
      <c r="S674" s="2">
        <v>42653</v>
      </c>
      <c r="T674" s="2">
        <v>42846</v>
      </c>
      <c r="U674" s="2">
        <v>42805</v>
      </c>
    </row>
    <row r="675" spans="1:22" x14ac:dyDescent="0.2">
      <c r="A675" t="str">
        <f>"322.4 GOR"</f>
        <v>322.4 GOR</v>
      </c>
      <c r="B675" t="str">
        <f>"second coming of the KKK: the Ku Klux Kl"</f>
        <v>second coming of the KKK: the Ku Klux Kl</v>
      </c>
      <c r="C675">
        <v>344373</v>
      </c>
      <c r="D675" t="str">
        <f>"Gordon, Linda."</f>
        <v>Gordon, Linda.</v>
      </c>
      <c r="F675" t="str">
        <f>"pages cm"</f>
        <v>pages cm</v>
      </c>
      <c r="G675" s="1">
        <v>17</v>
      </c>
      <c r="H675">
        <v>2017</v>
      </c>
      <c r="I675" t="str">
        <f t="shared" si="26"/>
        <v>9: 300 - 399</v>
      </c>
      <c r="K675" t="str">
        <f>"WB - In"</f>
        <v>WB - In</v>
      </c>
      <c r="L675" s="1">
        <v>33</v>
      </c>
      <c r="M675" t="s">
        <v>641</v>
      </c>
      <c r="O675" t="s">
        <v>28</v>
      </c>
      <c r="P675">
        <v>6</v>
      </c>
      <c r="Q675">
        <v>0</v>
      </c>
      <c r="R675">
        <v>6</v>
      </c>
      <c r="S675" s="2">
        <v>43040</v>
      </c>
      <c r="T675" s="2">
        <v>43250</v>
      </c>
      <c r="U675" s="2">
        <v>43624</v>
      </c>
    </row>
    <row r="676" spans="1:22" x14ac:dyDescent="0.2">
      <c r="A676" t="str">
        <f>"322.4 SHA"</f>
        <v>322.4 SHA</v>
      </c>
      <c r="B676" t="str">
        <f>"Power to the People: the world of the Bl"</f>
        <v>Power to the People: the world of the Bl</v>
      </c>
      <c r="C676">
        <v>291772</v>
      </c>
      <c r="D676" t="str">
        <f>"Shames, Stephen"</f>
        <v>Shames, Stephen</v>
      </c>
      <c r="F676" t="str">
        <f>"254 pages, 29 cm, chiefly illustrations (chiefly black &amp; white), portraits"</f>
        <v>254 pages, 29 cm, chiefly illustrations (chiefly black &amp; white), portraits</v>
      </c>
      <c r="G676" s="1">
        <v>16</v>
      </c>
      <c r="H676">
        <v>2016</v>
      </c>
      <c r="I676" t="str">
        <f t="shared" si="26"/>
        <v>9: 300 - 399</v>
      </c>
      <c r="K676" t="str">
        <f>"WB - In"</f>
        <v>WB - In</v>
      </c>
      <c r="L676" s="1">
        <v>45</v>
      </c>
      <c r="M676" t="s">
        <v>642</v>
      </c>
      <c r="O676" t="s">
        <v>28</v>
      </c>
      <c r="P676">
        <v>2</v>
      </c>
      <c r="Q676">
        <v>0</v>
      </c>
      <c r="R676">
        <v>5</v>
      </c>
      <c r="S676" s="2">
        <v>42689</v>
      </c>
      <c r="T676" s="2">
        <v>42864</v>
      </c>
      <c r="U676" s="2">
        <v>43481</v>
      </c>
    </row>
    <row r="677" spans="1:22" x14ac:dyDescent="0.2">
      <c r="A677" t="str">
        <f>"323 CHU"</f>
        <v>323 CHU</v>
      </c>
      <c r="B677" t="str">
        <f>"Police state USA: how Orwell's nightmare"</f>
        <v>Police state USA: how Orwell's nightmare</v>
      </c>
      <c r="C677">
        <v>323178</v>
      </c>
      <c r="D677" t="str">
        <f>"Chumley, Cheryl K.,"</f>
        <v>Chumley, Cheryl K.,</v>
      </c>
      <c r="F677" t="str">
        <f>"xxi, 263 pages, 24 cm"</f>
        <v>xxi, 263 pages, 24 cm</v>
      </c>
      <c r="G677" s="1">
        <v>14</v>
      </c>
      <c r="H677">
        <v>2014</v>
      </c>
      <c r="I677" t="str">
        <f t="shared" si="26"/>
        <v>9: 300 - 399</v>
      </c>
      <c r="K677" t="str">
        <f>"LL - In"</f>
        <v>LL - In</v>
      </c>
      <c r="L677" s="1">
        <v>32</v>
      </c>
      <c r="M677" t="s">
        <v>643</v>
      </c>
      <c r="O677" t="s">
        <v>28</v>
      </c>
      <c r="P677">
        <v>1</v>
      </c>
      <c r="Q677">
        <v>1</v>
      </c>
      <c r="R677">
        <v>11</v>
      </c>
      <c r="S677" s="2">
        <v>41872</v>
      </c>
      <c r="T677" s="2">
        <v>42065</v>
      </c>
      <c r="U677" s="2">
        <v>43500</v>
      </c>
      <c r="V677" s="2">
        <v>43058</v>
      </c>
    </row>
    <row r="678" spans="1:22" x14ac:dyDescent="0.2">
      <c r="A678" t="str">
        <f>"323 LEW"</f>
        <v>323 LEW</v>
      </c>
      <c r="B678" t="str">
        <f>"Under surveillance: being watched in mod"</f>
        <v>Under surveillance: being watched in mod</v>
      </c>
      <c r="C678">
        <v>346664</v>
      </c>
      <c r="D678" t="str">
        <f>"Lewis, Randolph,"</f>
        <v>Lewis, Randolph,</v>
      </c>
      <c r="F678" t="str">
        <f>"267 pages, 24 cm"</f>
        <v>267 pages, 24 cm</v>
      </c>
      <c r="G678" s="1">
        <v>18</v>
      </c>
      <c r="H678">
        <v>2017</v>
      </c>
      <c r="I678" t="str">
        <f t="shared" si="26"/>
        <v>9: 300 - 399</v>
      </c>
      <c r="K678" t="str">
        <f>"LL - In"</f>
        <v>LL - In</v>
      </c>
      <c r="L678" s="1">
        <v>33</v>
      </c>
      <c r="M678" t="s">
        <v>644</v>
      </c>
      <c r="O678" t="s">
        <v>28</v>
      </c>
      <c r="P678">
        <v>6</v>
      </c>
      <c r="Q678">
        <v>0</v>
      </c>
      <c r="R678">
        <v>6</v>
      </c>
      <c r="S678" s="2">
        <v>43172</v>
      </c>
      <c r="T678" s="2">
        <v>43341</v>
      </c>
      <c r="U678" s="2">
        <v>43483</v>
      </c>
    </row>
    <row r="679" spans="1:22" x14ac:dyDescent="0.2">
      <c r="A679" t="str">
        <f>"323 PHI"</f>
        <v>323 PHI</v>
      </c>
      <c r="B679" t="str">
        <f>"Brown is the new white: how the demograp"</f>
        <v>Brown is the new white: how the demograp</v>
      </c>
      <c r="C679">
        <v>333651</v>
      </c>
      <c r="D679" t="str">
        <f>"Phillips, Steve,"</f>
        <v>Phillips, Steve,</v>
      </c>
      <c r="F679" t="str">
        <f>"pages cm"</f>
        <v>pages cm</v>
      </c>
      <c r="G679" s="1">
        <v>16</v>
      </c>
      <c r="H679">
        <v>2016</v>
      </c>
      <c r="I679" t="str">
        <f t="shared" si="26"/>
        <v>9: 300 - 399</v>
      </c>
      <c r="K679" t="str">
        <f>"LL - In"</f>
        <v>LL - In</v>
      </c>
      <c r="L679" s="1">
        <v>31</v>
      </c>
      <c r="M679" t="s">
        <v>645</v>
      </c>
      <c r="O679" t="s">
        <v>28</v>
      </c>
      <c r="P679">
        <v>1</v>
      </c>
      <c r="Q679">
        <v>0</v>
      </c>
      <c r="R679">
        <v>8</v>
      </c>
      <c r="S679" s="2">
        <v>42437</v>
      </c>
      <c r="T679" s="2">
        <v>42633</v>
      </c>
      <c r="U679" s="2">
        <v>43327</v>
      </c>
    </row>
    <row r="680" spans="1:22" x14ac:dyDescent="0.2">
      <c r="A680" t="str">
        <f>"323 QUA"</f>
        <v>323 QUA</v>
      </c>
      <c r="B680" t="str">
        <f>"What Happens on Campus Stays on Youtube:"</f>
        <v>What Happens on Campus Stays on Youtube:</v>
      </c>
      <c r="C680">
        <v>357343</v>
      </c>
      <c r="G680" s="1">
        <v>19</v>
      </c>
      <c r="H680">
        <v>2015</v>
      </c>
      <c r="I680" t="str">
        <f t="shared" si="26"/>
        <v>9: 300 - 399</v>
      </c>
      <c r="K680" t="str">
        <f>"WB - In"</f>
        <v>WB - In</v>
      </c>
      <c r="L680" s="1">
        <v>20</v>
      </c>
      <c r="M680" t="s">
        <v>646</v>
      </c>
      <c r="O680" t="s">
        <v>28</v>
      </c>
      <c r="P680">
        <v>0</v>
      </c>
      <c r="Q680">
        <v>0</v>
      </c>
      <c r="R680">
        <v>0</v>
      </c>
      <c r="S680" s="2">
        <v>43711</v>
      </c>
      <c r="T680" s="2">
        <v>43819</v>
      </c>
    </row>
    <row r="681" spans="1:22" x14ac:dyDescent="0.2">
      <c r="A681" t="str">
        <f>"323 QUA"</f>
        <v>323 QUA</v>
      </c>
      <c r="B681" t="str">
        <f>"What happens in Vegas stays on YouTube"</f>
        <v>What happens in Vegas stays on YouTube</v>
      </c>
      <c r="C681">
        <v>357342</v>
      </c>
      <c r="D681" t="str">
        <f>"Qualman, Erik,"</f>
        <v>Qualman, Erik,</v>
      </c>
      <c r="F681" t="str">
        <f>"xii, 183 p., 22 cm, ill."</f>
        <v>xii, 183 p., 22 cm, ill.</v>
      </c>
      <c r="G681" s="1">
        <v>19</v>
      </c>
      <c r="H681">
        <v>2014</v>
      </c>
      <c r="I681" t="str">
        <f t="shared" si="26"/>
        <v>9: 300 - 399</v>
      </c>
      <c r="K681" t="str">
        <f>"WB - In"</f>
        <v>WB - In</v>
      </c>
      <c r="L681" s="1">
        <v>20</v>
      </c>
      <c r="M681" t="s">
        <v>647</v>
      </c>
      <c r="O681" t="s">
        <v>28</v>
      </c>
      <c r="P681">
        <v>0</v>
      </c>
      <c r="Q681">
        <v>0</v>
      </c>
      <c r="R681">
        <v>0</v>
      </c>
      <c r="S681" s="2">
        <v>43711</v>
      </c>
      <c r="T681" s="2">
        <v>43819</v>
      </c>
    </row>
    <row r="682" spans="1:22" x14ac:dyDescent="0.2">
      <c r="A682" t="str">
        <f>"323 RAT"</f>
        <v>323 RAT</v>
      </c>
      <c r="B682" t="str">
        <f>"What unites us: reflections on patriotis"</f>
        <v>What unites us: reflections on patriotis</v>
      </c>
      <c r="C682">
        <v>344842</v>
      </c>
      <c r="D682" t="str">
        <f>"Rather, Dan"</f>
        <v>Rather, Dan</v>
      </c>
      <c r="F682" t="str">
        <f>"274 pages, 20 cm"</f>
        <v>274 pages, 20 cm</v>
      </c>
      <c r="G682" s="1">
        <v>17</v>
      </c>
      <c r="H682">
        <v>2017</v>
      </c>
      <c r="I682" t="str">
        <f t="shared" si="26"/>
        <v>9: 300 - 399</v>
      </c>
      <c r="K682" t="str">
        <f>"LL - In"</f>
        <v>LL - In</v>
      </c>
      <c r="L682" s="1">
        <v>28</v>
      </c>
      <c r="M682" t="s">
        <v>648</v>
      </c>
      <c r="O682" t="s">
        <v>28</v>
      </c>
      <c r="P682">
        <v>9</v>
      </c>
      <c r="Q682">
        <v>1</v>
      </c>
      <c r="R682">
        <v>10</v>
      </c>
      <c r="S682" s="2">
        <v>43067</v>
      </c>
      <c r="T682" s="2">
        <v>43278</v>
      </c>
      <c r="U682" s="2">
        <v>43267</v>
      </c>
      <c r="V682" s="2">
        <v>43257</v>
      </c>
    </row>
    <row r="683" spans="1:22" x14ac:dyDescent="0.2">
      <c r="A683" t="str">
        <f>"323 ROS"</f>
        <v>323 ROS</v>
      </c>
      <c r="B683" t="str">
        <f>"surveillance state course guidebook: big"</f>
        <v>surveillance state course guidebook: big</v>
      </c>
      <c r="C683">
        <v>288901</v>
      </c>
      <c r="D683" t="str">
        <f>"Rosenzweig, Paul"</f>
        <v>Rosenzweig, Paul</v>
      </c>
      <c r="G683" s="1">
        <v>16</v>
      </c>
      <c r="H683">
        <v>2016</v>
      </c>
      <c r="I683" t="str">
        <f t="shared" si="26"/>
        <v>9: 300 - 399</v>
      </c>
      <c r="K683" t="str">
        <f>"WB - In"</f>
        <v>WB - In</v>
      </c>
      <c r="L683" s="1">
        <v>10</v>
      </c>
      <c r="O683" t="s">
        <v>28</v>
      </c>
      <c r="P683">
        <v>2</v>
      </c>
      <c r="Q683">
        <v>0</v>
      </c>
      <c r="R683">
        <v>2</v>
      </c>
      <c r="S683" s="2">
        <v>42542</v>
      </c>
      <c r="T683" s="2">
        <v>42585</v>
      </c>
      <c r="U683" s="2">
        <v>43194</v>
      </c>
    </row>
    <row r="684" spans="1:22" x14ac:dyDescent="0.2">
      <c r="A684" t="str">
        <f>"323 SEK"</f>
        <v>323 SEK</v>
      </c>
      <c r="B684" t="str">
        <f>"Undemocratic: rogue, reckless and renega"</f>
        <v>Undemocratic: rogue, reckless and renega</v>
      </c>
      <c r="C684">
        <v>286325</v>
      </c>
      <c r="D684" t="str">
        <f>"Sekulow, Jay"</f>
        <v>Sekulow, Jay</v>
      </c>
      <c r="F684" t="str">
        <f>"viii, 325 pages, 22 cm"</f>
        <v>viii, 325 pages, 22 cm</v>
      </c>
      <c r="G684" s="1">
        <v>16</v>
      </c>
      <c r="H684">
        <v>2016</v>
      </c>
      <c r="I684" t="str">
        <f t="shared" si="26"/>
        <v>9: 300 - 399</v>
      </c>
      <c r="K684" t="str">
        <f>"WB - In"</f>
        <v>WB - In</v>
      </c>
      <c r="L684" s="1">
        <v>21</v>
      </c>
      <c r="M684" t="s">
        <v>649</v>
      </c>
      <c r="O684" t="s">
        <v>28</v>
      </c>
      <c r="P684">
        <v>0</v>
      </c>
      <c r="Q684">
        <v>0</v>
      </c>
      <c r="R684">
        <v>1</v>
      </c>
      <c r="S684" s="2">
        <v>42425</v>
      </c>
      <c r="T684" s="2">
        <v>42486</v>
      </c>
      <c r="U684" s="2">
        <v>42496</v>
      </c>
    </row>
    <row r="685" spans="1:22" x14ac:dyDescent="0.2">
      <c r="A685" t="str">
        <f>"323.1 BAL"</f>
        <v>323.1 BAL</v>
      </c>
      <c r="B685" t="str">
        <f>"I am not your negro: a major motion pict"</f>
        <v>I am not your negro: a major motion pict</v>
      </c>
      <c r="C685">
        <v>339725</v>
      </c>
      <c r="D685" t="str">
        <f>"Baldwin, James"</f>
        <v>Baldwin, James</v>
      </c>
      <c r="F685" t="str">
        <f>"xxiii, 118 pages, 21 cm, illustrations"</f>
        <v>xxiii, 118 pages, 21 cm, illustrations</v>
      </c>
      <c r="G685" s="1">
        <v>17</v>
      </c>
      <c r="H685">
        <v>2017</v>
      </c>
      <c r="I685" t="str">
        <f t="shared" si="26"/>
        <v>9: 300 - 399</v>
      </c>
      <c r="K685" t="str">
        <f>"WB - In"</f>
        <v>WB - In</v>
      </c>
      <c r="L685" s="1">
        <v>20</v>
      </c>
      <c r="M685" t="s">
        <v>650</v>
      </c>
      <c r="O685" t="s">
        <v>28</v>
      </c>
      <c r="P685">
        <v>8</v>
      </c>
      <c r="Q685">
        <v>0</v>
      </c>
      <c r="R685">
        <v>8</v>
      </c>
      <c r="S685" s="2">
        <v>42779</v>
      </c>
      <c r="T685" s="2">
        <v>42935</v>
      </c>
      <c r="U685" s="2">
        <v>43220</v>
      </c>
    </row>
    <row r="686" spans="1:22" x14ac:dyDescent="0.2">
      <c r="A686" t="str">
        <f>"323.1 HAR"</f>
        <v>323.1 HAR</v>
      </c>
      <c r="B686" t="str">
        <f>"Hope and history: why we must share the "</f>
        <v xml:space="preserve">Hope and history: why we must share the </v>
      </c>
      <c r="C686">
        <v>356445</v>
      </c>
      <c r="D686" t="str">
        <f>"Harding, Vincent."</f>
        <v>Harding, Vincent.</v>
      </c>
      <c r="F686" t="str">
        <f>"xvi, 223 p., 24 cm"</f>
        <v>xvi, 223 p., 24 cm</v>
      </c>
      <c r="G686" s="1">
        <v>19</v>
      </c>
      <c r="H686">
        <v>2009</v>
      </c>
      <c r="I686" t="str">
        <f t="shared" si="26"/>
        <v>9: 300 - 399</v>
      </c>
      <c r="K686" t="str">
        <f>"LL - In"</f>
        <v>LL - In</v>
      </c>
      <c r="L686" s="1">
        <v>21</v>
      </c>
      <c r="M686" t="s">
        <v>651</v>
      </c>
      <c r="O686" t="s">
        <v>28</v>
      </c>
      <c r="P686">
        <v>0</v>
      </c>
      <c r="Q686">
        <v>0</v>
      </c>
      <c r="R686">
        <v>0</v>
      </c>
      <c r="S686" s="2">
        <v>43669</v>
      </c>
      <c r="T686" s="2">
        <v>43748</v>
      </c>
    </row>
    <row r="687" spans="1:22" x14ac:dyDescent="0.2">
      <c r="A687" t="str">
        <f>"323.1 JON"</f>
        <v>323.1 JON</v>
      </c>
      <c r="B687" t="str">
        <f>"march on Washington: jobs, freedom, and "</f>
        <v xml:space="preserve">march on Washington: jobs, freedom, and </v>
      </c>
      <c r="C687">
        <v>315998</v>
      </c>
      <c r="D687" t="str">
        <f>"Jones, William Powell,"</f>
        <v>Jones, William Powell,</v>
      </c>
      <c r="F687" t="str">
        <f>"xxi, 296 pages, 25 cm, illustrations"</f>
        <v>xxi, 296 pages, 25 cm, illustrations</v>
      </c>
      <c r="G687" s="1">
        <v>13</v>
      </c>
      <c r="H687">
        <v>2013</v>
      </c>
      <c r="I687" t="str">
        <f t="shared" si="26"/>
        <v>9: 300 - 399</v>
      </c>
      <c r="K687" t="str">
        <f t="shared" ref="K687:K696" si="27">"WB - In"</f>
        <v>WB - In</v>
      </c>
      <c r="L687" s="1">
        <v>32</v>
      </c>
      <c r="M687" t="s">
        <v>652</v>
      </c>
      <c r="O687" t="s">
        <v>28</v>
      </c>
      <c r="P687">
        <v>0</v>
      </c>
      <c r="Q687">
        <v>0</v>
      </c>
      <c r="R687">
        <v>3</v>
      </c>
      <c r="S687" s="2">
        <v>41492</v>
      </c>
      <c r="T687" s="2">
        <v>41555</v>
      </c>
      <c r="U687" s="2">
        <v>42759</v>
      </c>
      <c r="V687" s="2">
        <v>42429</v>
      </c>
    </row>
    <row r="688" spans="1:22" x14ac:dyDescent="0.2">
      <c r="A688" t="str">
        <f>"323.1 MAR"</f>
        <v>323.1 MAR</v>
      </c>
      <c r="B688" t="str">
        <f>"injustice never leaves you: anti-Mexican"</f>
        <v>injustice never leaves you: anti-Mexican</v>
      </c>
      <c r="C688">
        <v>351144</v>
      </c>
      <c r="D688" t="str">
        <f>"Martinez, Monica Munoz,"</f>
        <v>Martinez, Monica Munoz,</v>
      </c>
      <c r="F688" t="str">
        <f>"387 p."</f>
        <v>387 p.</v>
      </c>
      <c r="G688" s="1">
        <v>18</v>
      </c>
      <c r="H688">
        <v>2018</v>
      </c>
      <c r="I688" t="str">
        <f t="shared" si="26"/>
        <v>9: 300 - 399</v>
      </c>
      <c r="K688" t="str">
        <f t="shared" si="27"/>
        <v>WB - In</v>
      </c>
      <c r="L688" s="1">
        <v>40</v>
      </c>
      <c r="M688" t="s">
        <v>653</v>
      </c>
      <c r="O688" t="s">
        <v>28</v>
      </c>
      <c r="P688">
        <v>8</v>
      </c>
      <c r="Q688">
        <v>0</v>
      </c>
      <c r="R688">
        <v>8</v>
      </c>
      <c r="S688" s="2">
        <v>43410</v>
      </c>
      <c r="T688" s="2">
        <v>43586</v>
      </c>
      <c r="U688" s="2">
        <v>43651</v>
      </c>
    </row>
    <row r="689" spans="1:22" x14ac:dyDescent="0.2">
      <c r="A689" t="str">
        <f>"323.1 MCW"</f>
        <v>323.1 MCW</v>
      </c>
      <c r="B689" t="str">
        <f>"Carry me home: Birmingham, Alabama, the "</f>
        <v xml:space="preserve">Carry me home: Birmingham, Alabama, the </v>
      </c>
      <c r="C689">
        <v>349884</v>
      </c>
      <c r="D689" t="str">
        <f>"McWhorter, Diane"</f>
        <v>McWhorter, Diane</v>
      </c>
      <c r="F689" t="str">
        <f>"xvii, 731 p., 24 cm, ill., map"</f>
        <v>xvii, 731 p., 24 cm, ill., map</v>
      </c>
      <c r="G689" s="1">
        <v>18</v>
      </c>
      <c r="H689">
        <v>2013</v>
      </c>
      <c r="I689" t="str">
        <f t="shared" si="26"/>
        <v>9: 300 - 399</v>
      </c>
      <c r="K689" t="str">
        <f t="shared" si="27"/>
        <v>WB - In</v>
      </c>
      <c r="L689" s="1">
        <v>27</v>
      </c>
      <c r="M689" t="s">
        <v>654</v>
      </c>
      <c r="O689" t="s">
        <v>28</v>
      </c>
      <c r="P689">
        <v>0</v>
      </c>
      <c r="Q689">
        <v>0</v>
      </c>
      <c r="R689">
        <v>0</v>
      </c>
      <c r="S689" s="2">
        <v>43354</v>
      </c>
      <c r="T689" s="2">
        <v>43360</v>
      </c>
    </row>
    <row r="690" spans="1:22" x14ac:dyDescent="0.2">
      <c r="A690" t="str">
        <f>"323.1 PER"</f>
        <v>323.1 PER</v>
      </c>
      <c r="B690" t="str">
        <f>"spy in Canaan: how the FBI used a famous"</f>
        <v>spy in Canaan: how the FBI used a famous</v>
      </c>
      <c r="C690">
        <v>353477</v>
      </c>
      <c r="D690" t="str">
        <f>"Perrusquia, Marc"</f>
        <v>Perrusquia, Marc</v>
      </c>
      <c r="F690" t="str">
        <f>"xvii, 349 pages, 8 unnumbered leaves of plates, 24 cm, black and white illustrations"</f>
        <v>xvii, 349 pages, 8 unnumbered leaves of plates, 24 cm, black and white illustrations</v>
      </c>
      <c r="G690" s="1">
        <v>19</v>
      </c>
      <c r="H690">
        <v>2017</v>
      </c>
      <c r="I690" t="str">
        <f t="shared" si="26"/>
        <v>9: 300 - 399</v>
      </c>
      <c r="K690" t="str">
        <f t="shared" si="27"/>
        <v>WB - In</v>
      </c>
      <c r="L690" s="1">
        <v>34</v>
      </c>
      <c r="M690" t="s">
        <v>655</v>
      </c>
      <c r="O690" t="s">
        <v>28</v>
      </c>
      <c r="P690">
        <v>4</v>
      </c>
      <c r="Q690">
        <v>0</v>
      </c>
      <c r="R690">
        <v>4</v>
      </c>
      <c r="S690" s="2">
        <v>43532</v>
      </c>
      <c r="T690" s="2">
        <v>43691</v>
      </c>
      <c r="U690" s="2">
        <v>43678</v>
      </c>
    </row>
    <row r="691" spans="1:22" x14ac:dyDescent="0.2">
      <c r="A691" t="str">
        <f>"323.1 RIV"</f>
        <v>323.1 RIV</v>
      </c>
      <c r="B691" t="str">
        <f>"Texas Mexican Americans and postwar civi"</f>
        <v>Texas Mexican Americans and postwar civi</v>
      </c>
      <c r="C691">
        <v>328543</v>
      </c>
      <c r="D691" t="str">
        <f>"Rivas-Rodriguez, Maggie,"</f>
        <v>Rivas-Rodriguez, Maggie,</v>
      </c>
      <c r="F691" t="str">
        <f>"171 p."</f>
        <v>171 p.</v>
      </c>
      <c r="G691" s="1">
        <v>15</v>
      </c>
      <c r="H691">
        <v>2015</v>
      </c>
      <c r="I691" t="str">
        <f t="shared" si="26"/>
        <v>9: 300 - 399</v>
      </c>
      <c r="K691" t="str">
        <f t="shared" si="27"/>
        <v>WB - In</v>
      </c>
      <c r="L691" s="1">
        <v>30</v>
      </c>
      <c r="M691" t="s">
        <v>656</v>
      </c>
      <c r="O691" t="s">
        <v>28</v>
      </c>
      <c r="P691">
        <v>1</v>
      </c>
      <c r="Q691">
        <v>0</v>
      </c>
      <c r="R691">
        <v>5</v>
      </c>
      <c r="S691" s="2">
        <v>42198</v>
      </c>
      <c r="T691" s="2">
        <v>42375</v>
      </c>
      <c r="U691" s="2">
        <v>43380</v>
      </c>
      <c r="V691" s="2">
        <v>42744</v>
      </c>
    </row>
    <row r="692" spans="1:22" x14ac:dyDescent="0.2">
      <c r="A692" t="str">
        <f>"323.3 CAR"</f>
        <v>323.3 CAR</v>
      </c>
      <c r="B692" t="str">
        <f>"call to action: women, religion, violenc"</f>
        <v>call to action: women, religion, violenc</v>
      </c>
      <c r="C692">
        <v>320417</v>
      </c>
      <c r="D692" t="str">
        <f>"Carter, Jimmy"</f>
        <v>Carter, Jimmy</v>
      </c>
      <c r="F692" t="str">
        <f>"viii, 211 pages, 24 cm"</f>
        <v>viii, 211 pages, 24 cm</v>
      </c>
      <c r="G692" s="1">
        <v>14</v>
      </c>
      <c r="H692">
        <v>2014</v>
      </c>
      <c r="I692" t="str">
        <f t="shared" si="26"/>
        <v>9: 300 - 399</v>
      </c>
      <c r="K692" t="str">
        <f t="shared" si="27"/>
        <v>WB - In</v>
      </c>
      <c r="L692" s="1">
        <v>33</v>
      </c>
      <c r="M692" t="s">
        <v>657</v>
      </c>
      <c r="O692" t="s">
        <v>28</v>
      </c>
      <c r="P692">
        <v>0</v>
      </c>
      <c r="Q692">
        <v>0</v>
      </c>
      <c r="R692">
        <v>8</v>
      </c>
      <c r="S692" s="2">
        <v>41719</v>
      </c>
      <c r="T692" s="2">
        <v>41885</v>
      </c>
      <c r="U692" s="2">
        <v>42339</v>
      </c>
    </row>
    <row r="693" spans="1:22" x14ac:dyDescent="0.2">
      <c r="A693" t="str">
        <f>"323.4 ACO"</f>
        <v>323.4 ACO</v>
      </c>
      <c r="B693" t="str">
        <f>"enemy of the people: a dangerous time to"</f>
        <v>enemy of the people: a dangerous time to</v>
      </c>
      <c r="C693">
        <v>355411</v>
      </c>
      <c r="D693" t="str">
        <f>"Acosta, Jim"</f>
        <v>Acosta, Jim</v>
      </c>
      <c r="F693" t="str">
        <f>"354 pages, 8 pages of unnumbered plates, 24 cm, color illustrations"</f>
        <v>354 pages, 8 pages of unnumbered plates, 24 cm, color illustrations</v>
      </c>
      <c r="G693" s="1">
        <v>19</v>
      </c>
      <c r="H693">
        <v>2019</v>
      </c>
      <c r="I693" t="str">
        <f t="shared" si="26"/>
        <v>9: 300 - 399</v>
      </c>
      <c r="K693" t="str">
        <f t="shared" si="27"/>
        <v>WB - In</v>
      </c>
      <c r="L693" s="1">
        <v>33</v>
      </c>
      <c r="M693" t="s">
        <v>658</v>
      </c>
      <c r="O693" t="s">
        <v>28</v>
      </c>
      <c r="P693">
        <v>6</v>
      </c>
      <c r="Q693">
        <v>0</v>
      </c>
      <c r="R693">
        <v>6</v>
      </c>
      <c r="S693" s="2">
        <v>43626</v>
      </c>
      <c r="T693" s="2">
        <v>43782</v>
      </c>
      <c r="U693" s="2">
        <v>43766</v>
      </c>
    </row>
    <row r="694" spans="1:22" x14ac:dyDescent="0.2">
      <c r="A694" t="str">
        <f>"323.4 SHI"</f>
        <v>323.4 SHI</v>
      </c>
      <c r="B694" t="str">
        <f>"Freedom of speech: mightier than the swo"</f>
        <v>Freedom of speech: mightier than the swo</v>
      </c>
      <c r="C694">
        <v>327763</v>
      </c>
      <c r="D694" t="str">
        <f>"Shipler, David K.,"</f>
        <v>Shipler, David K.,</v>
      </c>
      <c r="F694" t="str">
        <f>"viii, 336 pages, 25 cm"</f>
        <v>viii, 336 pages, 25 cm</v>
      </c>
      <c r="G694" s="1">
        <v>15</v>
      </c>
      <c r="H694">
        <v>2015</v>
      </c>
      <c r="I694" t="str">
        <f t="shared" si="26"/>
        <v>9: 300 - 399</v>
      </c>
      <c r="K694" t="str">
        <f t="shared" si="27"/>
        <v>WB - In</v>
      </c>
      <c r="L694" s="1">
        <v>34</v>
      </c>
      <c r="M694" t="s">
        <v>659</v>
      </c>
      <c r="O694" t="s">
        <v>28</v>
      </c>
      <c r="P694">
        <v>1</v>
      </c>
      <c r="Q694">
        <v>0</v>
      </c>
      <c r="R694">
        <v>6</v>
      </c>
      <c r="S694" s="2">
        <v>42163</v>
      </c>
      <c r="T694" s="2">
        <v>42373</v>
      </c>
      <c r="U694" s="2">
        <v>42777</v>
      </c>
      <c r="V694" s="2">
        <v>42273</v>
      </c>
    </row>
    <row r="695" spans="1:22" x14ac:dyDescent="0.2">
      <c r="A695" t="str">
        <f>"323.6 ALE"</f>
        <v>323.6 ALE</v>
      </c>
      <c r="B695" t="str">
        <f>"U.S. citzenship test"</f>
        <v>U.S. citzenship test</v>
      </c>
      <c r="C695">
        <v>268831</v>
      </c>
      <c r="D695" t="str">
        <f>"Alesi, Gladys E."</f>
        <v>Alesi, Gladys E.</v>
      </c>
      <c r="F695" t="str">
        <f>"209 p., 28 cm., ill."</f>
        <v>209 p., 28 cm., ill.</v>
      </c>
      <c r="G695" s="1">
        <v>13</v>
      </c>
      <c r="H695">
        <v>2013</v>
      </c>
      <c r="I695" t="str">
        <f t="shared" si="26"/>
        <v>9: 300 - 399</v>
      </c>
      <c r="K695" t="str">
        <f t="shared" si="27"/>
        <v>WB - In</v>
      </c>
      <c r="L695" s="1">
        <v>22</v>
      </c>
      <c r="M695" t="s">
        <v>660</v>
      </c>
      <c r="O695" t="s">
        <v>28</v>
      </c>
      <c r="P695">
        <v>2</v>
      </c>
      <c r="Q695">
        <v>1</v>
      </c>
      <c r="R695">
        <v>9</v>
      </c>
      <c r="S695" s="2">
        <v>41534</v>
      </c>
      <c r="T695" s="2">
        <v>41541</v>
      </c>
      <c r="U695" s="2">
        <v>42960</v>
      </c>
      <c r="V695" s="2">
        <v>43026</v>
      </c>
    </row>
    <row r="696" spans="1:22" x14ac:dyDescent="0.2">
      <c r="A696" t="str">
        <f>"323.6 BRA"</f>
        <v>323.6 BRA</v>
      </c>
      <c r="B696" t="str">
        <f>"U.S. immigration made easy"</f>
        <v>U.S. immigration made easy</v>
      </c>
      <c r="C696">
        <v>296404</v>
      </c>
      <c r="D696" t="str">
        <f>"Bray, Ilona"</f>
        <v>Bray, Ilona</v>
      </c>
      <c r="F696" t="str">
        <f>"669 p."</f>
        <v>669 p.</v>
      </c>
      <c r="G696" s="1">
        <v>17</v>
      </c>
      <c r="H696">
        <v>2017</v>
      </c>
      <c r="I696" t="str">
        <f t="shared" si="26"/>
        <v>9: 300 - 399</v>
      </c>
      <c r="K696" t="str">
        <f t="shared" si="27"/>
        <v>WB - In</v>
      </c>
      <c r="L696" s="1">
        <v>50</v>
      </c>
      <c r="M696" t="s">
        <v>661</v>
      </c>
      <c r="O696" t="s">
        <v>28</v>
      </c>
      <c r="P696">
        <v>1</v>
      </c>
      <c r="Q696">
        <v>0</v>
      </c>
      <c r="R696">
        <v>1</v>
      </c>
      <c r="S696" s="2">
        <v>42946</v>
      </c>
      <c r="T696" s="2">
        <v>42949</v>
      </c>
      <c r="U696" s="2">
        <v>43743</v>
      </c>
    </row>
    <row r="697" spans="1:22" x14ac:dyDescent="0.2">
      <c r="A697" t="str">
        <f>"323.6 BRA"</f>
        <v>323.6 BRA</v>
      </c>
      <c r="B697" t="str">
        <f>"U.S. immigration made easy"</f>
        <v>U.S. immigration made easy</v>
      </c>
      <c r="C697">
        <v>353845</v>
      </c>
      <c r="D697" t="str">
        <f>"Bray, Ilona"</f>
        <v>Bray, Ilona</v>
      </c>
      <c r="F697" t="str">
        <f>"679 p."</f>
        <v>679 p.</v>
      </c>
      <c r="G697" s="1">
        <v>19</v>
      </c>
      <c r="H697">
        <v>2019</v>
      </c>
      <c r="I697" t="str">
        <f t="shared" si="26"/>
        <v>9: 300 - 399</v>
      </c>
      <c r="K697" t="str">
        <f>"LL - In"</f>
        <v>LL - In</v>
      </c>
      <c r="L697" s="1">
        <v>50</v>
      </c>
      <c r="M697" t="s">
        <v>662</v>
      </c>
      <c r="O697" t="s">
        <v>28</v>
      </c>
      <c r="P697">
        <v>1</v>
      </c>
      <c r="Q697">
        <v>0</v>
      </c>
      <c r="R697">
        <v>1</v>
      </c>
      <c r="S697" s="2">
        <v>43566</v>
      </c>
      <c r="T697" s="2">
        <v>43574</v>
      </c>
      <c r="U697" s="2">
        <v>43609</v>
      </c>
    </row>
    <row r="698" spans="1:22" x14ac:dyDescent="0.2">
      <c r="A698" t="str">
        <f>"323.6 LEW"</f>
        <v>323.6 LEW</v>
      </c>
      <c r="B698" t="str">
        <f>"How to get a green card"</f>
        <v>How to get a green card</v>
      </c>
      <c r="C698">
        <v>349043</v>
      </c>
      <c r="D698" t="str">
        <f>"Bray, Ilona"</f>
        <v>Bray, Ilona</v>
      </c>
      <c r="F698" t="str">
        <f>"401 p."</f>
        <v>401 p.</v>
      </c>
      <c r="G698" s="1">
        <v>18</v>
      </c>
      <c r="H698">
        <v>2018</v>
      </c>
      <c r="I698" t="str">
        <f t="shared" si="26"/>
        <v>9: 300 - 399</v>
      </c>
      <c r="K698" t="str">
        <f>"LL - In"</f>
        <v>LL - In</v>
      </c>
      <c r="L698" s="1">
        <v>45</v>
      </c>
      <c r="M698" t="s">
        <v>663</v>
      </c>
      <c r="O698" t="s">
        <v>28</v>
      </c>
      <c r="P698">
        <v>1</v>
      </c>
      <c r="Q698">
        <v>0</v>
      </c>
      <c r="R698">
        <v>1</v>
      </c>
      <c r="S698" s="2">
        <v>43321</v>
      </c>
      <c r="T698" s="2">
        <v>43329</v>
      </c>
      <c r="U698" s="2">
        <v>43544</v>
      </c>
    </row>
    <row r="699" spans="1:22" x14ac:dyDescent="0.2">
      <c r="A699" t="str">
        <f>"323.6 SAS"</f>
        <v>323.6 SAS</v>
      </c>
      <c r="B699" t="str">
        <f>"Them: why we hate each other-- and how t"</f>
        <v>Them: why we hate each other-- and how t</v>
      </c>
      <c r="C699">
        <v>350984</v>
      </c>
      <c r="D699" t="str">
        <f>"Sasse, Benjamin E."</f>
        <v>Sasse, Benjamin E.</v>
      </c>
      <c r="F699" t="str">
        <f>"272 pages, 25 cm"</f>
        <v>272 pages, 25 cm</v>
      </c>
      <c r="G699" s="1">
        <v>18</v>
      </c>
      <c r="H699">
        <v>2018</v>
      </c>
      <c r="I699" t="str">
        <f t="shared" si="26"/>
        <v>9: 300 - 399</v>
      </c>
      <c r="K699" t="str">
        <f>"WB - In"</f>
        <v>WB - In</v>
      </c>
      <c r="L699" s="1">
        <v>34</v>
      </c>
      <c r="M699" t="s">
        <v>664</v>
      </c>
      <c r="O699" t="s">
        <v>28</v>
      </c>
      <c r="P699">
        <v>5</v>
      </c>
      <c r="Q699">
        <v>2</v>
      </c>
      <c r="R699">
        <v>7</v>
      </c>
      <c r="S699" s="2">
        <v>43402</v>
      </c>
      <c r="T699" s="2">
        <v>43565</v>
      </c>
      <c r="U699" s="2">
        <v>43697</v>
      </c>
      <c r="V699" s="2">
        <v>43678</v>
      </c>
    </row>
    <row r="700" spans="1:22" x14ac:dyDescent="0.2">
      <c r="A700" t="str">
        <f>"324 CLI"</f>
        <v>324 CLI</v>
      </c>
      <c r="B700" t="str">
        <f>"What happened"</f>
        <v>What happened</v>
      </c>
      <c r="C700">
        <v>343423</v>
      </c>
      <c r="D700" t="str">
        <f>"Clinton, Hillary Rodham"</f>
        <v>Clinton, Hillary Rodham</v>
      </c>
      <c r="F700" t="str">
        <f>"xiv, 494 pages, 24 cm"</f>
        <v>xiv, 494 pages, 24 cm</v>
      </c>
      <c r="G700" s="1">
        <v>17</v>
      </c>
      <c r="H700">
        <v>2017</v>
      </c>
      <c r="I700" t="str">
        <f t="shared" si="26"/>
        <v>9: 300 - 399</v>
      </c>
      <c r="K700" t="str">
        <f>"WB - In"</f>
        <v>WB - In</v>
      </c>
      <c r="L700" s="1">
        <v>35</v>
      </c>
      <c r="M700" t="s">
        <v>665</v>
      </c>
      <c r="O700" t="s">
        <v>28</v>
      </c>
      <c r="P700">
        <v>13</v>
      </c>
      <c r="Q700">
        <v>2</v>
      </c>
      <c r="R700">
        <v>15</v>
      </c>
      <c r="S700" s="2">
        <v>42984</v>
      </c>
      <c r="T700" s="2">
        <v>43208</v>
      </c>
      <c r="U700" s="2">
        <v>43782</v>
      </c>
      <c r="V700" s="2">
        <v>43506</v>
      </c>
    </row>
    <row r="701" spans="1:22" x14ac:dyDescent="0.2">
      <c r="A701" t="str">
        <f>"324 CLI"</f>
        <v>324 CLI</v>
      </c>
      <c r="B701" t="str">
        <f>"What happened"</f>
        <v>What happened</v>
      </c>
      <c r="C701">
        <v>343424</v>
      </c>
      <c r="D701" t="str">
        <f>"Clinton, Hillary Rodham"</f>
        <v>Clinton, Hillary Rodham</v>
      </c>
      <c r="F701" t="str">
        <f>"xiv, 494 pages, 24 cm"</f>
        <v>xiv, 494 pages, 24 cm</v>
      </c>
      <c r="G701" s="1">
        <v>17</v>
      </c>
      <c r="H701">
        <v>2017</v>
      </c>
      <c r="I701" t="str">
        <f t="shared" si="26"/>
        <v>9: 300 - 399</v>
      </c>
      <c r="K701" t="str">
        <f>"LL - In"</f>
        <v>LL - In</v>
      </c>
      <c r="L701" s="1">
        <v>35</v>
      </c>
      <c r="M701" t="s">
        <v>665</v>
      </c>
      <c r="O701" t="s">
        <v>28</v>
      </c>
      <c r="P701">
        <v>11</v>
      </c>
      <c r="Q701">
        <v>0</v>
      </c>
      <c r="R701">
        <v>11</v>
      </c>
      <c r="S701" s="2">
        <v>42984</v>
      </c>
      <c r="T701" s="2">
        <v>43208</v>
      </c>
      <c r="U701" s="2">
        <v>43476</v>
      </c>
    </row>
    <row r="702" spans="1:22" x14ac:dyDescent="0.2">
      <c r="A702" t="str">
        <f>"324 PAT"</f>
        <v>324 PAT</v>
      </c>
      <c r="B702" t="str">
        <f>"Fever swamp: a journey through the stran"</f>
        <v>Fever swamp: a journey through the stran</v>
      </c>
      <c r="C702">
        <v>339716</v>
      </c>
      <c r="D702" t="str">
        <f>"Patterson, Richard North"</f>
        <v>Patterson, Richard North</v>
      </c>
      <c r="F702" t="str">
        <f>"xiv, 448 pages, 24 cm"</f>
        <v>xiv, 448 pages, 24 cm</v>
      </c>
      <c r="G702" s="1">
        <v>17</v>
      </c>
      <c r="H702">
        <v>2017</v>
      </c>
      <c r="I702" t="str">
        <f t="shared" si="26"/>
        <v>9: 300 - 399</v>
      </c>
      <c r="K702" t="str">
        <f t="shared" ref="K702:K707" si="28">"WB - In"</f>
        <v>WB - In</v>
      </c>
      <c r="L702" s="1">
        <v>32</v>
      </c>
      <c r="M702" t="s">
        <v>666</v>
      </c>
      <c r="O702" t="s">
        <v>28</v>
      </c>
      <c r="P702">
        <v>4</v>
      </c>
      <c r="Q702">
        <v>0</v>
      </c>
      <c r="R702">
        <v>4</v>
      </c>
      <c r="S702" s="2">
        <v>42779</v>
      </c>
      <c r="T702" s="2">
        <v>42935</v>
      </c>
      <c r="U702" s="2">
        <v>42891</v>
      </c>
    </row>
    <row r="703" spans="1:22" x14ac:dyDescent="0.2">
      <c r="A703" t="str">
        <f>"324 ROV"</f>
        <v>324 ROV</v>
      </c>
      <c r="B703" t="str">
        <f>"triumph of William McKinley: why the ele"</f>
        <v>triumph of William McKinley: why the ele</v>
      </c>
      <c r="C703">
        <v>332171</v>
      </c>
      <c r="D703" t="str">
        <f>"Rove, Karl"</f>
        <v>Rove, Karl</v>
      </c>
      <c r="F703" t="str">
        <f>"viii, 482 pages, 24 cm, illustrations (some color)"</f>
        <v>viii, 482 pages, 24 cm, illustrations (some color)</v>
      </c>
      <c r="G703" s="1">
        <v>15</v>
      </c>
      <c r="H703">
        <v>2015</v>
      </c>
      <c r="I703" t="str">
        <f t="shared" si="26"/>
        <v>9: 300 - 399</v>
      </c>
      <c r="K703" t="str">
        <f t="shared" si="28"/>
        <v>WB - In</v>
      </c>
      <c r="L703" s="1">
        <v>38</v>
      </c>
      <c r="M703" t="s">
        <v>667</v>
      </c>
      <c r="O703" t="s">
        <v>28</v>
      </c>
      <c r="P703">
        <v>1</v>
      </c>
      <c r="Q703">
        <v>0</v>
      </c>
      <c r="R703">
        <v>5</v>
      </c>
      <c r="S703" s="2">
        <v>42368</v>
      </c>
      <c r="T703" s="2">
        <v>42546</v>
      </c>
      <c r="U703" s="2">
        <v>43165</v>
      </c>
    </row>
    <row r="704" spans="1:22" x14ac:dyDescent="0.2">
      <c r="A704" t="str">
        <f>"324 SHE"</f>
        <v>324 SHE</v>
      </c>
      <c r="B704" t="str">
        <f>"hill to die on: the battle for Congress "</f>
        <v xml:space="preserve">hill to die on: the battle for Congress </v>
      </c>
      <c r="C704">
        <v>354464</v>
      </c>
      <c r="D704" t="str">
        <f>"Sherman, Jake S.,"</f>
        <v>Sherman, Jake S.,</v>
      </c>
      <c r="F704" t="str">
        <f>"xii, 420 pages, 25 cm"</f>
        <v>xii, 420 pages, 25 cm</v>
      </c>
      <c r="G704" s="1">
        <v>19</v>
      </c>
      <c r="H704">
        <v>2019</v>
      </c>
      <c r="I704" t="str">
        <f t="shared" si="26"/>
        <v>9: 300 - 399</v>
      </c>
      <c r="K704" t="str">
        <f t="shared" si="28"/>
        <v>WB - In</v>
      </c>
      <c r="L704" s="1">
        <v>33</v>
      </c>
      <c r="M704" t="s">
        <v>668</v>
      </c>
      <c r="O704" t="s">
        <v>28</v>
      </c>
      <c r="P704">
        <v>3</v>
      </c>
      <c r="Q704">
        <v>0</v>
      </c>
      <c r="R704">
        <v>3</v>
      </c>
      <c r="S704" s="2">
        <v>43583</v>
      </c>
      <c r="T704" s="2">
        <v>43751</v>
      </c>
      <c r="U704" s="2">
        <v>43713</v>
      </c>
    </row>
    <row r="705" spans="1:22" x14ac:dyDescent="0.2">
      <c r="A705" t="str">
        <f>"324.08 GES"</f>
        <v>324.08 GES</v>
      </c>
      <c r="B705" t="str">
        <f>"new minority: white working class politi"</f>
        <v>new minority: white working class politi</v>
      </c>
      <c r="C705">
        <v>338783</v>
      </c>
      <c r="D705" t="str">
        <f>"Gest, Justin"</f>
        <v>Gest, Justin</v>
      </c>
      <c r="F705" t="str">
        <f>"xiii, 249 pages, 25 cm, illustrations, maps"</f>
        <v>xiii, 249 pages, 25 cm, illustrations, maps</v>
      </c>
      <c r="G705" s="1">
        <v>16</v>
      </c>
      <c r="H705">
        <v>2016</v>
      </c>
      <c r="I705" t="str">
        <f t="shared" si="26"/>
        <v>9: 300 - 399</v>
      </c>
      <c r="K705" t="str">
        <f t="shared" si="28"/>
        <v>WB - In</v>
      </c>
      <c r="L705" s="1">
        <v>30</v>
      </c>
      <c r="M705" t="s">
        <v>669</v>
      </c>
      <c r="O705" t="s">
        <v>28</v>
      </c>
      <c r="P705">
        <v>3</v>
      </c>
      <c r="Q705">
        <v>0</v>
      </c>
      <c r="R705">
        <v>4</v>
      </c>
      <c r="S705" s="2">
        <v>42723</v>
      </c>
      <c r="T705" s="2">
        <v>42872</v>
      </c>
      <c r="U705" s="2">
        <v>42857</v>
      </c>
    </row>
    <row r="706" spans="1:22" x14ac:dyDescent="0.2">
      <c r="A706" t="str">
        <f>"324.2 ABR"</f>
        <v>324.2 ABR</v>
      </c>
      <c r="B706" t="str">
        <f>"great alignment: race, party transformat"</f>
        <v>great alignment: race, party transformat</v>
      </c>
      <c r="C706">
        <v>402205</v>
      </c>
      <c r="D706" t="str">
        <f>"Abramowitz, Alan"</f>
        <v>Abramowitz, Alan</v>
      </c>
      <c r="F706" t="str">
        <f>"xvi, 196 pages, 22 cm"</f>
        <v>xvi, 196 pages, 22 cm</v>
      </c>
      <c r="G706" s="1">
        <v>18</v>
      </c>
      <c r="H706">
        <v>2018</v>
      </c>
      <c r="I706" t="str">
        <f t="shared" si="26"/>
        <v>9: 300 - 399</v>
      </c>
      <c r="K706" t="str">
        <f t="shared" si="28"/>
        <v>WB - In</v>
      </c>
      <c r="L706" s="1">
        <v>40</v>
      </c>
      <c r="M706" t="s">
        <v>670</v>
      </c>
      <c r="O706" t="s">
        <v>28</v>
      </c>
      <c r="P706">
        <v>2</v>
      </c>
      <c r="Q706">
        <v>0</v>
      </c>
      <c r="R706">
        <v>2</v>
      </c>
      <c r="S706" s="2">
        <v>43291</v>
      </c>
      <c r="T706" s="2">
        <v>43446</v>
      </c>
      <c r="U706" s="2">
        <v>43351</v>
      </c>
    </row>
    <row r="707" spans="1:22" x14ac:dyDescent="0.2">
      <c r="A707" t="str">
        <f>"324.2 BRA"</f>
        <v>324.2 BRA</v>
      </c>
      <c r="B707" t="str">
        <f>"forgotten: how the people of one Pennsyl"</f>
        <v>forgotten: how the people of one Pennsyl</v>
      </c>
      <c r="C707">
        <v>351132</v>
      </c>
      <c r="D707" t="str">
        <f>"Bradlee, Ben,"</f>
        <v>Bradlee, Ben,</v>
      </c>
      <c r="F707" t="str">
        <f>"vii, 295 pages, 25 cm, illustrations, map"</f>
        <v>vii, 295 pages, 25 cm, illustrations, map</v>
      </c>
      <c r="G707" s="1">
        <v>18</v>
      </c>
      <c r="H707">
        <v>2018</v>
      </c>
      <c r="I707" t="str">
        <f t="shared" si="26"/>
        <v>9: 300 - 399</v>
      </c>
      <c r="K707" t="str">
        <f t="shared" si="28"/>
        <v>WB - In</v>
      </c>
      <c r="L707" s="1">
        <v>33</v>
      </c>
      <c r="M707" t="s">
        <v>671</v>
      </c>
      <c r="O707" t="s">
        <v>28</v>
      </c>
      <c r="P707">
        <v>1</v>
      </c>
      <c r="Q707">
        <v>1</v>
      </c>
      <c r="R707">
        <v>2</v>
      </c>
      <c r="S707" s="2">
        <v>43410</v>
      </c>
      <c r="T707" s="2">
        <v>43614</v>
      </c>
      <c r="U707" s="2">
        <v>43585</v>
      </c>
      <c r="V707" s="2">
        <v>43615</v>
      </c>
    </row>
    <row r="708" spans="1:22" x14ac:dyDescent="0.2">
      <c r="A708" t="str">
        <f>"324.2 BRA"</f>
        <v>324.2 BRA</v>
      </c>
      <c r="B708" t="str">
        <f>"Hacks: the inside story of the break-ins"</f>
        <v>Hacks: the inside story of the break-ins</v>
      </c>
      <c r="C708">
        <v>344944</v>
      </c>
      <c r="D708" t="str">
        <f>"Brazile, Donna"</f>
        <v>Brazile, Donna</v>
      </c>
      <c r="F708" t="str">
        <f>"xx, 268 pages, 24 cm, illustration"</f>
        <v>xx, 268 pages, 24 cm, illustration</v>
      </c>
      <c r="G708" s="1">
        <v>17</v>
      </c>
      <c r="H708">
        <v>2017</v>
      </c>
      <c r="I708" t="str">
        <f t="shared" si="26"/>
        <v>9: 300 - 399</v>
      </c>
      <c r="K708" t="str">
        <f>"LL - In"</f>
        <v>LL - In</v>
      </c>
      <c r="L708" s="1">
        <v>33</v>
      </c>
      <c r="M708" t="s">
        <v>672</v>
      </c>
      <c r="O708" t="s">
        <v>28</v>
      </c>
      <c r="P708">
        <v>6</v>
      </c>
      <c r="Q708">
        <v>1</v>
      </c>
      <c r="R708">
        <v>7</v>
      </c>
      <c r="S708" s="2">
        <v>43069</v>
      </c>
      <c r="T708" s="2">
        <v>43278</v>
      </c>
      <c r="U708" s="2">
        <v>43247</v>
      </c>
      <c r="V708" s="2">
        <v>43506</v>
      </c>
    </row>
    <row r="709" spans="1:22" x14ac:dyDescent="0.2">
      <c r="A709" t="str">
        <f>"324.2 DSO"</f>
        <v>324.2 DSO</v>
      </c>
      <c r="B709" t="str">
        <f>"Death of a nation: plantation politics a"</f>
        <v>Death of a nation: plantation politics a</v>
      </c>
      <c r="C709">
        <v>349850</v>
      </c>
      <c r="D709" t="str">
        <f>"D'Souza, Dinesh"</f>
        <v>D'Souza, Dinesh</v>
      </c>
      <c r="F709" t="str">
        <f>"xvi, 318 pages, 25 cm"</f>
        <v>xvi, 318 pages, 25 cm</v>
      </c>
      <c r="G709" s="1">
        <v>18</v>
      </c>
      <c r="H709">
        <v>2018</v>
      </c>
      <c r="I709" t="str">
        <f t="shared" si="26"/>
        <v>9: 300 - 399</v>
      </c>
      <c r="K709" t="str">
        <f>"LL - In"</f>
        <v>LL - In</v>
      </c>
      <c r="L709" s="1">
        <v>35</v>
      </c>
      <c r="M709" t="s">
        <v>673</v>
      </c>
      <c r="O709" t="s">
        <v>28</v>
      </c>
      <c r="P709">
        <v>7</v>
      </c>
      <c r="Q709">
        <v>0</v>
      </c>
      <c r="R709">
        <v>7</v>
      </c>
      <c r="S709" s="2">
        <v>43354</v>
      </c>
      <c r="T709" s="2">
        <v>43539</v>
      </c>
      <c r="U709" s="2">
        <v>43528</v>
      </c>
    </row>
    <row r="710" spans="1:22" x14ac:dyDescent="0.2">
      <c r="A710" t="str">
        <f>"324.2 FAR"</f>
        <v>324.2 FAR</v>
      </c>
      <c r="B710" t="str">
        <f>"It's time to fight dirty: how Democrats "</f>
        <v xml:space="preserve">It's time to fight dirty: how Democrats </v>
      </c>
      <c r="C710">
        <v>348016</v>
      </c>
      <c r="D710" t="str">
        <f>"Faris, David M."</f>
        <v>Faris, David M.</v>
      </c>
      <c r="F710" t="str">
        <f>"xxv, 178 pages, 24 cm"</f>
        <v>xxv, 178 pages, 24 cm</v>
      </c>
      <c r="G710" s="1">
        <v>18</v>
      </c>
      <c r="H710">
        <v>2018</v>
      </c>
      <c r="I710" t="str">
        <f t="shared" si="26"/>
        <v>9: 300 - 399</v>
      </c>
      <c r="K710" t="str">
        <f>"WB - In"</f>
        <v>WB - In</v>
      </c>
      <c r="L710" s="1">
        <v>30</v>
      </c>
      <c r="M710" t="s">
        <v>674</v>
      </c>
      <c r="O710" t="s">
        <v>28</v>
      </c>
      <c r="P710">
        <v>1</v>
      </c>
      <c r="Q710">
        <v>0</v>
      </c>
      <c r="R710">
        <v>1</v>
      </c>
      <c r="S710" s="2">
        <v>43257</v>
      </c>
      <c r="T710" s="2">
        <v>43418</v>
      </c>
      <c r="U710" s="2">
        <v>43290</v>
      </c>
    </row>
    <row r="711" spans="1:22" x14ac:dyDescent="0.2">
      <c r="A711" t="str">
        <f>"324.2 GOL"</f>
        <v>324.2 GOL</v>
      </c>
      <c r="B711" t="str">
        <f>"Frank &amp; Al: FDR, Al Smith, and the unlik"</f>
        <v>Frank &amp; Al: FDR, Al Smith, and the unlik</v>
      </c>
      <c r="C711">
        <v>350512</v>
      </c>
      <c r="D711" t="str">
        <f>"Golway, Terry,"</f>
        <v>Golway, Terry,</v>
      </c>
      <c r="F711" t="str">
        <f>"322 pages, 8 unnumbered pages of plates, 25 cm, illustrations"</f>
        <v>322 pages, 8 unnumbered pages of plates, 25 cm, illustrations</v>
      </c>
      <c r="G711" s="1">
        <v>18</v>
      </c>
      <c r="H711">
        <v>2018</v>
      </c>
      <c r="I711" t="str">
        <f t="shared" si="26"/>
        <v>9: 300 - 399</v>
      </c>
      <c r="K711" t="str">
        <f>"LL - In"</f>
        <v>LL - In</v>
      </c>
      <c r="L711" s="1">
        <v>35</v>
      </c>
      <c r="M711" t="s">
        <v>675</v>
      </c>
      <c r="O711" t="s">
        <v>28</v>
      </c>
      <c r="P711">
        <v>1</v>
      </c>
      <c r="Q711">
        <v>0</v>
      </c>
      <c r="R711">
        <v>1</v>
      </c>
      <c r="S711" s="2">
        <v>43383</v>
      </c>
      <c r="T711" s="2">
        <v>43579</v>
      </c>
      <c r="U711" s="2">
        <v>43388</v>
      </c>
    </row>
    <row r="712" spans="1:22" x14ac:dyDescent="0.2">
      <c r="A712" t="str">
        <f>"324.2 GRE"</f>
        <v>324.2 GRE</v>
      </c>
      <c r="B712" t="str">
        <f>"Devil's bargain: Steve Bannon, Donald Tr"</f>
        <v>Devil's bargain: Steve Bannon, Donald Tr</v>
      </c>
      <c r="C712">
        <v>342747</v>
      </c>
      <c r="D712" t="str">
        <f>"Green, Joshua"</f>
        <v>Green, Joshua</v>
      </c>
      <c r="F712" t="str">
        <f>"xiii, 272 pages, 25 cm"</f>
        <v>xiii, 272 pages, 25 cm</v>
      </c>
      <c r="G712" s="1">
        <v>17</v>
      </c>
      <c r="H712">
        <v>2017</v>
      </c>
      <c r="I712" t="str">
        <f t="shared" ref="I712:I775" si="29">"9: 300 - 399"</f>
        <v>9: 300 - 399</v>
      </c>
      <c r="K712" t="str">
        <f>"WB - In"</f>
        <v>WB - In</v>
      </c>
      <c r="L712" s="1">
        <v>32</v>
      </c>
      <c r="M712" t="s">
        <v>676</v>
      </c>
      <c r="O712" t="s">
        <v>28</v>
      </c>
      <c r="P712">
        <v>9</v>
      </c>
      <c r="Q712">
        <v>2</v>
      </c>
      <c r="R712">
        <v>11</v>
      </c>
      <c r="S712" s="2">
        <v>42947</v>
      </c>
      <c r="T712" s="2">
        <v>43121</v>
      </c>
      <c r="U712" s="2">
        <v>43187</v>
      </c>
      <c r="V712" s="2">
        <v>43252</v>
      </c>
    </row>
    <row r="713" spans="1:22" x14ac:dyDescent="0.2">
      <c r="A713" t="str">
        <f>"324.2 GRE"</f>
        <v>324.2 GRE</v>
      </c>
      <c r="B713" t="str">
        <f>"Devil's bargain: Steve Bannon, Donald Tr"</f>
        <v>Devil's bargain: Steve Bannon, Donald Tr</v>
      </c>
      <c r="C713">
        <v>342748</v>
      </c>
      <c r="D713" t="str">
        <f>"Green, Joshua"</f>
        <v>Green, Joshua</v>
      </c>
      <c r="F713" t="str">
        <f>"xiii, 272 pages, 25 cm"</f>
        <v>xiii, 272 pages, 25 cm</v>
      </c>
      <c r="G713" s="1">
        <v>17</v>
      </c>
      <c r="H713">
        <v>2017</v>
      </c>
      <c r="I713" t="str">
        <f t="shared" si="29"/>
        <v>9: 300 - 399</v>
      </c>
      <c r="K713" t="str">
        <f>"LL - In"</f>
        <v>LL - In</v>
      </c>
      <c r="L713" s="1">
        <v>32</v>
      </c>
      <c r="M713" t="s">
        <v>676</v>
      </c>
      <c r="O713" t="s">
        <v>28</v>
      </c>
      <c r="P713">
        <v>7</v>
      </c>
      <c r="Q713">
        <v>0</v>
      </c>
      <c r="R713">
        <v>7</v>
      </c>
      <c r="S713" s="2">
        <v>42947</v>
      </c>
      <c r="T713" s="2">
        <v>43124</v>
      </c>
      <c r="U713" s="2">
        <v>43489</v>
      </c>
    </row>
    <row r="714" spans="1:22" x14ac:dyDescent="0.2">
      <c r="A714" t="str">
        <f>"324.2 LAK"</f>
        <v>324.2 LAK</v>
      </c>
      <c r="B714" t="str">
        <f>"Unprecedented: the election that changed"</f>
        <v>Unprecedented: the election that changed</v>
      </c>
      <c r="C714">
        <v>338889</v>
      </c>
      <c r="D714" t="str">
        <f>"Lake, Thomas"</f>
        <v>Lake, Thomas</v>
      </c>
      <c r="F714" t="str">
        <f>"288 pages, 29 cm, color illustrations, color maps"</f>
        <v>288 pages, 29 cm, color illustrations, color maps</v>
      </c>
      <c r="G714" s="1">
        <v>16</v>
      </c>
      <c r="H714">
        <v>2016</v>
      </c>
      <c r="I714" t="str">
        <f t="shared" si="29"/>
        <v>9: 300 - 399</v>
      </c>
      <c r="K714" t="str">
        <f>"WB - In"</f>
        <v>WB - In</v>
      </c>
      <c r="L714" s="1">
        <v>45</v>
      </c>
      <c r="M714" t="s">
        <v>677</v>
      </c>
      <c r="O714" t="s">
        <v>28</v>
      </c>
      <c r="P714">
        <v>4</v>
      </c>
      <c r="Q714">
        <v>0</v>
      </c>
      <c r="R714">
        <v>5</v>
      </c>
      <c r="S714" s="2">
        <v>42727</v>
      </c>
      <c r="T714" s="2">
        <v>42864</v>
      </c>
      <c r="U714" s="2">
        <v>42846</v>
      </c>
    </row>
    <row r="715" spans="1:22" x14ac:dyDescent="0.2">
      <c r="A715" t="str">
        <f>"324.2 LEW"</f>
        <v>324.2 LEW</v>
      </c>
      <c r="B715" t="str">
        <f>"Let Trump be Trump: the inside story of "</f>
        <v xml:space="preserve">Let Trump be Trump: the inside story of </v>
      </c>
      <c r="C715">
        <v>345291</v>
      </c>
      <c r="D715" t="str">
        <f>"Lewandowski, Corey R."</f>
        <v>Lewandowski, Corey R.</v>
      </c>
      <c r="F715" t="str">
        <f>"278 pages, 24 cm, color illustrations"</f>
        <v>278 pages, 24 cm, color illustrations</v>
      </c>
      <c r="G715" s="1">
        <v>17</v>
      </c>
      <c r="H715">
        <v>2017</v>
      </c>
      <c r="I715" t="str">
        <f t="shared" si="29"/>
        <v>9: 300 - 399</v>
      </c>
      <c r="K715" t="str">
        <f>"LL - In"</f>
        <v>LL - In</v>
      </c>
      <c r="L715" s="1">
        <v>32</v>
      </c>
      <c r="M715" t="s">
        <v>678</v>
      </c>
      <c r="O715" t="s">
        <v>28</v>
      </c>
      <c r="P715">
        <v>6</v>
      </c>
      <c r="Q715">
        <v>0</v>
      </c>
      <c r="R715">
        <v>6</v>
      </c>
      <c r="S715" s="2">
        <v>43087</v>
      </c>
      <c r="T715" s="2">
        <v>43287</v>
      </c>
      <c r="U715" s="2">
        <v>43261</v>
      </c>
    </row>
    <row r="716" spans="1:22" x14ac:dyDescent="0.2">
      <c r="A716" t="str">
        <f>"324.2 LEW"</f>
        <v>324.2 LEW</v>
      </c>
      <c r="B716" t="str">
        <f>"Too dumb to fail: how the GOP betrayed t"</f>
        <v>Too dumb to fail: how the GOP betrayed t</v>
      </c>
      <c r="C716">
        <v>333069</v>
      </c>
      <c r="D716" t="str">
        <f>"Lewis, Matt K.,"</f>
        <v>Lewis, Matt K.,</v>
      </c>
      <c r="F716" t="str">
        <f>"xxvi, 320 pages, 24 cm"</f>
        <v>xxvi, 320 pages, 24 cm</v>
      </c>
      <c r="G716" s="1">
        <v>16</v>
      </c>
      <c r="H716">
        <v>2016</v>
      </c>
      <c r="I716" t="str">
        <f t="shared" si="29"/>
        <v>9: 300 - 399</v>
      </c>
      <c r="K716" t="str">
        <f>"WB - In"</f>
        <v>WB - In</v>
      </c>
      <c r="L716" s="1">
        <v>33</v>
      </c>
      <c r="M716" t="s">
        <v>679</v>
      </c>
      <c r="O716" t="s">
        <v>28</v>
      </c>
      <c r="P716">
        <v>0</v>
      </c>
      <c r="Q716">
        <v>0</v>
      </c>
      <c r="R716">
        <v>7</v>
      </c>
      <c r="S716" s="2">
        <v>42411</v>
      </c>
      <c r="T716" s="2">
        <v>42624</v>
      </c>
      <c r="U716" s="2">
        <v>42589</v>
      </c>
    </row>
    <row r="717" spans="1:22" x14ac:dyDescent="0.2">
      <c r="A717" t="str">
        <f>"324.2 ODO"</f>
        <v>324.2 ODO</v>
      </c>
      <c r="B717" t="str">
        <f>"Playing with fire: the 1968 election and"</f>
        <v>Playing with fire: the 1968 election and</v>
      </c>
      <c r="C717">
        <v>345110</v>
      </c>
      <c r="D717" t="str">
        <f>"O'Donnell, Lawrence"</f>
        <v>O'Donnell, Lawrence</v>
      </c>
      <c r="F717" t="str">
        <f>"484 pages, 25 cm, illustrations"</f>
        <v>484 pages, 25 cm, illustrations</v>
      </c>
      <c r="G717" s="1">
        <v>17</v>
      </c>
      <c r="H717">
        <v>2017</v>
      </c>
      <c r="I717" t="str">
        <f t="shared" si="29"/>
        <v>9: 300 - 399</v>
      </c>
      <c r="K717" t="str">
        <f>"LL - In"</f>
        <v>LL - In</v>
      </c>
      <c r="L717" s="1">
        <v>33</v>
      </c>
      <c r="M717" t="s">
        <v>680</v>
      </c>
      <c r="O717" t="s">
        <v>28</v>
      </c>
      <c r="P717">
        <v>4</v>
      </c>
      <c r="Q717">
        <v>0</v>
      </c>
      <c r="R717">
        <v>4</v>
      </c>
      <c r="S717" s="2">
        <v>43080</v>
      </c>
      <c r="T717" s="2">
        <v>43278</v>
      </c>
      <c r="U717" s="2">
        <v>43598</v>
      </c>
    </row>
    <row r="718" spans="1:22" x14ac:dyDescent="0.2">
      <c r="A718" t="str">
        <f>"324.2 OPP"</f>
        <v>324.2 OPP</v>
      </c>
      <c r="B718" t="str">
        <f>"Exit right: the people who left the Left"</f>
        <v>Exit right: the people who left the Left</v>
      </c>
      <c r="C718">
        <v>332789</v>
      </c>
      <c r="D718" t="str">
        <f>"Oppenheimer, Daniel"</f>
        <v>Oppenheimer, Daniel</v>
      </c>
      <c r="F718" t="str">
        <f>"x, 403 pages, 24 cm"</f>
        <v>x, 403 pages, 24 cm</v>
      </c>
      <c r="G718" s="1">
        <v>16</v>
      </c>
      <c r="H718">
        <v>2016</v>
      </c>
      <c r="I718" t="str">
        <f t="shared" si="29"/>
        <v>9: 300 - 399</v>
      </c>
      <c r="K718" t="str">
        <f>"WB - In"</f>
        <v>WB - In</v>
      </c>
      <c r="L718" s="1">
        <v>33</v>
      </c>
      <c r="M718" t="s">
        <v>681</v>
      </c>
      <c r="O718" t="s">
        <v>28</v>
      </c>
      <c r="P718">
        <v>3</v>
      </c>
      <c r="Q718">
        <v>0</v>
      </c>
      <c r="R718">
        <v>6</v>
      </c>
      <c r="S718" s="2">
        <v>42402</v>
      </c>
      <c r="T718" s="2">
        <v>42560</v>
      </c>
      <c r="U718" s="2">
        <v>43534</v>
      </c>
    </row>
    <row r="719" spans="1:22" x14ac:dyDescent="0.2">
      <c r="A719" t="str">
        <f>"324.2 ORO"</f>
        <v>324.2 ORO</v>
      </c>
      <c r="B719" t="str">
        <f>"How the hell did this happen?: the elect"</f>
        <v>How the hell did this happen?: the elect</v>
      </c>
      <c r="C719">
        <v>342301</v>
      </c>
      <c r="D719" t="str">
        <f>"O'Rourke, P. J."</f>
        <v>O'Rourke, P. J.</v>
      </c>
      <c r="F719" t="str">
        <f>"xiv, 216 pages, 22 cm"</f>
        <v>xiv, 216 pages, 22 cm</v>
      </c>
      <c r="G719" s="1">
        <v>17</v>
      </c>
      <c r="H719">
        <v>2017</v>
      </c>
      <c r="I719" t="str">
        <f t="shared" si="29"/>
        <v>9: 300 - 399</v>
      </c>
      <c r="K719" t="str">
        <f>"WB - In"</f>
        <v>WB - In</v>
      </c>
      <c r="L719" s="1">
        <v>30</v>
      </c>
      <c r="M719" t="s">
        <v>682</v>
      </c>
      <c r="O719" t="s">
        <v>28</v>
      </c>
      <c r="P719">
        <v>9</v>
      </c>
      <c r="Q719">
        <v>0</v>
      </c>
      <c r="R719">
        <v>9</v>
      </c>
      <c r="S719" s="2">
        <v>42919</v>
      </c>
      <c r="T719" s="2">
        <v>43128</v>
      </c>
      <c r="U719" s="2">
        <v>43478</v>
      </c>
    </row>
    <row r="720" spans="1:22" x14ac:dyDescent="0.2">
      <c r="A720" t="str">
        <f>"324.2 RAD"</f>
        <v>324.2 RAD</v>
      </c>
      <c r="B720" t="str">
        <f>"Radical hope: letters of love and dissen"</f>
        <v>Radical hope: letters of love and dissen</v>
      </c>
      <c r="C720">
        <v>341488</v>
      </c>
      <c r="F720" t="str">
        <f>"x, 258 pages, 21 cm"</f>
        <v>x, 258 pages, 21 cm</v>
      </c>
      <c r="G720" s="1">
        <v>17</v>
      </c>
      <c r="H720">
        <v>2017</v>
      </c>
      <c r="I720" t="str">
        <f t="shared" si="29"/>
        <v>9: 300 - 399</v>
      </c>
      <c r="K720" t="str">
        <f>"LL - In"</f>
        <v>LL - In</v>
      </c>
      <c r="L720" s="1">
        <v>21</v>
      </c>
      <c r="M720" t="s">
        <v>683</v>
      </c>
      <c r="O720" t="s">
        <v>28</v>
      </c>
      <c r="P720">
        <v>6</v>
      </c>
      <c r="Q720">
        <v>0</v>
      </c>
      <c r="R720">
        <v>6</v>
      </c>
      <c r="S720" s="2">
        <v>42879</v>
      </c>
      <c r="T720" s="2">
        <v>43015</v>
      </c>
      <c r="U720" s="2">
        <v>43327</v>
      </c>
    </row>
    <row r="721" spans="1:22" x14ac:dyDescent="0.2">
      <c r="A721" t="str">
        <f>"324.2 ROG"</f>
        <v>324.2 ROG</v>
      </c>
      <c r="B721" t="str">
        <f>"Turning Texas blue: what it will take to"</f>
        <v>Turning Texas blue: what it will take to</v>
      </c>
      <c r="C721">
        <v>333072</v>
      </c>
      <c r="D721" t="str">
        <f>"Rogers, Mary Beth."</f>
        <v>Rogers, Mary Beth.</v>
      </c>
      <c r="F721" t="str">
        <f>"246 pages, 25 cm"</f>
        <v>246 pages, 25 cm</v>
      </c>
      <c r="G721" s="1">
        <v>16</v>
      </c>
      <c r="H721">
        <v>2016</v>
      </c>
      <c r="I721" t="str">
        <f t="shared" si="29"/>
        <v>9: 300 - 399</v>
      </c>
      <c r="K721" t="str">
        <f>"LL - In"</f>
        <v>LL - In</v>
      </c>
      <c r="L721" s="1">
        <v>32</v>
      </c>
      <c r="M721" t="s">
        <v>684</v>
      </c>
      <c r="O721" t="s">
        <v>28</v>
      </c>
      <c r="P721">
        <v>1</v>
      </c>
      <c r="Q721">
        <v>1</v>
      </c>
      <c r="R721">
        <v>10</v>
      </c>
      <c r="S721" s="2">
        <v>42411</v>
      </c>
      <c r="T721" s="2">
        <v>42607</v>
      </c>
      <c r="U721" s="2">
        <v>43473</v>
      </c>
      <c r="V721" s="2">
        <v>43789</v>
      </c>
    </row>
    <row r="722" spans="1:22" x14ac:dyDescent="0.2">
      <c r="A722" t="str">
        <f>"324.2 STI"</f>
        <v>324.2 STI</v>
      </c>
      <c r="B722" t="str">
        <f>"Every man a king: a short, colorful hist"</f>
        <v>Every man a king: a short, colorful hist</v>
      </c>
      <c r="C722">
        <v>350139</v>
      </c>
      <c r="D722" t="str">
        <f>"Stirewalt, Chris"</f>
        <v>Stirewalt, Chris</v>
      </c>
      <c r="F722" t="str">
        <f>"210 pages, 8 unnumbered pages of plates, 24 cm, illustrations (some color)"</f>
        <v>210 pages, 8 unnumbered pages of plates, 24 cm, illustrations (some color)</v>
      </c>
      <c r="G722" s="1">
        <v>18</v>
      </c>
      <c r="H722">
        <v>2018</v>
      </c>
      <c r="I722" t="str">
        <f t="shared" si="29"/>
        <v>9: 300 - 399</v>
      </c>
      <c r="K722" t="str">
        <f>"LL - In"</f>
        <v>LL - In</v>
      </c>
      <c r="L722" s="1">
        <v>33</v>
      </c>
      <c r="M722" t="s">
        <v>685</v>
      </c>
      <c r="O722" t="s">
        <v>28</v>
      </c>
      <c r="P722">
        <v>3</v>
      </c>
      <c r="Q722">
        <v>0</v>
      </c>
      <c r="R722">
        <v>3</v>
      </c>
      <c r="S722" s="2">
        <v>43368</v>
      </c>
      <c r="T722" s="2">
        <v>43539</v>
      </c>
      <c r="U722" s="2">
        <v>43506</v>
      </c>
    </row>
    <row r="723" spans="1:22" x14ac:dyDescent="0.2">
      <c r="A723" t="str">
        <f>"324.2 STO"</f>
        <v>324.2 STO</v>
      </c>
      <c r="B723" t="str">
        <f>"Trump survival guide: everything you nee"</f>
        <v>Trump survival guide: everything you nee</v>
      </c>
      <c r="C723">
        <v>339239</v>
      </c>
      <c r="D723" t="str">
        <f>"Stone, Gene,"</f>
        <v>Stone, Gene,</v>
      </c>
      <c r="F723" t="str">
        <f>"194 pages, 19 cm"</f>
        <v>194 pages, 19 cm</v>
      </c>
      <c r="G723" s="1">
        <v>17</v>
      </c>
      <c r="H723">
        <v>2017</v>
      </c>
      <c r="I723" t="str">
        <f t="shared" si="29"/>
        <v>9: 300 - 399</v>
      </c>
      <c r="K723" t="str">
        <f>"LL - In"</f>
        <v>LL - In</v>
      </c>
      <c r="L723" s="1">
        <v>15</v>
      </c>
      <c r="M723" t="s">
        <v>686</v>
      </c>
      <c r="O723" t="s">
        <v>28</v>
      </c>
      <c r="P723">
        <v>9</v>
      </c>
      <c r="Q723">
        <v>1</v>
      </c>
      <c r="R723">
        <v>11</v>
      </c>
      <c r="S723" s="2">
        <v>42755</v>
      </c>
      <c r="T723" s="2">
        <v>42907</v>
      </c>
      <c r="U723" s="2">
        <v>43143</v>
      </c>
      <c r="V723" s="2">
        <v>43457</v>
      </c>
    </row>
    <row r="724" spans="1:22" x14ac:dyDescent="0.2">
      <c r="A724" t="str">
        <f>"324.2 STO"</f>
        <v>324.2 STO</v>
      </c>
      <c r="B724" t="str">
        <f>"Trump survival guide: everything you nee"</f>
        <v>Trump survival guide: everything you nee</v>
      </c>
      <c r="C724">
        <v>340011</v>
      </c>
      <c r="D724" t="str">
        <f>"Stone, Gene,"</f>
        <v>Stone, Gene,</v>
      </c>
      <c r="F724" t="str">
        <f>"194 pages, 19 cm"</f>
        <v>194 pages, 19 cm</v>
      </c>
      <c r="G724" s="1">
        <v>17</v>
      </c>
      <c r="H724">
        <v>2017</v>
      </c>
      <c r="I724" t="str">
        <f t="shared" si="29"/>
        <v>9: 300 - 399</v>
      </c>
      <c r="K724" t="str">
        <f>"WB - In"</f>
        <v>WB - In</v>
      </c>
      <c r="L724" s="1">
        <v>15</v>
      </c>
      <c r="M724" t="s">
        <v>686</v>
      </c>
      <c r="O724" t="s">
        <v>28</v>
      </c>
      <c r="P724">
        <v>13</v>
      </c>
      <c r="Q724">
        <v>1</v>
      </c>
      <c r="R724">
        <v>14</v>
      </c>
      <c r="S724" s="2">
        <v>42793</v>
      </c>
      <c r="T724" s="2">
        <v>43068</v>
      </c>
      <c r="U724" s="2">
        <v>43053</v>
      </c>
      <c r="V724" s="2">
        <v>42938</v>
      </c>
    </row>
    <row r="725" spans="1:22" x14ac:dyDescent="0.2">
      <c r="A725" t="str">
        <f>"324.2 TAI"</f>
        <v>324.2 TAI</v>
      </c>
      <c r="B725" t="str">
        <f>"Insane clown president: dispatches from "</f>
        <v xml:space="preserve">Insane clown president: dispatches from </v>
      </c>
      <c r="C725">
        <v>339467</v>
      </c>
      <c r="D725" t="str">
        <f>"Taibbi, Matt"</f>
        <v>Taibbi, Matt</v>
      </c>
      <c r="F725" t="str">
        <f>"xxxvi, 314 pages, 22 cm, illustrations"</f>
        <v>xxxvi, 314 pages, 22 cm, illustrations</v>
      </c>
      <c r="G725" s="1">
        <v>17</v>
      </c>
      <c r="H725">
        <v>2017</v>
      </c>
      <c r="I725" t="str">
        <f t="shared" si="29"/>
        <v>9: 300 - 399</v>
      </c>
      <c r="K725" t="str">
        <f>"LL - In"</f>
        <v>LL - In</v>
      </c>
      <c r="L725" s="1">
        <v>31</v>
      </c>
      <c r="M725" t="s">
        <v>687</v>
      </c>
      <c r="O725" t="s">
        <v>28</v>
      </c>
      <c r="P725">
        <v>15</v>
      </c>
      <c r="Q725">
        <v>2</v>
      </c>
      <c r="R725">
        <v>17</v>
      </c>
      <c r="S725" s="2">
        <v>42772</v>
      </c>
      <c r="T725" s="2">
        <v>42996</v>
      </c>
      <c r="U725" s="2">
        <v>43327</v>
      </c>
      <c r="V725" s="2">
        <v>43482</v>
      </c>
    </row>
    <row r="726" spans="1:22" x14ac:dyDescent="0.2">
      <c r="A726" t="str">
        <f>"324.2 TUR"</f>
        <v>324.2 TUR</v>
      </c>
      <c r="B726" t="str">
        <f>"Unbelievable my front-row seat to the cr"</f>
        <v>Unbelievable my front-row seat to the cr</v>
      </c>
      <c r="C726">
        <v>296840</v>
      </c>
      <c r="G726" s="1">
        <v>17</v>
      </c>
      <c r="I726" t="str">
        <f t="shared" si="29"/>
        <v>9: 300 - 399</v>
      </c>
      <c r="K726" t="str">
        <f>"WB - Pending"</f>
        <v>WB - Pending</v>
      </c>
      <c r="L726" s="1">
        <v>32</v>
      </c>
      <c r="O726" t="s">
        <v>28</v>
      </c>
      <c r="P726">
        <v>14</v>
      </c>
      <c r="Q726">
        <v>3</v>
      </c>
      <c r="R726">
        <v>17</v>
      </c>
      <c r="S726" s="2">
        <v>42992</v>
      </c>
      <c r="T726" s="2">
        <v>43844</v>
      </c>
      <c r="U726" s="2">
        <v>43746</v>
      </c>
      <c r="V726" s="2">
        <v>43766</v>
      </c>
    </row>
    <row r="727" spans="1:22" x14ac:dyDescent="0.2">
      <c r="A727" t="str">
        <f>"324.2 WHA"</f>
        <v>324.2 WHA</v>
      </c>
      <c r="B727" t="str">
        <f>"What we do now: standing up for your val"</f>
        <v>What we do now: standing up for your val</v>
      </c>
      <c r="C727">
        <v>293084</v>
      </c>
      <c r="F727" t="str">
        <f>"x, 211 pages, 21 cm"</f>
        <v>x, 211 pages, 21 cm</v>
      </c>
      <c r="G727" s="1">
        <v>17</v>
      </c>
      <c r="H727">
        <v>2017</v>
      </c>
      <c r="I727" t="str">
        <f t="shared" si="29"/>
        <v>9: 300 - 399</v>
      </c>
      <c r="K727" t="str">
        <f>"LL - In"</f>
        <v>LL - In</v>
      </c>
      <c r="L727" s="1">
        <v>21</v>
      </c>
      <c r="M727" t="s">
        <v>688</v>
      </c>
      <c r="O727" t="s">
        <v>28</v>
      </c>
      <c r="P727">
        <v>8</v>
      </c>
      <c r="Q727">
        <v>0</v>
      </c>
      <c r="R727">
        <v>8</v>
      </c>
      <c r="S727" s="2">
        <v>42775</v>
      </c>
      <c r="T727" s="2">
        <v>42984</v>
      </c>
      <c r="U727" s="2">
        <v>42946</v>
      </c>
    </row>
    <row r="728" spans="1:22" x14ac:dyDescent="0.2">
      <c r="A728" t="str">
        <f>"324.2 WHI"</f>
        <v>324.2 WHI</v>
      </c>
      <c r="B728" t="str">
        <f>"What happened to the Republican party?: "</f>
        <v xml:space="preserve">What happened to the Republican party?: </v>
      </c>
      <c r="C728">
        <v>332870</v>
      </c>
      <c r="D728" t="str">
        <f>"White, John Kenneth,"</f>
        <v>White, John Kenneth,</v>
      </c>
      <c r="F728" t="str">
        <f>"152 p."</f>
        <v>152 p.</v>
      </c>
      <c r="G728" s="1">
        <v>16</v>
      </c>
      <c r="H728">
        <v>2016</v>
      </c>
      <c r="I728" t="str">
        <f t="shared" si="29"/>
        <v>9: 300 - 399</v>
      </c>
      <c r="K728" t="str">
        <f>"WB - In"</f>
        <v>WB - In</v>
      </c>
      <c r="L728" s="1">
        <v>40</v>
      </c>
      <c r="M728" t="s">
        <v>689</v>
      </c>
      <c r="O728" t="s">
        <v>28</v>
      </c>
      <c r="P728">
        <v>0</v>
      </c>
      <c r="Q728">
        <v>0</v>
      </c>
      <c r="R728">
        <v>3</v>
      </c>
      <c r="S728" s="2">
        <v>42402</v>
      </c>
      <c r="T728" s="2">
        <v>42572</v>
      </c>
      <c r="U728" s="2">
        <v>42527</v>
      </c>
    </row>
    <row r="729" spans="1:22" x14ac:dyDescent="0.2">
      <c r="A729" t="str">
        <f>"324.6 AND"</f>
        <v>324.6 AND</v>
      </c>
      <c r="B729" t="str">
        <f>"One person, no vote: how voter suppressi"</f>
        <v>One person, no vote: how voter suppressi</v>
      </c>
      <c r="C729">
        <v>350156</v>
      </c>
      <c r="D729" t="str">
        <f>"Anderson, Carol"</f>
        <v>Anderson, Carol</v>
      </c>
      <c r="F729" t="str">
        <f>"xi, 271 pages, 25 cm"</f>
        <v>xi, 271 pages, 25 cm</v>
      </c>
      <c r="G729" s="1">
        <v>18</v>
      </c>
      <c r="H729">
        <v>2018</v>
      </c>
      <c r="I729" t="str">
        <f t="shared" si="29"/>
        <v>9: 300 - 399</v>
      </c>
      <c r="K729" t="str">
        <f>"LL - In"</f>
        <v>LL - In</v>
      </c>
      <c r="L729" s="1">
        <v>32</v>
      </c>
      <c r="M729" t="s">
        <v>690</v>
      </c>
      <c r="O729" t="s">
        <v>28</v>
      </c>
      <c r="P729">
        <v>4</v>
      </c>
      <c r="Q729">
        <v>0</v>
      </c>
      <c r="R729">
        <v>5</v>
      </c>
      <c r="S729" s="2">
        <v>43368</v>
      </c>
      <c r="T729" s="2">
        <v>43523</v>
      </c>
      <c r="U729" s="2">
        <v>43688</v>
      </c>
    </row>
    <row r="730" spans="1:22" x14ac:dyDescent="0.2">
      <c r="A730" t="str">
        <f>"324.6 CAS"</f>
        <v>324.6 CAS</v>
      </c>
      <c r="B730" t="str">
        <f>"Mr. President, how long must we wait?: A"</f>
        <v>Mr. President, how long must we wait?: A</v>
      </c>
      <c r="C730">
        <v>353885</v>
      </c>
      <c r="D730" t="str">
        <f>"Cassidy, Tina"</f>
        <v>Cassidy, Tina</v>
      </c>
      <c r="F730" t="str">
        <f>"xii, 288 pages, 24 cm, illustrations"</f>
        <v>xii, 288 pages, 24 cm, illustrations</v>
      </c>
      <c r="G730" s="1">
        <v>19</v>
      </c>
      <c r="H730">
        <v>2019</v>
      </c>
      <c r="I730" t="str">
        <f t="shared" si="29"/>
        <v>9: 300 - 399</v>
      </c>
      <c r="K730" t="str">
        <f>"WB - In"</f>
        <v>WB - In</v>
      </c>
      <c r="L730" s="1">
        <v>33</v>
      </c>
      <c r="M730" t="s">
        <v>691</v>
      </c>
      <c r="O730" t="s">
        <v>28</v>
      </c>
      <c r="P730">
        <v>2</v>
      </c>
      <c r="Q730">
        <v>0</v>
      </c>
      <c r="R730">
        <v>2</v>
      </c>
      <c r="S730" s="2">
        <v>43556</v>
      </c>
      <c r="T730" s="2">
        <v>43712</v>
      </c>
      <c r="U730" s="2">
        <v>43642</v>
      </c>
    </row>
    <row r="731" spans="1:22" x14ac:dyDescent="0.2">
      <c r="A731" t="str">
        <f>"324.6 ISI"</f>
        <v>324.6 ISI</v>
      </c>
      <c r="B731" t="str">
        <f>"Russian roulette: the inside story of Pu"</f>
        <v>Russian roulette: the inside story of Pu</v>
      </c>
      <c r="C731">
        <v>347095</v>
      </c>
      <c r="D731" t="str">
        <f>"Isikoff, Michael"</f>
        <v>Isikoff, Michael</v>
      </c>
      <c r="F731" t="str">
        <f>"xi, 339 pages, 24 cm"</f>
        <v>xi, 339 pages, 24 cm</v>
      </c>
      <c r="G731" s="1">
        <v>18</v>
      </c>
      <c r="H731">
        <v>2018</v>
      </c>
      <c r="I731" t="str">
        <f t="shared" si="29"/>
        <v>9: 300 - 399</v>
      </c>
      <c r="K731" t="str">
        <f>"LL - Out"</f>
        <v>LL - Out</v>
      </c>
      <c r="L731" s="1">
        <v>35</v>
      </c>
      <c r="M731" t="s">
        <v>692</v>
      </c>
      <c r="O731" t="s">
        <v>28</v>
      </c>
      <c r="P731">
        <v>6</v>
      </c>
      <c r="Q731">
        <v>0</v>
      </c>
      <c r="R731">
        <v>6</v>
      </c>
      <c r="S731" s="2">
        <v>43199</v>
      </c>
      <c r="T731" s="2">
        <v>43362</v>
      </c>
      <c r="U731" s="2">
        <v>43855</v>
      </c>
    </row>
    <row r="732" spans="1:22" x14ac:dyDescent="0.2">
      <c r="A732" t="str">
        <f>"324.6 ISI"</f>
        <v>324.6 ISI</v>
      </c>
      <c r="B732" t="str">
        <f>"Russian roulette: the inside story of Pu"</f>
        <v>Russian roulette: the inside story of Pu</v>
      </c>
      <c r="C732">
        <v>348032</v>
      </c>
      <c r="D732" t="str">
        <f>"Isikoff, Michael"</f>
        <v>Isikoff, Michael</v>
      </c>
      <c r="F732" t="str">
        <f>"xi, 339 pages, 24 cm"</f>
        <v>xi, 339 pages, 24 cm</v>
      </c>
      <c r="G732" s="1">
        <v>18</v>
      </c>
      <c r="H732">
        <v>2018</v>
      </c>
      <c r="I732" t="str">
        <f t="shared" si="29"/>
        <v>9: 300 - 399</v>
      </c>
      <c r="K732" t="str">
        <f>"WB - In"</f>
        <v>WB - In</v>
      </c>
      <c r="L732" s="1">
        <v>35</v>
      </c>
      <c r="M732" t="s">
        <v>692</v>
      </c>
      <c r="O732" t="s">
        <v>28</v>
      </c>
      <c r="P732">
        <v>6</v>
      </c>
      <c r="Q732">
        <v>0</v>
      </c>
      <c r="R732">
        <v>6</v>
      </c>
      <c r="S732" s="2">
        <v>43257</v>
      </c>
      <c r="T732" s="2">
        <v>43418</v>
      </c>
      <c r="U732" s="2">
        <v>43405</v>
      </c>
    </row>
    <row r="733" spans="1:22" x14ac:dyDescent="0.2">
      <c r="A733" t="str">
        <f>"324.6 JAR"</f>
        <v>324.6 JAR</v>
      </c>
      <c r="B733" t="str">
        <f>"Russia hoax: the illicit scheme to clear"</f>
        <v>Russia hoax: the illicit scheme to clear</v>
      </c>
      <c r="C733">
        <v>348868</v>
      </c>
      <c r="D733" t="str">
        <f>"Jarrett, Gregg."</f>
        <v>Jarrett, Gregg.</v>
      </c>
      <c r="F733" t="str">
        <f>"286 p."</f>
        <v>286 p.</v>
      </c>
      <c r="G733" s="1">
        <v>18</v>
      </c>
      <c r="H733">
        <v>2018</v>
      </c>
      <c r="I733" t="str">
        <f t="shared" si="29"/>
        <v>9: 300 - 399</v>
      </c>
      <c r="K733" t="str">
        <f>"LL - In"</f>
        <v>LL - In</v>
      </c>
      <c r="L733" s="1">
        <v>34</v>
      </c>
      <c r="M733" t="s">
        <v>693</v>
      </c>
      <c r="O733" t="s">
        <v>28</v>
      </c>
      <c r="P733">
        <v>10</v>
      </c>
      <c r="Q733">
        <v>0</v>
      </c>
      <c r="R733">
        <v>10</v>
      </c>
      <c r="S733" s="2">
        <v>43300</v>
      </c>
      <c r="T733" s="2">
        <v>43474</v>
      </c>
      <c r="U733" s="2">
        <v>43735</v>
      </c>
    </row>
    <row r="734" spans="1:22" x14ac:dyDescent="0.2">
      <c r="A734" t="str">
        <f>"324.6 LIC"</f>
        <v>324.6 LIC</v>
      </c>
      <c r="B734" t="str">
        <f>"embattled vote in America: from the foun"</f>
        <v>embattled vote in America: from the foun</v>
      </c>
      <c r="C734">
        <v>350303</v>
      </c>
      <c r="D734" t="str">
        <f>"Lichtman, Allan J."</f>
        <v>Lichtman, Allan J.</v>
      </c>
      <c r="F734" t="str">
        <f>"xi, 315 pages, 22 cm"</f>
        <v>xi, 315 pages, 22 cm</v>
      </c>
      <c r="G734" s="1">
        <v>18</v>
      </c>
      <c r="H734">
        <v>2018</v>
      </c>
      <c r="I734" t="str">
        <f t="shared" si="29"/>
        <v>9: 300 - 399</v>
      </c>
      <c r="K734" t="str">
        <f>"WB - In"</f>
        <v>WB - In</v>
      </c>
      <c r="L734" s="1">
        <v>33</v>
      </c>
      <c r="M734" t="s">
        <v>694</v>
      </c>
      <c r="O734" t="s">
        <v>28</v>
      </c>
      <c r="P734">
        <v>1</v>
      </c>
      <c r="Q734">
        <v>0</v>
      </c>
      <c r="R734">
        <v>1</v>
      </c>
      <c r="S734" s="2">
        <v>43375</v>
      </c>
      <c r="T734" s="2">
        <v>43537</v>
      </c>
      <c r="U734" s="2">
        <v>43379</v>
      </c>
    </row>
    <row r="735" spans="1:22" x14ac:dyDescent="0.2">
      <c r="A735" t="str">
        <f>"324.6 MIL"</f>
        <v>324.6 MIL</v>
      </c>
      <c r="B735" t="str">
        <f>"apprentice: Trump, Russia and the subver"</f>
        <v>apprentice: Trump, Russia and the subver</v>
      </c>
      <c r="C735">
        <v>350642</v>
      </c>
      <c r="D735" t="str">
        <f>"Miller, Greg,"</f>
        <v>Miller, Greg,</v>
      </c>
      <c r="F735" t="str">
        <f>"x, 431 pages, 24 cm, illustrations"</f>
        <v>x, 431 pages, 24 cm, illustrations</v>
      </c>
      <c r="G735" s="1">
        <v>18</v>
      </c>
      <c r="H735">
        <v>2018</v>
      </c>
      <c r="I735" t="str">
        <f t="shared" si="29"/>
        <v>9: 300 - 399</v>
      </c>
      <c r="K735" t="str">
        <f>"WB - In"</f>
        <v>WB - In</v>
      </c>
      <c r="L735" s="1">
        <v>35</v>
      </c>
      <c r="M735" t="s">
        <v>695</v>
      </c>
      <c r="O735" t="s">
        <v>28</v>
      </c>
      <c r="P735">
        <v>4</v>
      </c>
      <c r="Q735">
        <v>0</v>
      </c>
      <c r="R735">
        <v>4</v>
      </c>
      <c r="S735" s="2">
        <v>43389</v>
      </c>
      <c r="T735" s="2">
        <v>43558</v>
      </c>
      <c r="U735" s="2">
        <v>43505</v>
      </c>
    </row>
    <row r="736" spans="1:22" x14ac:dyDescent="0.2">
      <c r="A736" t="str">
        <f>"324.6 NAN"</f>
        <v>324.6 NAN</v>
      </c>
      <c r="B736" t="str">
        <f>"plot to destroy democracy: how Putin and"</f>
        <v>plot to destroy democracy: how Putin and</v>
      </c>
      <c r="C736">
        <v>348644</v>
      </c>
      <c r="D736" t="str">
        <f>"Nance, Malcolm W."</f>
        <v>Nance, Malcolm W.</v>
      </c>
      <c r="F736" t="str">
        <f>"viii, 344 pages, 24 cm"</f>
        <v>viii, 344 pages, 24 cm</v>
      </c>
      <c r="G736" s="1">
        <v>18</v>
      </c>
      <c r="H736">
        <v>2018</v>
      </c>
      <c r="I736" t="str">
        <f t="shared" si="29"/>
        <v>9: 300 - 399</v>
      </c>
      <c r="K736" t="str">
        <f>"WB - In"</f>
        <v>WB - In</v>
      </c>
      <c r="L736" s="1">
        <v>33</v>
      </c>
      <c r="M736" t="s">
        <v>696</v>
      </c>
      <c r="O736" t="s">
        <v>28</v>
      </c>
      <c r="P736">
        <v>7</v>
      </c>
      <c r="Q736">
        <v>0</v>
      </c>
      <c r="R736">
        <v>7</v>
      </c>
      <c r="S736" s="2">
        <v>43292</v>
      </c>
      <c r="T736" s="2">
        <v>43461</v>
      </c>
      <c r="U736" s="2">
        <v>43463</v>
      </c>
    </row>
    <row r="737" spans="1:22" x14ac:dyDescent="0.2">
      <c r="A737" t="str">
        <f>"324.6 NAN"</f>
        <v>324.6 NAN</v>
      </c>
      <c r="B737" t="str">
        <f>"plot to hack America: how Putin's cybers"</f>
        <v>plot to hack America: how Putin's cybers</v>
      </c>
      <c r="C737">
        <v>342980</v>
      </c>
      <c r="D737" t="str">
        <f>"Nance, Malcolm W."</f>
        <v>Nance, Malcolm W.</v>
      </c>
      <c r="F737" t="str">
        <f>"xvii, 212 pages, 23 cm, illustrations"</f>
        <v>xvii, 212 pages, 23 cm, illustrations</v>
      </c>
      <c r="G737" s="1">
        <v>17</v>
      </c>
      <c r="H737">
        <v>2016</v>
      </c>
      <c r="I737" t="str">
        <f t="shared" si="29"/>
        <v>9: 300 - 399</v>
      </c>
      <c r="K737" t="str">
        <f>"WB - In"</f>
        <v>WB - In</v>
      </c>
      <c r="L737" s="1">
        <v>24</v>
      </c>
      <c r="M737" t="s">
        <v>697</v>
      </c>
      <c r="O737" t="s">
        <v>28</v>
      </c>
      <c r="P737">
        <v>7</v>
      </c>
      <c r="Q737">
        <v>0</v>
      </c>
      <c r="R737">
        <v>7</v>
      </c>
      <c r="S737" s="2">
        <v>42954</v>
      </c>
      <c r="T737" s="2">
        <v>43124</v>
      </c>
      <c r="U737" s="2">
        <v>43301</v>
      </c>
    </row>
    <row r="738" spans="1:22" x14ac:dyDescent="0.2">
      <c r="A738" t="str">
        <f>"324.6 WAL"</f>
        <v>324.6 WAL</v>
      </c>
      <c r="B738" t="str">
        <f>"fight to vote"</f>
        <v>fight to vote</v>
      </c>
      <c r="C738">
        <v>338670</v>
      </c>
      <c r="D738" t="str">
        <f>"Waldman, Michael,"</f>
        <v>Waldman, Michael,</v>
      </c>
      <c r="F738" t="str">
        <f>"xiv, 368 pages, 24 cm"</f>
        <v>xiv, 368 pages, 24 cm</v>
      </c>
      <c r="G738" s="1">
        <v>16</v>
      </c>
      <c r="H738">
        <v>2016</v>
      </c>
      <c r="I738" t="str">
        <f t="shared" si="29"/>
        <v>9: 300 - 399</v>
      </c>
      <c r="K738" t="str">
        <f>"LL - In"</f>
        <v>LL - In</v>
      </c>
      <c r="L738" s="1">
        <v>33</v>
      </c>
      <c r="M738" t="s">
        <v>698</v>
      </c>
      <c r="O738" t="s">
        <v>28</v>
      </c>
      <c r="P738">
        <v>1</v>
      </c>
      <c r="Q738">
        <v>0</v>
      </c>
      <c r="R738">
        <v>3</v>
      </c>
      <c r="S738" s="2">
        <v>42716</v>
      </c>
      <c r="T738" s="2">
        <v>42864</v>
      </c>
      <c r="U738" s="2">
        <v>43659</v>
      </c>
    </row>
    <row r="739" spans="1:22" x14ac:dyDescent="0.2">
      <c r="A739" t="str">
        <f>"324.6 WEI"</f>
        <v>324.6 WEI</v>
      </c>
      <c r="B739" t="str">
        <f>"woman's hour: the great fight to win the"</f>
        <v>woman's hour: the great fight to win the</v>
      </c>
      <c r="C739">
        <v>346831</v>
      </c>
      <c r="D739" t="str">
        <f>"Weiss, Elaine F.,"</f>
        <v>Weiss, Elaine F.,</v>
      </c>
      <c r="F739" t="str">
        <f>"404 pages, 24 cm, illustrations"</f>
        <v>404 pages, 24 cm, illustrations</v>
      </c>
      <c r="G739" s="1">
        <v>18</v>
      </c>
      <c r="H739">
        <v>2018</v>
      </c>
      <c r="I739" t="str">
        <f t="shared" si="29"/>
        <v>9: 300 - 399</v>
      </c>
      <c r="K739" t="str">
        <f>"WB - In"</f>
        <v>WB - In</v>
      </c>
      <c r="L739" s="1">
        <v>33</v>
      </c>
      <c r="M739" t="s">
        <v>699</v>
      </c>
      <c r="O739" t="s">
        <v>28</v>
      </c>
      <c r="P739">
        <v>10</v>
      </c>
      <c r="Q739">
        <v>0</v>
      </c>
      <c r="R739">
        <v>10</v>
      </c>
      <c r="S739" s="2">
        <v>43179</v>
      </c>
      <c r="T739" s="2">
        <v>43341</v>
      </c>
      <c r="U739" s="2">
        <v>43737</v>
      </c>
    </row>
    <row r="740" spans="1:22" x14ac:dyDescent="0.2">
      <c r="A740" t="str">
        <f>"324.6 WEI"</f>
        <v>324.6 WEI</v>
      </c>
      <c r="B740" t="str">
        <f>"woman's hour: the great fight to win the"</f>
        <v>woman's hour: the great fight to win the</v>
      </c>
      <c r="C740">
        <v>353452</v>
      </c>
      <c r="D740" t="str">
        <f>"Weiss, Elaine F.,"</f>
        <v>Weiss, Elaine F.,</v>
      </c>
      <c r="F740" t="str">
        <f>"404 pages, 24 cm, illustrations"</f>
        <v>404 pages, 24 cm, illustrations</v>
      </c>
      <c r="G740" s="1">
        <v>19</v>
      </c>
      <c r="H740">
        <v>2018</v>
      </c>
      <c r="I740" t="str">
        <f t="shared" si="29"/>
        <v>9: 300 - 399</v>
      </c>
      <c r="K740" t="str">
        <f>"LL - In"</f>
        <v>LL - In</v>
      </c>
      <c r="L740" s="1">
        <v>23</v>
      </c>
      <c r="M740" t="s">
        <v>699</v>
      </c>
      <c r="O740" t="s">
        <v>28</v>
      </c>
      <c r="P740">
        <v>1</v>
      </c>
      <c r="Q740">
        <v>0</v>
      </c>
      <c r="R740">
        <v>1</v>
      </c>
      <c r="S740" s="2">
        <v>43535</v>
      </c>
      <c r="T740" s="2">
        <v>43559</v>
      </c>
      <c r="U740" s="2">
        <v>43777</v>
      </c>
    </row>
    <row r="741" spans="1:22" x14ac:dyDescent="0.2">
      <c r="A741" t="str">
        <f>"324.7 FOU"</f>
        <v>324.7 FOU</v>
      </c>
      <c r="B741" t="str">
        <f>"Beautiful country burn again: democracy,"</f>
        <v>Beautiful country burn again: democracy,</v>
      </c>
      <c r="C741">
        <v>350361</v>
      </c>
      <c r="D741" t="str">
        <f>"Fountain, Ben."</f>
        <v>Fountain, Ben.</v>
      </c>
      <c r="F741" t="str">
        <f>"433 pages, 24 cm, illustrations"</f>
        <v>433 pages, 24 cm, illustrations</v>
      </c>
      <c r="G741" s="1">
        <v>18</v>
      </c>
      <c r="H741">
        <v>2018</v>
      </c>
      <c r="I741" t="str">
        <f t="shared" si="29"/>
        <v>9: 300 - 399</v>
      </c>
      <c r="K741" t="str">
        <f>"WB - In"</f>
        <v>WB - In</v>
      </c>
      <c r="L741" s="1">
        <v>33</v>
      </c>
      <c r="M741" t="s">
        <v>700</v>
      </c>
      <c r="O741" t="s">
        <v>28</v>
      </c>
      <c r="P741">
        <v>4</v>
      </c>
      <c r="Q741">
        <v>0</v>
      </c>
      <c r="R741">
        <v>5</v>
      </c>
      <c r="S741" s="2">
        <v>43374</v>
      </c>
      <c r="T741" s="2">
        <v>43530</v>
      </c>
      <c r="U741" s="2">
        <v>43463</v>
      </c>
    </row>
    <row r="742" spans="1:22" x14ac:dyDescent="0.2">
      <c r="A742" t="str">
        <f>"324.7 HUF"</f>
        <v>324.7 HUF</v>
      </c>
      <c r="B742" t="str">
        <f>"We're with nobody: two insiders reveal t"</f>
        <v>We're with nobody: two insiders reveal t</v>
      </c>
      <c r="C742">
        <v>333734</v>
      </c>
      <c r="D742" t="str">
        <f>"Huffman, Alan."</f>
        <v>Huffman, Alan.</v>
      </c>
      <c r="F742" t="str">
        <f>"191 p., 21 cm"</f>
        <v>191 p., 21 cm</v>
      </c>
      <c r="G742" s="1">
        <v>16</v>
      </c>
      <c r="H742">
        <v>2012</v>
      </c>
      <c r="I742" t="str">
        <f t="shared" si="29"/>
        <v>9: 300 - 399</v>
      </c>
      <c r="K742" t="str">
        <f>"WB - In"</f>
        <v>WB - In</v>
      </c>
      <c r="L742" s="1">
        <v>21</v>
      </c>
      <c r="M742" t="s">
        <v>701</v>
      </c>
      <c r="O742" t="s">
        <v>28</v>
      </c>
      <c r="P742">
        <v>1</v>
      </c>
      <c r="Q742">
        <v>0</v>
      </c>
      <c r="R742">
        <v>1</v>
      </c>
      <c r="S742" s="2">
        <v>42436</v>
      </c>
      <c r="T742" s="2">
        <v>42514</v>
      </c>
      <c r="U742" s="2">
        <v>43318</v>
      </c>
    </row>
    <row r="743" spans="1:22" x14ac:dyDescent="0.2">
      <c r="A743" t="str">
        <f>"324.97 COW"</f>
        <v>324.97 COW</v>
      </c>
      <c r="B743" t="str">
        <f>"Let the people rule: Theodore Roosevelt "</f>
        <v xml:space="preserve">Let the people rule: Theodore Roosevelt </v>
      </c>
      <c r="C743">
        <v>332394</v>
      </c>
      <c r="D743" t="str">
        <f>"Cowan, Geoffrey"</f>
        <v>Cowan, Geoffrey</v>
      </c>
      <c r="F743" t="str">
        <f>"pages cm"</f>
        <v>pages cm</v>
      </c>
      <c r="G743" s="1">
        <v>16</v>
      </c>
      <c r="H743">
        <v>2016</v>
      </c>
      <c r="I743" t="str">
        <f t="shared" si="29"/>
        <v>9: 300 - 399</v>
      </c>
      <c r="K743" t="str">
        <f>"WB - In"</f>
        <v>WB - In</v>
      </c>
      <c r="L743" s="1">
        <v>33</v>
      </c>
      <c r="M743" t="s">
        <v>702</v>
      </c>
      <c r="O743" t="s">
        <v>28</v>
      </c>
      <c r="P743">
        <v>0</v>
      </c>
      <c r="Q743">
        <v>0</v>
      </c>
      <c r="R743">
        <v>5</v>
      </c>
      <c r="S743" s="2">
        <v>42381</v>
      </c>
      <c r="T743" s="2">
        <v>43586</v>
      </c>
      <c r="U743" s="2">
        <v>42509</v>
      </c>
    </row>
    <row r="744" spans="1:22" x14ac:dyDescent="0.2">
      <c r="A744" t="str">
        <f>"325 KID"</f>
        <v>325 KID</v>
      </c>
      <c r="B744" t="str">
        <f>"Strength in what remains"</f>
        <v>Strength in what remains</v>
      </c>
      <c r="C744">
        <v>231399</v>
      </c>
      <c r="D744" t="str">
        <f>"Kidder, Tracy"</f>
        <v>Kidder, Tracy</v>
      </c>
      <c r="F744" t="str">
        <f>"xvii, 277 p., 25 cm."</f>
        <v>xvii, 277 p., 25 cm.</v>
      </c>
      <c r="G744">
        <v>10</v>
      </c>
      <c r="H744">
        <v>2009</v>
      </c>
      <c r="I744" t="str">
        <f t="shared" si="29"/>
        <v>9: 300 - 399</v>
      </c>
      <c r="K744" t="str">
        <f>"LL - In"</f>
        <v>LL - In</v>
      </c>
      <c r="L744" s="1">
        <v>31</v>
      </c>
      <c r="M744" t="s">
        <v>703</v>
      </c>
      <c r="O744" t="s">
        <v>28</v>
      </c>
      <c r="P744">
        <v>8</v>
      </c>
      <c r="Q744">
        <v>0</v>
      </c>
      <c r="R744">
        <v>25</v>
      </c>
      <c r="S744" s="2">
        <v>40254</v>
      </c>
      <c r="T744" s="2">
        <v>41053</v>
      </c>
      <c r="U744" s="2">
        <v>43694</v>
      </c>
      <c r="V744" s="2">
        <v>41865</v>
      </c>
    </row>
    <row r="745" spans="1:22" x14ac:dyDescent="0.2">
      <c r="A745" t="str">
        <f>"325 LUI"</f>
        <v>325 LUI</v>
      </c>
      <c r="B745" t="str">
        <f>"Tell me how it ends: an essay in forty q"</f>
        <v>Tell me how it ends: an essay in forty q</v>
      </c>
      <c r="C745">
        <v>294647</v>
      </c>
      <c r="D745" t="str">
        <f>"Luiselli, Valeria,"</f>
        <v>Luiselli, Valeria,</v>
      </c>
      <c r="F745" t="str">
        <f>"119 pages, 20 cm, portrait"</f>
        <v>119 pages, 20 cm, portrait</v>
      </c>
      <c r="G745" s="1">
        <v>17</v>
      </c>
      <c r="H745">
        <v>2017</v>
      </c>
      <c r="I745" t="str">
        <f t="shared" si="29"/>
        <v>9: 300 - 399</v>
      </c>
      <c r="K745" t="str">
        <f>"WB - In"</f>
        <v>WB - In</v>
      </c>
      <c r="L745" s="1">
        <v>18</v>
      </c>
      <c r="M745" t="s">
        <v>704</v>
      </c>
      <c r="O745" t="s">
        <v>28</v>
      </c>
      <c r="P745">
        <v>7</v>
      </c>
      <c r="Q745">
        <v>0</v>
      </c>
      <c r="R745">
        <v>7</v>
      </c>
      <c r="S745" s="2">
        <v>42849</v>
      </c>
      <c r="T745" s="2">
        <v>43040</v>
      </c>
      <c r="U745" s="2">
        <v>43748</v>
      </c>
    </row>
    <row r="746" spans="1:22" x14ac:dyDescent="0.2">
      <c r="A746" t="str">
        <f>"325 NAZ"</f>
        <v>325 NAZ</v>
      </c>
      <c r="B746" t="str">
        <f>"Enrique's journey"</f>
        <v>Enrique's journey</v>
      </c>
      <c r="C746">
        <v>407373</v>
      </c>
      <c r="D746" t="str">
        <f>"Nazario, Sonia"</f>
        <v>Nazario, Sonia</v>
      </c>
      <c r="F746" t="str">
        <f>"299 p., 21 cm., ill. (chiefly col.), map"</f>
        <v>299 p., 21 cm., ill. (chiefly col.), map</v>
      </c>
      <c r="G746">
        <v>19</v>
      </c>
      <c r="H746">
        <v>2007</v>
      </c>
      <c r="I746" t="str">
        <f t="shared" si="29"/>
        <v>9: 300 - 399</v>
      </c>
      <c r="K746" t="str">
        <f>"WB - In"</f>
        <v>WB - In</v>
      </c>
      <c r="L746" s="1">
        <v>21</v>
      </c>
      <c r="M746" t="s">
        <v>705</v>
      </c>
      <c r="O746" t="s">
        <v>28</v>
      </c>
      <c r="P746">
        <v>0</v>
      </c>
      <c r="Q746">
        <v>0</v>
      </c>
      <c r="R746">
        <v>0</v>
      </c>
      <c r="S746" s="2">
        <v>43705</v>
      </c>
      <c r="T746" s="2">
        <v>43720</v>
      </c>
    </row>
    <row r="747" spans="1:22" x14ac:dyDescent="0.2">
      <c r="A747" t="str">
        <f>"325 WIL"</f>
        <v>325 WIL</v>
      </c>
      <c r="B747" t="str">
        <f>"warmth of other suns: the epic story of "</f>
        <v xml:space="preserve">warmth of other suns: the epic story of </v>
      </c>
      <c r="C747">
        <v>145042</v>
      </c>
      <c r="D747" t="str">
        <f>"Wilkerson, Isabel."</f>
        <v>Wilkerson, Isabel.</v>
      </c>
      <c r="F747" t="str">
        <f>"622 p."</f>
        <v>622 p.</v>
      </c>
      <c r="G747" s="1">
        <v>10</v>
      </c>
      <c r="H747">
        <v>2010</v>
      </c>
      <c r="I747" t="str">
        <f t="shared" si="29"/>
        <v>9: 300 - 399</v>
      </c>
      <c r="K747" t="str">
        <f>"WB - In"</f>
        <v>WB - In</v>
      </c>
      <c r="L747" s="1">
        <v>35</v>
      </c>
      <c r="M747" t="s">
        <v>706</v>
      </c>
      <c r="O747" t="s">
        <v>28</v>
      </c>
      <c r="P747">
        <v>5</v>
      </c>
      <c r="Q747">
        <v>1</v>
      </c>
      <c r="R747">
        <v>36</v>
      </c>
      <c r="S747" s="2">
        <v>40436</v>
      </c>
      <c r="T747" s="2">
        <v>41053</v>
      </c>
      <c r="U747" s="2">
        <v>43826</v>
      </c>
      <c r="V747" s="2">
        <v>43690</v>
      </c>
    </row>
    <row r="748" spans="1:22" x14ac:dyDescent="0.2">
      <c r="A748" t="str">
        <f>"325 WIL"</f>
        <v>325 WIL</v>
      </c>
      <c r="B748" t="str">
        <f>"warmth of other suns: the epic story of "</f>
        <v xml:space="preserve">warmth of other suns: the epic story of </v>
      </c>
      <c r="C748">
        <v>242898</v>
      </c>
      <c r="D748" t="str">
        <f>"Wilkerson, Isabel."</f>
        <v>Wilkerson, Isabel.</v>
      </c>
      <c r="F748" t="str">
        <f>"622 p."</f>
        <v>622 p.</v>
      </c>
      <c r="G748">
        <v>10</v>
      </c>
      <c r="H748">
        <v>2010</v>
      </c>
      <c r="I748" t="str">
        <f t="shared" si="29"/>
        <v>9: 300 - 399</v>
      </c>
      <c r="K748" t="str">
        <f>"LL - In"</f>
        <v>LL - In</v>
      </c>
      <c r="L748" s="1">
        <v>35</v>
      </c>
      <c r="M748" t="s">
        <v>706</v>
      </c>
      <c r="O748" t="s">
        <v>28</v>
      </c>
      <c r="P748">
        <v>9</v>
      </c>
      <c r="Q748">
        <v>0</v>
      </c>
      <c r="R748">
        <v>40</v>
      </c>
      <c r="S748" s="2">
        <v>40529</v>
      </c>
      <c r="T748" s="2">
        <v>41053</v>
      </c>
      <c r="U748" s="2">
        <v>43720</v>
      </c>
      <c r="V748" s="2">
        <v>42437</v>
      </c>
    </row>
    <row r="749" spans="1:22" x14ac:dyDescent="0.2">
      <c r="A749" t="str">
        <f>"327 CHU"</f>
        <v>327 CHU</v>
      </c>
      <c r="B749" t="str">
        <f>"Political tribes: group instinct and the"</f>
        <v>Political tribes: group instinct and the</v>
      </c>
      <c r="C749">
        <v>346661</v>
      </c>
      <c r="D749" t="str">
        <f>"Chua, Amy."</f>
        <v>Chua, Amy.</v>
      </c>
      <c r="F749" t="str">
        <f>"293 pages, 24 cm"</f>
        <v>293 pages, 24 cm</v>
      </c>
      <c r="G749" s="1">
        <v>18</v>
      </c>
      <c r="H749">
        <v>2018</v>
      </c>
      <c r="I749" t="str">
        <f t="shared" si="29"/>
        <v>9: 300 - 399</v>
      </c>
      <c r="K749" t="str">
        <f>"LL - In"</f>
        <v>LL - In</v>
      </c>
      <c r="L749" s="1">
        <v>33</v>
      </c>
      <c r="M749" t="s">
        <v>707</v>
      </c>
      <c r="O749" t="s">
        <v>28</v>
      </c>
      <c r="P749">
        <v>8</v>
      </c>
      <c r="Q749">
        <v>0</v>
      </c>
      <c r="R749">
        <v>8</v>
      </c>
      <c r="S749" s="2">
        <v>43172</v>
      </c>
      <c r="T749" s="2">
        <v>43355</v>
      </c>
      <c r="U749" s="2">
        <v>43738</v>
      </c>
    </row>
    <row r="750" spans="1:22" x14ac:dyDescent="0.2">
      <c r="A750" t="str">
        <f>"327 KIS"</f>
        <v>327 KIS</v>
      </c>
      <c r="B750" t="str">
        <f>"World order"</f>
        <v>World order</v>
      </c>
      <c r="C750">
        <v>324057</v>
      </c>
      <c r="D750" t="str">
        <f>"Kissinger, Henry,"</f>
        <v>Kissinger, Henry,</v>
      </c>
      <c r="F750" t="str">
        <f>"420 p."</f>
        <v>420 p.</v>
      </c>
      <c r="G750" s="1">
        <v>14</v>
      </c>
      <c r="H750">
        <v>2014</v>
      </c>
      <c r="I750" t="str">
        <f t="shared" si="29"/>
        <v>9: 300 - 399</v>
      </c>
      <c r="K750" t="str">
        <f>"WB - In"</f>
        <v>WB - In</v>
      </c>
      <c r="L750" s="1">
        <v>41</v>
      </c>
      <c r="M750" t="s">
        <v>708</v>
      </c>
      <c r="O750" t="s">
        <v>28</v>
      </c>
      <c r="P750">
        <v>3</v>
      </c>
      <c r="Q750">
        <v>1</v>
      </c>
      <c r="R750">
        <v>19</v>
      </c>
      <c r="S750" s="2">
        <v>41926</v>
      </c>
      <c r="T750" s="2">
        <v>42114</v>
      </c>
      <c r="U750" s="2">
        <v>43596</v>
      </c>
      <c r="V750" s="2">
        <v>42993</v>
      </c>
    </row>
    <row r="751" spans="1:22" x14ac:dyDescent="0.2">
      <c r="A751" t="str">
        <f>"327 KLI"</f>
        <v>327 KLI</v>
      </c>
      <c r="B751" t="str">
        <f>"darkening Web: the war for cyberspace"</f>
        <v>darkening Web: the war for cyberspace</v>
      </c>
      <c r="C751">
        <v>342745</v>
      </c>
      <c r="D751" t="str">
        <f>"Klimburg, Alexander"</f>
        <v>Klimburg, Alexander</v>
      </c>
      <c r="F751" t="str">
        <f>"xii, 420 pages, 25 cm"</f>
        <v>xii, 420 pages, 25 cm</v>
      </c>
      <c r="G751" s="1">
        <v>17</v>
      </c>
      <c r="H751">
        <v>2017</v>
      </c>
      <c r="I751" t="str">
        <f t="shared" si="29"/>
        <v>9: 300 - 399</v>
      </c>
      <c r="K751" t="str">
        <f>"WB - In"</f>
        <v>WB - In</v>
      </c>
      <c r="L751" s="1">
        <v>35</v>
      </c>
      <c r="M751" t="s">
        <v>709</v>
      </c>
      <c r="O751" t="s">
        <v>28</v>
      </c>
      <c r="P751">
        <v>4</v>
      </c>
      <c r="Q751">
        <v>0</v>
      </c>
      <c r="R751">
        <v>4</v>
      </c>
      <c r="S751" s="2">
        <v>42947</v>
      </c>
      <c r="T751" s="2">
        <v>43117</v>
      </c>
      <c r="U751" s="2">
        <v>43108</v>
      </c>
    </row>
    <row r="752" spans="1:22" x14ac:dyDescent="0.2">
      <c r="A752" t="str">
        <f>"327 OSU"</f>
        <v>327 OSU</v>
      </c>
      <c r="B752" t="str">
        <f>"Windfall: how the new energy abundance i"</f>
        <v>Windfall: how the new energy abundance i</v>
      </c>
      <c r="C752">
        <v>344010</v>
      </c>
      <c r="D752" t="str">
        <f>"O'Sullivan, Meghan L."</f>
        <v>O'Sullivan, Meghan L.</v>
      </c>
      <c r="F752" t="str">
        <f>"xii, 479 pages, 24 cm, illustrations, maps"</f>
        <v>xii, 479 pages, 24 cm, illustrations, maps</v>
      </c>
      <c r="G752" s="1">
        <v>17</v>
      </c>
      <c r="H752">
        <v>2017</v>
      </c>
      <c r="I752" t="str">
        <f t="shared" si="29"/>
        <v>9: 300 - 399</v>
      </c>
      <c r="K752" t="str">
        <f>"WB - In"</f>
        <v>WB - In</v>
      </c>
      <c r="L752" s="1">
        <v>34</v>
      </c>
      <c r="M752" t="s">
        <v>710</v>
      </c>
      <c r="O752" t="s">
        <v>28</v>
      </c>
      <c r="P752">
        <v>5</v>
      </c>
      <c r="Q752">
        <v>1</v>
      </c>
      <c r="R752">
        <v>6</v>
      </c>
      <c r="S752" s="2">
        <v>43018</v>
      </c>
      <c r="T752" s="2">
        <v>43187</v>
      </c>
      <c r="U752" s="2">
        <v>43505</v>
      </c>
      <c r="V752" s="2">
        <v>43142</v>
      </c>
    </row>
    <row r="753" spans="1:22" x14ac:dyDescent="0.2">
      <c r="A753" t="str">
        <f>"327.1 AYR"</f>
        <v>327.1 AYR</v>
      </c>
      <c r="B753" t="str">
        <f>"Our time has come: how India is making i"</f>
        <v>Our time has come: how India is making i</v>
      </c>
      <c r="C753">
        <v>349716</v>
      </c>
      <c r="D753" t="str">
        <f>"Ayres, Alyssa"</f>
        <v>Ayres, Alyssa</v>
      </c>
      <c r="F753" t="str">
        <f>"xiii, 341 pages, 25 cm, illustrations"</f>
        <v>xiii, 341 pages, 25 cm, illustrations</v>
      </c>
      <c r="G753" s="1">
        <v>18</v>
      </c>
      <c r="H753">
        <v>2018</v>
      </c>
      <c r="I753" t="str">
        <f t="shared" si="29"/>
        <v>9: 300 - 399</v>
      </c>
      <c r="K753" t="str">
        <f>"LL - In"</f>
        <v>LL - In</v>
      </c>
      <c r="L753" s="1">
        <v>33</v>
      </c>
      <c r="M753" t="s">
        <v>711</v>
      </c>
      <c r="O753" t="s">
        <v>28</v>
      </c>
      <c r="P753">
        <v>3</v>
      </c>
      <c r="Q753">
        <v>0</v>
      </c>
      <c r="R753">
        <v>3</v>
      </c>
      <c r="S753" s="2">
        <v>43347</v>
      </c>
      <c r="T753" s="2">
        <v>43539</v>
      </c>
      <c r="U753" s="2">
        <v>43490</v>
      </c>
    </row>
    <row r="754" spans="1:22" x14ac:dyDescent="0.2">
      <c r="A754" t="str">
        <f>"327.12 BAL"</f>
        <v>327.12 BAL</v>
      </c>
      <c r="B754" t="str">
        <f>"triple agent: the al-Qaeda mole who infi"</f>
        <v>triple agent: the al-Qaeda mole who infi</v>
      </c>
      <c r="C754">
        <v>307550</v>
      </c>
      <c r="D754" t="str">
        <f>"Warrick, Joby."</f>
        <v>Warrick, Joby.</v>
      </c>
      <c r="F754" t="str">
        <f>"244 p., 25 cm., ill. (chiefly col.), map"</f>
        <v>244 p., 25 cm., ill. (chiefly col.), map</v>
      </c>
      <c r="G754" s="1">
        <v>12</v>
      </c>
      <c r="H754">
        <v>2011</v>
      </c>
      <c r="I754" t="str">
        <f t="shared" si="29"/>
        <v>9: 300 - 399</v>
      </c>
      <c r="K754" t="str">
        <f>"WB - Out"</f>
        <v>WB - Out</v>
      </c>
      <c r="L754" s="1">
        <v>32</v>
      </c>
      <c r="M754" t="s">
        <v>712</v>
      </c>
      <c r="O754" t="s">
        <v>28</v>
      </c>
      <c r="P754">
        <v>2</v>
      </c>
      <c r="Q754">
        <v>0</v>
      </c>
      <c r="R754">
        <v>5</v>
      </c>
      <c r="S754" s="2">
        <v>41045</v>
      </c>
      <c r="T754" s="2">
        <v>41053</v>
      </c>
      <c r="U754" s="2">
        <v>43861</v>
      </c>
    </row>
    <row r="755" spans="1:22" x14ac:dyDescent="0.2">
      <c r="A755" t="str">
        <f>"327.12 BEN"</f>
        <v>327.12 BEN</v>
      </c>
      <c r="B755" t="str">
        <f>"National security Mom: why ""going soft"" "</f>
        <v xml:space="preserve">National security Mom: why "going soft" </v>
      </c>
      <c r="C755">
        <v>401221</v>
      </c>
      <c r="D755" t="str">
        <f>"Bennett, Gina M."</f>
        <v>Bennett, Gina M.</v>
      </c>
      <c r="F755" t="str">
        <f>"xiv,163 p., 22 cm"</f>
        <v>xiv,163 p., 22 cm</v>
      </c>
      <c r="G755" s="1">
        <v>18</v>
      </c>
      <c r="H755">
        <v>2009</v>
      </c>
      <c r="I755" t="str">
        <f t="shared" si="29"/>
        <v>9: 300 - 399</v>
      </c>
      <c r="K755" t="str">
        <f>"WB - In"</f>
        <v>WB - In</v>
      </c>
      <c r="L755" s="1">
        <v>20</v>
      </c>
      <c r="M755" t="s">
        <v>713</v>
      </c>
      <c r="O755" t="s">
        <v>28</v>
      </c>
      <c r="P755">
        <v>2</v>
      </c>
      <c r="Q755">
        <v>0</v>
      </c>
      <c r="R755">
        <v>2</v>
      </c>
      <c r="S755" s="2">
        <v>43355</v>
      </c>
      <c r="T755" s="2">
        <v>43375</v>
      </c>
      <c r="U755" s="2">
        <v>43473</v>
      </c>
    </row>
    <row r="756" spans="1:22" x14ac:dyDescent="0.2">
      <c r="A756" t="str">
        <f>"327.12 EPS"</f>
        <v>327.12 EPS</v>
      </c>
      <c r="B756" t="str">
        <f>"How America lost its secrets: Edward Sno"</f>
        <v>How America lost its secrets: Edward Sno</v>
      </c>
      <c r="C756">
        <v>339350</v>
      </c>
      <c r="D756" t="str">
        <f>"Epstein, Edward Jay"</f>
        <v>Epstein, Edward Jay</v>
      </c>
      <c r="F756" t="str">
        <f>"x, 350 pages, 25 cm, illustrations"</f>
        <v>x, 350 pages, 25 cm, illustrations</v>
      </c>
      <c r="G756" s="1">
        <v>17</v>
      </c>
      <c r="H756">
        <v>2017</v>
      </c>
      <c r="I756" t="str">
        <f t="shared" si="29"/>
        <v>9: 300 - 399</v>
      </c>
      <c r="K756" t="str">
        <f>"LL - In"</f>
        <v>LL - In</v>
      </c>
      <c r="L756" s="1">
        <v>33</v>
      </c>
      <c r="M756" t="s">
        <v>714</v>
      </c>
      <c r="O756" t="s">
        <v>28</v>
      </c>
      <c r="P756">
        <v>6</v>
      </c>
      <c r="Q756">
        <v>2</v>
      </c>
      <c r="R756">
        <v>8</v>
      </c>
      <c r="S756" s="2">
        <v>42765</v>
      </c>
      <c r="T756" s="2">
        <v>42935</v>
      </c>
      <c r="U756" s="2">
        <v>43026</v>
      </c>
      <c r="V756" s="2">
        <v>42935</v>
      </c>
    </row>
    <row r="757" spans="1:22" x14ac:dyDescent="0.2">
      <c r="A757" t="str">
        <f>"327.12 FRI"</f>
        <v>327.12 FRI</v>
      </c>
      <c r="B757" t="str">
        <f>"Spies of no country: secret lives at the"</f>
        <v>Spies of no country: secret lives at the</v>
      </c>
      <c r="C757">
        <v>353901</v>
      </c>
      <c r="D757" t="str">
        <f>"Friedman, Matti"</f>
        <v>Friedman, Matti</v>
      </c>
      <c r="F757" t="str">
        <f>"xvii, 248 pages, 22 cm, illustrations, map"</f>
        <v>xvii, 248 pages, 22 cm, illustrations, map</v>
      </c>
      <c r="G757" s="1">
        <v>19</v>
      </c>
      <c r="H757">
        <v>2019</v>
      </c>
      <c r="I757" t="str">
        <f t="shared" si="29"/>
        <v>9: 300 - 399</v>
      </c>
      <c r="K757" t="str">
        <f>"LL - In"</f>
        <v>LL - In</v>
      </c>
      <c r="L757" s="1">
        <v>32</v>
      </c>
      <c r="M757" t="s">
        <v>715</v>
      </c>
      <c r="O757" t="s">
        <v>28</v>
      </c>
      <c r="P757">
        <v>5</v>
      </c>
      <c r="Q757">
        <v>1</v>
      </c>
      <c r="R757">
        <v>6</v>
      </c>
      <c r="S757" s="2">
        <v>43556</v>
      </c>
      <c r="T757" s="2">
        <v>43781</v>
      </c>
      <c r="U757" s="2">
        <v>43702</v>
      </c>
      <c r="V757" s="2">
        <v>43781</v>
      </c>
    </row>
    <row r="758" spans="1:22" x14ac:dyDescent="0.2">
      <c r="A758" t="str">
        <f>"327.12 HAR"</f>
        <v>327.12 HAR</v>
      </c>
      <c r="B758" t="str">
        <f>"very expensive poison: the assassination"</f>
        <v>very expensive poison: the assassination</v>
      </c>
      <c r="C758">
        <v>339494</v>
      </c>
      <c r="D758" t="str">
        <f>"Harding, Luke,"</f>
        <v>Harding, Luke,</v>
      </c>
      <c r="F758" t="str">
        <f>"454 pages, 21 cm, illustrations"</f>
        <v>454 pages, 21 cm, illustrations</v>
      </c>
      <c r="G758" s="1">
        <v>17</v>
      </c>
      <c r="H758">
        <v>2017</v>
      </c>
      <c r="I758" t="str">
        <f t="shared" si="29"/>
        <v>9: 300 - 399</v>
      </c>
      <c r="K758" t="str">
        <f>"LL - In"</f>
        <v>LL - In</v>
      </c>
      <c r="L758" s="1">
        <v>21</v>
      </c>
      <c r="M758" t="s">
        <v>716</v>
      </c>
      <c r="O758" t="s">
        <v>28</v>
      </c>
      <c r="P758">
        <v>4</v>
      </c>
      <c r="Q758">
        <v>0</v>
      </c>
      <c r="R758">
        <v>4</v>
      </c>
      <c r="S758" s="2">
        <v>42772</v>
      </c>
      <c r="T758" s="2">
        <v>42984</v>
      </c>
      <c r="U758" s="2">
        <v>42939</v>
      </c>
    </row>
    <row r="759" spans="1:22" x14ac:dyDescent="0.2">
      <c r="A759" t="str">
        <f>"327.12 HAY"</f>
        <v>327.12 HAY</v>
      </c>
      <c r="B759" t="str">
        <f>"assault on intelligence: American nation"</f>
        <v>assault on intelligence: American nation</v>
      </c>
      <c r="C759">
        <v>349166</v>
      </c>
      <c r="D759" t="str">
        <f>"Hayden, Michael V"</f>
        <v>Hayden, Michael V</v>
      </c>
      <c r="F759" t="str">
        <f>"292 pages, 25 cm"</f>
        <v>292 pages, 25 cm</v>
      </c>
      <c r="G759" s="1">
        <v>18</v>
      </c>
      <c r="H759">
        <v>2018</v>
      </c>
      <c r="I759" t="str">
        <f t="shared" si="29"/>
        <v>9: 300 - 399</v>
      </c>
      <c r="K759" t="str">
        <f>"WB - Out"</f>
        <v>WB - Out</v>
      </c>
      <c r="L759" s="1">
        <v>33</v>
      </c>
      <c r="M759" t="s">
        <v>717</v>
      </c>
      <c r="O759" t="s">
        <v>28</v>
      </c>
      <c r="P759">
        <v>9</v>
      </c>
      <c r="Q759">
        <v>1</v>
      </c>
      <c r="R759">
        <v>10</v>
      </c>
      <c r="S759" s="2">
        <v>43320</v>
      </c>
      <c r="T759" s="2">
        <v>43502</v>
      </c>
      <c r="U759" s="2">
        <v>43822</v>
      </c>
      <c r="V759" s="2">
        <v>43340</v>
      </c>
    </row>
    <row r="760" spans="1:22" x14ac:dyDescent="0.2">
      <c r="A760" t="str">
        <f>"327.12 HAY"</f>
        <v>327.12 HAY</v>
      </c>
      <c r="B760" t="str">
        <f>"Playing to the edge: American intelligen"</f>
        <v>Playing to the edge: American intelligen</v>
      </c>
      <c r="C760">
        <v>333687</v>
      </c>
      <c r="D760" t="str">
        <f>"Hayden, Michael V"</f>
        <v>Hayden, Michael V</v>
      </c>
      <c r="F760" t="str">
        <f>"xiv, 448 pages, 25 cm"</f>
        <v>xiv, 448 pages, 25 cm</v>
      </c>
      <c r="G760" s="1">
        <v>16</v>
      </c>
      <c r="H760">
        <v>2016</v>
      </c>
      <c r="I760" t="str">
        <f t="shared" si="29"/>
        <v>9: 300 - 399</v>
      </c>
      <c r="K760" t="str">
        <f>"LL - In"</f>
        <v>LL - In</v>
      </c>
      <c r="L760" s="1">
        <v>35</v>
      </c>
      <c r="M760" t="s">
        <v>718</v>
      </c>
      <c r="O760" t="s">
        <v>28</v>
      </c>
      <c r="P760">
        <v>1</v>
      </c>
      <c r="Q760">
        <v>1</v>
      </c>
      <c r="R760">
        <v>11</v>
      </c>
      <c r="S760" s="2">
        <v>42437</v>
      </c>
      <c r="T760" s="2">
        <v>42648</v>
      </c>
      <c r="U760" s="2">
        <v>43581</v>
      </c>
      <c r="V760" s="2">
        <v>42782</v>
      </c>
    </row>
    <row r="761" spans="1:22" x14ac:dyDescent="0.2">
      <c r="A761" t="str">
        <f>"327.12 JEF"</f>
        <v>327.12 JEF</v>
      </c>
      <c r="B761" t="str">
        <f>"Secret history of MI6"</f>
        <v>Secret history of MI6</v>
      </c>
      <c r="C761">
        <v>145202</v>
      </c>
      <c r="D761" t="str">
        <f>"Jeffery, Keith."</f>
        <v>Jeffery, Keith.</v>
      </c>
      <c r="F761" t="str">
        <f>"810 p."</f>
        <v>810 p.</v>
      </c>
      <c r="G761" s="1">
        <v>10</v>
      </c>
      <c r="H761">
        <v>2010</v>
      </c>
      <c r="I761" t="str">
        <f t="shared" si="29"/>
        <v>9: 300 - 399</v>
      </c>
      <c r="K761" t="str">
        <f>"LL - In"</f>
        <v>LL - In</v>
      </c>
      <c r="L761" s="1">
        <v>45</v>
      </c>
      <c r="M761" t="s">
        <v>719</v>
      </c>
      <c r="O761" t="s">
        <v>28</v>
      </c>
      <c r="P761">
        <v>1</v>
      </c>
      <c r="Q761">
        <v>1</v>
      </c>
      <c r="R761">
        <v>23</v>
      </c>
      <c r="S761" s="2">
        <v>40442</v>
      </c>
      <c r="T761" s="2">
        <v>41884</v>
      </c>
      <c r="U761" s="2">
        <v>43280</v>
      </c>
      <c r="V761" s="2">
        <v>43320</v>
      </c>
    </row>
    <row r="762" spans="1:22" x14ac:dyDescent="0.2">
      <c r="A762" t="str">
        <f>"327.12 LUC"</f>
        <v>327.12 LUC</v>
      </c>
      <c r="B762" t="str">
        <f>"new cold war: Putin's threat to Russia a"</f>
        <v>new cold war: Putin's threat to Russia a</v>
      </c>
      <c r="C762">
        <v>260912</v>
      </c>
      <c r="D762" t="str">
        <f>"Lucas, Edward"</f>
        <v>Lucas, Edward</v>
      </c>
      <c r="F762" t="str">
        <f>"352 pages, 24 cm, map"</f>
        <v>352 pages, 24 cm, map</v>
      </c>
      <c r="G762" s="1">
        <v>14</v>
      </c>
      <c r="H762">
        <v>2014</v>
      </c>
      <c r="I762" t="str">
        <f t="shared" si="29"/>
        <v>9: 300 - 399</v>
      </c>
      <c r="K762" t="str">
        <f>"LL - In"</f>
        <v>LL - In</v>
      </c>
      <c r="L762" s="1">
        <v>25</v>
      </c>
      <c r="M762" t="s">
        <v>720</v>
      </c>
      <c r="O762" t="s">
        <v>28</v>
      </c>
      <c r="P762">
        <v>1</v>
      </c>
      <c r="Q762">
        <v>0</v>
      </c>
      <c r="R762">
        <v>8</v>
      </c>
      <c r="S762" s="2">
        <v>41940</v>
      </c>
      <c r="T762" s="2">
        <v>42123</v>
      </c>
      <c r="U762" s="2">
        <v>43267</v>
      </c>
    </row>
    <row r="763" spans="1:22" x14ac:dyDescent="0.2">
      <c r="A763" t="str">
        <f>"327.12 MOR"</f>
        <v>327.12 MOR</v>
      </c>
      <c r="B763" t="str">
        <f>"Blowing my cover: my life as a CIA spy"</f>
        <v>Blowing my cover: my life as a CIA spy</v>
      </c>
      <c r="C763">
        <v>312196</v>
      </c>
      <c r="D763" t="str">
        <f>"Moran, Lindsay"</f>
        <v>Moran, Lindsay</v>
      </c>
      <c r="F763" t="str">
        <f>"295 p., 20 cm."</f>
        <v>295 p., 20 cm.</v>
      </c>
      <c r="G763" s="1">
        <v>13</v>
      </c>
      <c r="H763">
        <v>2005</v>
      </c>
      <c r="I763" t="str">
        <f t="shared" si="29"/>
        <v>9: 300 - 399</v>
      </c>
      <c r="K763" t="str">
        <f>"LL - In"</f>
        <v>LL - In</v>
      </c>
      <c r="L763" s="1">
        <v>20</v>
      </c>
      <c r="M763" t="s">
        <v>721</v>
      </c>
      <c r="O763" t="s">
        <v>28</v>
      </c>
      <c r="P763">
        <v>3</v>
      </c>
      <c r="Q763">
        <v>0</v>
      </c>
      <c r="R763">
        <v>6</v>
      </c>
      <c r="S763" s="2">
        <v>41296</v>
      </c>
      <c r="T763" s="2">
        <v>41309</v>
      </c>
      <c r="U763" s="2">
        <v>43819</v>
      </c>
    </row>
    <row r="764" spans="1:22" x14ac:dyDescent="0.2">
      <c r="A764" t="str">
        <f>"327.12 NAV"</f>
        <v>327.12 NAV</v>
      </c>
      <c r="B764" t="str">
        <f>"Three minutes to doomsday: an agent, a t"</f>
        <v>Three minutes to doomsday: an agent, a t</v>
      </c>
      <c r="C764">
        <v>343670</v>
      </c>
      <c r="D764" t="str">
        <f>"Navarro, Joe"</f>
        <v>Navarro, Joe</v>
      </c>
      <c r="F764" t="str">
        <f>"xiv, 349 pages, 8 unnumbered pages of plates, 24 cm, illustrations"</f>
        <v>xiv, 349 pages, 8 unnumbered pages of plates, 24 cm, illustrations</v>
      </c>
      <c r="G764" s="1">
        <v>17</v>
      </c>
      <c r="H764">
        <v>2017</v>
      </c>
      <c r="I764" t="str">
        <f t="shared" si="29"/>
        <v>9: 300 - 399</v>
      </c>
      <c r="K764" t="str">
        <f>"WB - In"</f>
        <v>WB - In</v>
      </c>
      <c r="L764" s="1">
        <v>31</v>
      </c>
      <c r="M764" t="s">
        <v>722</v>
      </c>
      <c r="O764" t="s">
        <v>28</v>
      </c>
      <c r="P764">
        <v>8</v>
      </c>
      <c r="Q764">
        <v>0</v>
      </c>
      <c r="R764">
        <v>8</v>
      </c>
      <c r="S764" s="2">
        <v>43004</v>
      </c>
      <c r="T764" s="2">
        <v>43174</v>
      </c>
      <c r="U764" s="2">
        <v>43142</v>
      </c>
    </row>
    <row r="765" spans="1:22" x14ac:dyDescent="0.2">
      <c r="A765" t="str">
        <f>"327.12 PHI"</f>
        <v>327.12 PHI</v>
      </c>
      <c r="B765" t="str">
        <f>"spy among friends: Kim Philby and the gr"</f>
        <v>spy among friends: Kim Philby and the gr</v>
      </c>
      <c r="C765">
        <v>323180</v>
      </c>
      <c r="D765" t="str">
        <f>"Macintyre, Ben,"</f>
        <v>Macintyre, Ben,</v>
      </c>
      <c r="F765" t="str">
        <f>"xii, 368 pages, 32 unnumbered pages of plates, 25 cm, illustrations"</f>
        <v>xii, 368 pages, 32 unnumbered pages of plates, 25 cm, illustrations</v>
      </c>
      <c r="G765" s="1">
        <v>14</v>
      </c>
      <c r="H765">
        <v>2014</v>
      </c>
      <c r="I765" t="str">
        <f t="shared" si="29"/>
        <v>9: 300 - 399</v>
      </c>
      <c r="K765" t="str">
        <f>"WB - In"</f>
        <v>WB - In</v>
      </c>
      <c r="L765" s="1">
        <v>32</v>
      </c>
      <c r="M765" t="s">
        <v>723</v>
      </c>
      <c r="O765" t="s">
        <v>28</v>
      </c>
      <c r="P765">
        <v>4</v>
      </c>
      <c r="Q765">
        <v>0</v>
      </c>
      <c r="R765">
        <v>14</v>
      </c>
      <c r="S765" s="2">
        <v>41872</v>
      </c>
      <c r="T765" s="2">
        <v>42130</v>
      </c>
      <c r="U765" s="2">
        <v>43827</v>
      </c>
      <c r="V765" s="2">
        <v>42276</v>
      </c>
    </row>
    <row r="766" spans="1:22" x14ac:dyDescent="0.2">
      <c r="A766" t="str">
        <f>"327.12 PRI"</f>
        <v>327.12 PRI</v>
      </c>
      <c r="B766" t="str">
        <f>"president's book of secrets: the untold "</f>
        <v xml:space="preserve">president's book of secrets: the untold </v>
      </c>
      <c r="C766">
        <v>333550</v>
      </c>
      <c r="D766" t="str">
        <f>"Priess, David"</f>
        <v>Priess, David</v>
      </c>
      <c r="F766" t="str">
        <f>"pages cm"</f>
        <v>pages cm</v>
      </c>
      <c r="G766" s="1">
        <v>16</v>
      </c>
      <c r="H766">
        <v>2016</v>
      </c>
      <c r="I766" t="str">
        <f t="shared" si="29"/>
        <v>9: 300 - 399</v>
      </c>
      <c r="K766" t="str">
        <f>"LL - In"</f>
        <v>LL - In</v>
      </c>
      <c r="L766" s="1">
        <v>35</v>
      </c>
      <c r="M766" t="s">
        <v>724</v>
      </c>
      <c r="O766" t="s">
        <v>28</v>
      </c>
      <c r="P766">
        <v>1</v>
      </c>
      <c r="Q766">
        <v>2</v>
      </c>
      <c r="R766">
        <v>13</v>
      </c>
      <c r="S766" s="2">
        <v>42429</v>
      </c>
      <c r="T766" s="2">
        <v>42681</v>
      </c>
      <c r="U766" s="2">
        <v>42939</v>
      </c>
      <c r="V766" s="2">
        <v>43542</v>
      </c>
    </row>
    <row r="767" spans="1:22" x14ac:dyDescent="0.2">
      <c r="A767" t="str">
        <f>"327.12 REE"</f>
        <v>327.12 REE</v>
      </c>
      <c r="B767" t="str">
        <f>"Cold War III: how the US Navy can defeat"</f>
        <v>Cold War III: how the US Navy can defeat</v>
      </c>
      <c r="C767">
        <v>283811</v>
      </c>
      <c r="D767" t="str">
        <f>"Reed, W. Craig"</f>
        <v>Reed, W. Craig</v>
      </c>
      <c r="F767" t="str">
        <f>"270 p., incl bibliographic resources"</f>
        <v>270 p., incl bibliographic resources</v>
      </c>
      <c r="G767" s="1">
        <v>15</v>
      </c>
      <c r="H767">
        <v>2015</v>
      </c>
      <c r="I767" t="str">
        <f t="shared" si="29"/>
        <v>9: 300 - 399</v>
      </c>
      <c r="K767" t="str">
        <f>"WB - In"</f>
        <v>WB - In</v>
      </c>
      <c r="L767" s="1">
        <v>20</v>
      </c>
      <c r="M767" t="s">
        <v>725</v>
      </c>
      <c r="O767" t="s">
        <v>28</v>
      </c>
      <c r="P767">
        <v>0</v>
      </c>
      <c r="Q767">
        <v>0</v>
      </c>
      <c r="R767">
        <v>3</v>
      </c>
      <c r="S767" s="2">
        <v>42266</v>
      </c>
      <c r="T767" s="2">
        <v>42365</v>
      </c>
      <c r="U767" s="2">
        <v>42349</v>
      </c>
      <c r="V767" s="2">
        <v>42348</v>
      </c>
    </row>
    <row r="768" spans="1:22" x14ac:dyDescent="0.2">
      <c r="A768" t="str">
        <f>"327.12 REE"</f>
        <v>327.12 REE</v>
      </c>
      <c r="B768" t="str">
        <f>"brotherhood of spies: the U-2 and the CI"</f>
        <v>brotherhood of spies: the U-2 and the CI</v>
      </c>
      <c r="C768">
        <v>349057</v>
      </c>
      <c r="D768" t="str">
        <f>"Reel, Monte"</f>
        <v>Reel, Monte</v>
      </c>
      <c r="F768" t="str">
        <f>"342 pages, 25 cm, illustrations"</f>
        <v>342 pages, 25 cm, illustrations</v>
      </c>
      <c r="G768" s="1">
        <v>18</v>
      </c>
      <c r="H768">
        <v>2018</v>
      </c>
      <c r="I768" t="str">
        <f t="shared" si="29"/>
        <v>9: 300 - 399</v>
      </c>
      <c r="K768" t="str">
        <f>"LL - In"</f>
        <v>LL - In</v>
      </c>
      <c r="L768" s="1">
        <v>34</v>
      </c>
      <c r="M768" t="s">
        <v>726</v>
      </c>
      <c r="O768" t="s">
        <v>28</v>
      </c>
      <c r="P768">
        <v>8</v>
      </c>
      <c r="Q768">
        <v>0</v>
      </c>
      <c r="R768">
        <v>8</v>
      </c>
      <c r="S768" s="2">
        <v>43312</v>
      </c>
      <c r="T768" s="2">
        <v>43605</v>
      </c>
      <c r="U768" s="2">
        <v>43794</v>
      </c>
    </row>
    <row r="769" spans="1:22" x14ac:dyDescent="0.2">
      <c r="A769" t="str">
        <f>"327.12 WEI"</f>
        <v>327.12 WEI</v>
      </c>
      <c r="B769" t="str">
        <f>"Legacy of ashes: the history of the Cent"</f>
        <v>Legacy of ashes: the history of the Cent</v>
      </c>
      <c r="C769">
        <v>336013</v>
      </c>
      <c r="D769" t="str">
        <f>"Weiner, Tim"</f>
        <v>Weiner, Tim</v>
      </c>
      <c r="F769" t="str">
        <f>"700 p."</f>
        <v>700 p.</v>
      </c>
      <c r="G769" s="1">
        <v>16</v>
      </c>
      <c r="H769">
        <v>2007</v>
      </c>
      <c r="I769" t="str">
        <f t="shared" si="29"/>
        <v>9: 300 - 399</v>
      </c>
      <c r="K769" t="str">
        <f>"WB - In"</f>
        <v>WB - In</v>
      </c>
      <c r="L769" s="1">
        <v>23</v>
      </c>
      <c r="M769" t="s">
        <v>727</v>
      </c>
      <c r="O769" t="s">
        <v>28</v>
      </c>
      <c r="P769">
        <v>7</v>
      </c>
      <c r="Q769">
        <v>1</v>
      </c>
      <c r="R769">
        <v>8</v>
      </c>
      <c r="S769" s="2">
        <v>42557</v>
      </c>
      <c r="T769" s="2">
        <v>42566</v>
      </c>
      <c r="U769" s="2">
        <v>43653</v>
      </c>
      <c r="V769" s="2">
        <v>42976</v>
      </c>
    </row>
    <row r="770" spans="1:22" x14ac:dyDescent="0.2">
      <c r="A770" t="str">
        <f>"327.73 ALL"</f>
        <v>327.73 ALL</v>
      </c>
      <c r="B770" t="str">
        <f>"Destined for war: can America and China "</f>
        <v xml:space="preserve">Destined for war: can America and China </v>
      </c>
      <c r="C770">
        <v>341822</v>
      </c>
      <c r="D770" t="str">
        <f>"Allison, Graham T."</f>
        <v>Allison, Graham T.</v>
      </c>
      <c r="F770" t="str">
        <f>"xx, 364 pages, 24 cm, illustrations, map"</f>
        <v>xx, 364 pages, 24 cm, illustrations, map</v>
      </c>
      <c r="G770" s="1">
        <v>17</v>
      </c>
      <c r="H770">
        <v>2017</v>
      </c>
      <c r="I770" t="str">
        <f t="shared" si="29"/>
        <v>9: 300 - 399</v>
      </c>
      <c r="K770" t="str">
        <f>"WB - In"</f>
        <v>WB - In</v>
      </c>
      <c r="L770" s="1">
        <v>33</v>
      </c>
      <c r="M770" t="s">
        <v>728</v>
      </c>
      <c r="O770" t="s">
        <v>28</v>
      </c>
      <c r="P770">
        <v>13</v>
      </c>
      <c r="Q770">
        <v>1</v>
      </c>
      <c r="R770">
        <v>14</v>
      </c>
      <c r="S770" s="2">
        <v>42898</v>
      </c>
      <c r="T770" s="2">
        <v>43089</v>
      </c>
      <c r="U770" s="2">
        <v>43732</v>
      </c>
      <c r="V770" s="2">
        <v>43609</v>
      </c>
    </row>
    <row r="771" spans="1:22" x14ac:dyDescent="0.2">
      <c r="A771" t="str">
        <f>"327.73 BAI"</f>
        <v>327.73 BAI</v>
      </c>
      <c r="B771" t="str">
        <f>"Three days in Moscow: Ronald Reagan and "</f>
        <v xml:space="preserve">Three days in Moscow: Ronald Reagan and </v>
      </c>
      <c r="C771">
        <v>401392</v>
      </c>
      <c r="D771" t="str">
        <f>"Baier, Bret."</f>
        <v>Baier, Bret.</v>
      </c>
      <c r="F771" t="str">
        <f>"xvi, 397 pages, 24 cm, illustrations (chiefly color)"</f>
        <v>xvi, 397 pages, 24 cm, illustrations (chiefly color)</v>
      </c>
      <c r="G771" s="1">
        <v>18</v>
      </c>
      <c r="H771">
        <v>2018</v>
      </c>
      <c r="I771" t="str">
        <f t="shared" si="29"/>
        <v>9: 300 - 399</v>
      </c>
      <c r="K771" t="str">
        <f>"WB - In"</f>
        <v>WB - In</v>
      </c>
      <c r="L771" s="1">
        <v>33</v>
      </c>
      <c r="M771" t="s">
        <v>729</v>
      </c>
      <c r="O771" t="s">
        <v>28</v>
      </c>
      <c r="P771">
        <v>8</v>
      </c>
      <c r="Q771">
        <v>1</v>
      </c>
      <c r="R771">
        <v>9</v>
      </c>
      <c r="S771" s="2">
        <v>43235</v>
      </c>
      <c r="T771" s="2">
        <v>43396</v>
      </c>
      <c r="U771" s="2">
        <v>43779</v>
      </c>
      <c r="V771" s="2">
        <v>43396</v>
      </c>
    </row>
    <row r="772" spans="1:22" x14ac:dyDescent="0.2">
      <c r="A772" t="str">
        <f>"327.73 BAR"</f>
        <v>327.73 BAR</v>
      </c>
      <c r="B772" t="str">
        <f>"Lords of the desert: the battle between "</f>
        <v xml:space="preserve">Lords of the desert: the battle between </v>
      </c>
      <c r="C772">
        <v>350831</v>
      </c>
      <c r="D772" t="str">
        <f>"Barr, James,"</f>
        <v>Barr, James,</v>
      </c>
      <c r="F772" t="str">
        <f>"vi, 454 pages, 25 cm, illustrations"</f>
        <v>vi, 454 pages, 25 cm, illustrations</v>
      </c>
      <c r="G772" s="1">
        <v>18</v>
      </c>
      <c r="H772">
        <v>2018</v>
      </c>
      <c r="I772" t="str">
        <f t="shared" si="29"/>
        <v>9: 300 - 399</v>
      </c>
      <c r="K772" t="str">
        <f>"LL - In"</f>
        <v>LL - In</v>
      </c>
      <c r="L772" s="1">
        <v>40</v>
      </c>
      <c r="M772" t="s">
        <v>730</v>
      </c>
      <c r="O772" t="s">
        <v>28</v>
      </c>
      <c r="P772">
        <v>4</v>
      </c>
      <c r="Q772">
        <v>0</v>
      </c>
      <c r="R772">
        <v>4</v>
      </c>
      <c r="S772" s="2">
        <v>43396</v>
      </c>
      <c r="T772" s="2">
        <v>43579</v>
      </c>
      <c r="U772" s="2">
        <v>43495</v>
      </c>
    </row>
    <row r="773" spans="1:22" x14ac:dyDescent="0.2">
      <c r="A773" t="str">
        <f>"327.73 BOR"</f>
        <v>327.73 BOR</v>
      </c>
      <c r="B773" t="str">
        <f>"First Congress: how James Madison, Georg"</f>
        <v>First Congress: how James Madison, Georg</v>
      </c>
      <c r="C773">
        <v>333097</v>
      </c>
      <c r="D773" t="str">
        <f>"Bordewich, Fergus M."</f>
        <v>Bordewich, Fergus M.</v>
      </c>
      <c r="F773" t="str">
        <f>"xv, 396 pages, 24 cm, illustrations"</f>
        <v>xv, 396 pages, 24 cm, illustrations</v>
      </c>
      <c r="G773" s="1">
        <v>16</v>
      </c>
      <c r="H773">
        <v>2016</v>
      </c>
      <c r="I773" t="str">
        <f t="shared" si="29"/>
        <v>9: 300 - 399</v>
      </c>
      <c r="K773" t="str">
        <f>"LL - In"</f>
        <v>LL - In</v>
      </c>
      <c r="L773" s="1">
        <v>35</v>
      </c>
      <c r="M773" t="s">
        <v>731</v>
      </c>
      <c r="O773" t="s">
        <v>28</v>
      </c>
      <c r="P773">
        <v>0</v>
      </c>
      <c r="Q773">
        <v>0</v>
      </c>
      <c r="R773">
        <v>6</v>
      </c>
      <c r="S773" s="2">
        <v>42411</v>
      </c>
      <c r="T773" s="2">
        <v>42571</v>
      </c>
      <c r="U773" s="2">
        <v>42556</v>
      </c>
    </row>
    <row r="774" spans="1:22" x14ac:dyDescent="0.2">
      <c r="A774" t="str">
        <f>"327.73 BUD"</f>
        <v>327.73 BUD</v>
      </c>
      <c r="B774" t="str">
        <f>"Code warriors: NSA's codebreakers and th"</f>
        <v>Code warriors: NSA's codebreakers and th</v>
      </c>
      <c r="C774">
        <v>342552</v>
      </c>
      <c r="D774" t="str">
        <f>"Budiansky, Stephen"</f>
        <v>Budiansky, Stephen</v>
      </c>
      <c r="F774" t="str">
        <f>"xxi, 389 pages, 25 cm, illustrations, map"</f>
        <v>xxi, 389 pages, 25 cm, illustrations, map</v>
      </c>
      <c r="G774" s="1">
        <v>17</v>
      </c>
      <c r="H774">
        <v>2016</v>
      </c>
      <c r="I774" t="str">
        <f t="shared" si="29"/>
        <v>9: 300 - 399</v>
      </c>
      <c r="K774" t="str">
        <f>"WB - In"</f>
        <v>WB - In</v>
      </c>
      <c r="L774" s="1">
        <v>35</v>
      </c>
      <c r="M774" t="s">
        <v>732</v>
      </c>
      <c r="O774" t="s">
        <v>28</v>
      </c>
      <c r="P774">
        <v>6</v>
      </c>
      <c r="Q774">
        <v>2</v>
      </c>
      <c r="R774">
        <v>8</v>
      </c>
      <c r="S774" s="2">
        <v>42936</v>
      </c>
      <c r="T774" s="2">
        <v>43131</v>
      </c>
      <c r="U774" s="2">
        <v>43112</v>
      </c>
      <c r="V774" s="2">
        <v>43109</v>
      </c>
    </row>
    <row r="775" spans="1:22" x14ac:dyDescent="0.2">
      <c r="A775" t="str">
        <f>"327.73 CHO"</f>
        <v>327.73 CHO</v>
      </c>
      <c r="B775" t="str">
        <f>"Who rules the world?"</f>
        <v>Who rules the world?</v>
      </c>
      <c r="C775">
        <v>340015</v>
      </c>
      <c r="D775" t="str">
        <f>"Chomsky, Noam"</f>
        <v>Chomsky, Noam</v>
      </c>
      <c r="F775" t="str">
        <f>"viii, 307 pages, 25 cm"</f>
        <v>viii, 307 pages, 25 cm</v>
      </c>
      <c r="G775" s="1">
        <v>17</v>
      </c>
      <c r="H775">
        <v>2016</v>
      </c>
      <c r="I775" t="str">
        <f t="shared" si="29"/>
        <v>9: 300 - 399</v>
      </c>
      <c r="K775" t="str">
        <f>"LL - Out"</f>
        <v>LL - Out</v>
      </c>
      <c r="L775" s="1">
        <v>35</v>
      </c>
      <c r="M775" t="s">
        <v>733</v>
      </c>
      <c r="O775" t="s">
        <v>28</v>
      </c>
      <c r="P775">
        <v>11</v>
      </c>
      <c r="Q775">
        <v>3</v>
      </c>
      <c r="R775">
        <v>14</v>
      </c>
      <c r="S775" s="2">
        <v>42793</v>
      </c>
      <c r="T775" s="2">
        <v>43013</v>
      </c>
      <c r="U775" s="2">
        <v>43853</v>
      </c>
      <c r="V775" s="2">
        <v>42980</v>
      </c>
    </row>
    <row r="776" spans="1:22" x14ac:dyDescent="0.2">
      <c r="A776" t="str">
        <f>"327.73 COO"</f>
        <v>327.73 COO</v>
      </c>
      <c r="B776" t="str">
        <f>"oil kings: how the U.S., Iran, and Saudi"</f>
        <v>oil kings: how the U.S., Iran, and Saudi</v>
      </c>
      <c r="C776">
        <v>302063</v>
      </c>
      <c r="D776" t="str">
        <f>"Cooper, Andrew Scott."</f>
        <v>Cooper, Andrew Scott.</v>
      </c>
      <c r="F776" t="str">
        <f>"530 p."</f>
        <v>530 p.</v>
      </c>
      <c r="G776" s="1">
        <v>11</v>
      </c>
      <c r="H776">
        <v>2011</v>
      </c>
      <c r="I776" t="str">
        <f t="shared" ref="I776:I839" si="30">"9: 300 - 399"</f>
        <v>9: 300 - 399</v>
      </c>
      <c r="K776" t="str">
        <f>"LL - In"</f>
        <v>LL - In</v>
      </c>
      <c r="L776" s="1">
        <v>33</v>
      </c>
      <c r="M776" t="s">
        <v>734</v>
      </c>
      <c r="O776" t="s">
        <v>28</v>
      </c>
      <c r="P776">
        <v>1</v>
      </c>
      <c r="Q776">
        <v>0</v>
      </c>
      <c r="R776">
        <v>12</v>
      </c>
      <c r="S776" s="2">
        <v>40760</v>
      </c>
      <c r="T776" s="2">
        <v>41053</v>
      </c>
      <c r="U776" s="2">
        <v>43632</v>
      </c>
    </row>
    <row r="777" spans="1:22" x14ac:dyDescent="0.2">
      <c r="A777" t="str">
        <f>"327.73 CRI"</f>
        <v>327.73 CRI</v>
      </c>
      <c r="B777" t="str">
        <f>"twilight war: the secret history of Amer"</f>
        <v>twilight war: the secret history of Amer</v>
      </c>
      <c r="C777">
        <v>308655</v>
      </c>
      <c r="D777" t="str">
        <f>"Crist, David."</f>
        <v>Crist, David.</v>
      </c>
      <c r="F777" t="str">
        <f>"638 p."</f>
        <v>638 p.</v>
      </c>
      <c r="G777" s="1">
        <v>12</v>
      </c>
      <c r="H777">
        <v>2012</v>
      </c>
      <c r="I777" t="str">
        <f t="shared" si="30"/>
        <v>9: 300 - 399</v>
      </c>
      <c r="K777" t="str">
        <f>"WB - In"</f>
        <v>WB - In</v>
      </c>
      <c r="L777" s="1">
        <v>41</v>
      </c>
      <c r="M777" t="s">
        <v>735</v>
      </c>
      <c r="O777" t="s">
        <v>28</v>
      </c>
      <c r="P777">
        <v>1</v>
      </c>
      <c r="Q777">
        <v>0</v>
      </c>
      <c r="R777">
        <v>3</v>
      </c>
      <c r="S777" s="2">
        <v>41107</v>
      </c>
      <c r="T777" s="2">
        <v>41432</v>
      </c>
      <c r="U777" s="2">
        <v>43120</v>
      </c>
    </row>
    <row r="778" spans="1:22" x14ac:dyDescent="0.2">
      <c r="A778" t="str">
        <f>"327.73 DOR"</f>
        <v>327.73 DOR</v>
      </c>
      <c r="B778" t="str">
        <f>"Ike's gamble: America's rise to dominanc"</f>
        <v>Ike's gamble: America's rise to dominanc</v>
      </c>
      <c r="C778">
        <v>338049</v>
      </c>
      <c r="D778" t="str">
        <f>"Doran, Michael Scott,"</f>
        <v>Doran, Michael Scott,</v>
      </c>
      <c r="F778" t="str">
        <f>"292 pages, 24 cm"</f>
        <v>292 pages, 24 cm</v>
      </c>
      <c r="G778" s="1">
        <v>16</v>
      </c>
      <c r="H778">
        <v>2016</v>
      </c>
      <c r="I778" t="str">
        <f t="shared" si="30"/>
        <v>9: 300 - 399</v>
      </c>
      <c r="K778" t="str">
        <f>"WB - In"</f>
        <v>WB - In</v>
      </c>
      <c r="L778" s="1">
        <v>33</v>
      </c>
      <c r="M778" t="s">
        <v>736</v>
      </c>
      <c r="O778" t="s">
        <v>28</v>
      </c>
      <c r="P778">
        <v>7</v>
      </c>
      <c r="Q778">
        <v>0</v>
      </c>
      <c r="R778">
        <v>11</v>
      </c>
      <c r="S778" s="2">
        <v>42667</v>
      </c>
      <c r="T778" s="2">
        <v>42872</v>
      </c>
      <c r="U778" s="2">
        <v>43239</v>
      </c>
    </row>
    <row r="779" spans="1:22" x14ac:dyDescent="0.2">
      <c r="A779" t="str">
        <f>"327.73 ETK"</f>
        <v>327.73 ETK</v>
      </c>
      <c r="B779" t="str">
        <f>"Roads not taken: an intellectual biograp"</f>
        <v>Roads not taken: an intellectual biograp</v>
      </c>
      <c r="C779">
        <v>346999</v>
      </c>
      <c r="D779" t="str">
        <f>"Ėtkind, Aleksandr,"</f>
        <v>Ėtkind, Aleksandr,</v>
      </c>
      <c r="F779" t="str">
        <f>"xiv, 290 pages, 23 cm, illustrations"</f>
        <v>xiv, 290 pages, 23 cm, illustrations</v>
      </c>
      <c r="G779" s="1">
        <v>18</v>
      </c>
      <c r="H779">
        <v>2017</v>
      </c>
      <c r="I779" t="str">
        <f t="shared" si="30"/>
        <v>9: 300 - 399</v>
      </c>
      <c r="K779" t="str">
        <f>"WB - In"</f>
        <v>WB - In</v>
      </c>
      <c r="L779" s="1">
        <v>30</v>
      </c>
      <c r="M779" t="s">
        <v>737</v>
      </c>
      <c r="O779" t="s">
        <v>28</v>
      </c>
      <c r="P779">
        <v>3</v>
      </c>
      <c r="Q779">
        <v>0</v>
      </c>
      <c r="R779">
        <v>3</v>
      </c>
      <c r="S779" s="2">
        <v>43192</v>
      </c>
      <c r="T779" s="2">
        <v>43196</v>
      </c>
      <c r="U779" s="2">
        <v>43463</v>
      </c>
    </row>
    <row r="780" spans="1:22" x14ac:dyDescent="0.2">
      <c r="A780" t="str">
        <f>"327.73 FAR"</f>
        <v>327.73 FAR</v>
      </c>
      <c r="B780" t="str">
        <f>"War on peace: the end of diplomacy and t"</f>
        <v>War on peace: the end of diplomacy and t</v>
      </c>
      <c r="C780">
        <v>347691</v>
      </c>
      <c r="D780" t="str">
        <f>"Farrow, Ronan,"</f>
        <v>Farrow, Ronan,</v>
      </c>
      <c r="F780" t="str">
        <f>"xxxiii, 392 pages, 16 unnumbered pages of plates, 25 cm, illustrations"</f>
        <v>xxxiii, 392 pages, 16 unnumbered pages of plates, 25 cm, illustrations</v>
      </c>
      <c r="G780" s="1">
        <v>18</v>
      </c>
      <c r="H780">
        <v>2018</v>
      </c>
      <c r="I780" t="str">
        <f t="shared" si="30"/>
        <v>9: 300 - 399</v>
      </c>
      <c r="K780" t="str">
        <f>"LL - In"</f>
        <v>LL - In</v>
      </c>
      <c r="L780" s="1">
        <v>33</v>
      </c>
      <c r="M780" t="s">
        <v>738</v>
      </c>
      <c r="O780" t="s">
        <v>28</v>
      </c>
      <c r="P780">
        <v>9</v>
      </c>
      <c r="Q780">
        <v>1</v>
      </c>
      <c r="R780">
        <v>10</v>
      </c>
      <c r="S780" s="2">
        <v>43235</v>
      </c>
      <c r="T780" s="2">
        <v>43409</v>
      </c>
      <c r="U780" s="2">
        <v>43384</v>
      </c>
      <c r="V780" s="2">
        <v>43761</v>
      </c>
    </row>
    <row r="781" spans="1:22" x14ac:dyDescent="0.2">
      <c r="A781" t="str">
        <f>"327.73 FIT"</f>
        <v>327.73 FIT</v>
      </c>
      <c r="B781" t="str">
        <f>"Our sister republics: the United States "</f>
        <v xml:space="preserve">Our sister republics: the United States </v>
      </c>
      <c r="C781">
        <v>336734</v>
      </c>
      <c r="D781" t="str">
        <f>"Fitz, Caitlin"</f>
        <v>Fitz, Caitlin</v>
      </c>
      <c r="F781" t="str">
        <f>"354 pages, 25 cm, map"</f>
        <v>354 pages, 25 cm, map</v>
      </c>
      <c r="G781" s="1">
        <v>16</v>
      </c>
      <c r="H781">
        <v>2016</v>
      </c>
      <c r="I781" t="str">
        <f t="shared" si="30"/>
        <v>9: 300 - 399</v>
      </c>
      <c r="K781" t="str">
        <f>"WB - In"</f>
        <v>WB - In</v>
      </c>
      <c r="L781" s="1">
        <v>35</v>
      </c>
      <c r="M781" t="s">
        <v>739</v>
      </c>
      <c r="O781" t="s">
        <v>28</v>
      </c>
      <c r="P781">
        <v>0</v>
      </c>
      <c r="Q781">
        <v>0</v>
      </c>
      <c r="R781">
        <v>4</v>
      </c>
      <c r="S781" s="2">
        <v>42591</v>
      </c>
      <c r="T781" s="2">
        <v>42760</v>
      </c>
      <c r="U781" s="2">
        <v>42714</v>
      </c>
    </row>
    <row r="782" spans="1:22" x14ac:dyDescent="0.2">
      <c r="A782" t="str">
        <f>"327.73 GIB"</f>
        <v>327.73 GIB</v>
      </c>
      <c r="B782" t="str">
        <f>"Norte: the epic and forgotten story of H"</f>
        <v>Norte: the epic and forgotten story of H</v>
      </c>
      <c r="C782">
        <v>353576</v>
      </c>
      <c r="D782" t="str">
        <f>"Gibson, Carrie,"</f>
        <v>Gibson, Carrie,</v>
      </c>
      <c r="F782" t="str">
        <f>"xvi, 560 pages, 16 unnumbered pages of plates, 25 cm, illustrations (chiefly color), maps (some color)"</f>
        <v>xvi, 560 pages, 16 unnumbered pages of plates, 25 cm, illustrations (chiefly color), maps (some color)</v>
      </c>
      <c r="G782" s="1">
        <v>19</v>
      </c>
      <c r="H782">
        <v>2019</v>
      </c>
      <c r="I782" t="str">
        <f t="shared" si="30"/>
        <v>9: 300 - 399</v>
      </c>
      <c r="K782" t="str">
        <f>"LL - In"</f>
        <v>LL - In</v>
      </c>
      <c r="L782" s="1">
        <v>35</v>
      </c>
      <c r="M782" t="s">
        <v>740</v>
      </c>
      <c r="O782" t="s">
        <v>28</v>
      </c>
      <c r="P782">
        <v>6</v>
      </c>
      <c r="Q782">
        <v>0</v>
      </c>
      <c r="R782">
        <v>6</v>
      </c>
      <c r="S782" s="2">
        <v>43542</v>
      </c>
      <c r="T782" s="2">
        <v>43745</v>
      </c>
      <c r="U782" s="2">
        <v>43702</v>
      </c>
    </row>
    <row r="783" spans="1:22" x14ac:dyDescent="0.2">
      <c r="A783" t="str">
        <f>"327.73 HAA"</f>
        <v>327.73 HAA</v>
      </c>
      <c r="B783" t="str">
        <f>"world in disarray: American foreign poli"</f>
        <v>world in disarray: American foreign poli</v>
      </c>
      <c r="C783">
        <v>339243</v>
      </c>
      <c r="D783" t="str">
        <f>"Haass, Richard."</f>
        <v>Haass, Richard.</v>
      </c>
      <c r="F783" t="str">
        <f>"xii, 339 pages, 22 cm"</f>
        <v>xii, 339 pages, 22 cm</v>
      </c>
      <c r="G783" s="1">
        <v>17</v>
      </c>
      <c r="H783">
        <v>2017</v>
      </c>
      <c r="I783" t="str">
        <f t="shared" si="30"/>
        <v>9: 300 - 399</v>
      </c>
      <c r="K783" t="str">
        <f>"LL - In"</f>
        <v>LL - In</v>
      </c>
      <c r="L783" s="1">
        <v>33</v>
      </c>
      <c r="M783" t="s">
        <v>741</v>
      </c>
      <c r="O783" t="s">
        <v>28</v>
      </c>
      <c r="P783">
        <v>8</v>
      </c>
      <c r="Q783">
        <v>0</v>
      </c>
      <c r="R783">
        <v>9</v>
      </c>
      <c r="S783" s="2">
        <v>42755</v>
      </c>
      <c r="T783" s="2">
        <v>42984</v>
      </c>
      <c r="U783" s="2">
        <v>43283</v>
      </c>
    </row>
    <row r="784" spans="1:22" x14ac:dyDescent="0.2">
      <c r="A784" t="str">
        <f>"327.73 KAP"</f>
        <v>327.73 KAP</v>
      </c>
      <c r="B784" t="str">
        <f>"return of Marco Polo's world: war, strat"</f>
        <v>return of Marco Polo's world: war, strat</v>
      </c>
      <c r="C784">
        <v>347150</v>
      </c>
      <c r="D784" t="str">
        <f>"Kaplan, Robert D."</f>
        <v>Kaplan, Robert D.</v>
      </c>
      <c r="F784" t="str">
        <f>"xiv, 280 pages, 25 cm"</f>
        <v>xiv, 280 pages, 25 cm</v>
      </c>
      <c r="G784" s="1">
        <v>18</v>
      </c>
      <c r="H784">
        <v>2018</v>
      </c>
      <c r="I784" t="str">
        <f t="shared" si="30"/>
        <v>9: 300 - 399</v>
      </c>
      <c r="K784" t="str">
        <f t="shared" ref="K784:K791" si="31">"WB - In"</f>
        <v>WB - In</v>
      </c>
      <c r="L784" s="1">
        <v>33</v>
      </c>
      <c r="M784" t="s">
        <v>742</v>
      </c>
      <c r="O784" t="s">
        <v>28</v>
      </c>
      <c r="P784">
        <v>10</v>
      </c>
      <c r="Q784">
        <v>1</v>
      </c>
      <c r="R784">
        <v>11</v>
      </c>
      <c r="S784" s="2">
        <v>43200</v>
      </c>
      <c r="T784" s="2">
        <v>43355</v>
      </c>
      <c r="U784" s="2">
        <v>43603</v>
      </c>
      <c r="V784" s="2">
        <v>43292</v>
      </c>
    </row>
    <row r="785" spans="1:22" x14ac:dyDescent="0.2">
      <c r="A785" t="str">
        <f>"327.73 KEN"</f>
        <v>327.73 KEN</v>
      </c>
      <c r="B785" t="str">
        <f>"pope and a president: John Paul II, Rona"</f>
        <v>pope and a president: John Paul II, Rona</v>
      </c>
      <c r="C785">
        <v>295443</v>
      </c>
      <c r="D785" t="str">
        <f>"Kengor, Paul,"</f>
        <v>Kengor, Paul,</v>
      </c>
      <c r="F785" t="str">
        <f>"540 p."</f>
        <v>540 p.</v>
      </c>
      <c r="G785" s="1">
        <v>17</v>
      </c>
      <c r="H785">
        <v>2017</v>
      </c>
      <c r="I785" t="str">
        <f t="shared" si="30"/>
        <v>9: 300 - 399</v>
      </c>
      <c r="K785" t="str">
        <f t="shared" si="31"/>
        <v>WB - In</v>
      </c>
      <c r="L785" s="1">
        <v>35</v>
      </c>
      <c r="M785" t="s">
        <v>743</v>
      </c>
      <c r="O785" t="s">
        <v>28</v>
      </c>
      <c r="P785">
        <v>3</v>
      </c>
      <c r="Q785">
        <v>0</v>
      </c>
      <c r="R785">
        <v>3</v>
      </c>
      <c r="S785" s="2">
        <v>42892</v>
      </c>
      <c r="T785" s="2">
        <v>43082</v>
      </c>
      <c r="U785" s="2">
        <v>43161</v>
      </c>
    </row>
    <row r="786" spans="1:22" x14ac:dyDescent="0.2">
      <c r="A786" t="str">
        <f>"327.73 KIN"</f>
        <v>327.73 KIN</v>
      </c>
      <c r="B786" t="str">
        <f>"true flag: Theodore Roosevelt, Mark Twai"</f>
        <v>true flag: Theodore Roosevelt, Mark Twai</v>
      </c>
      <c r="C786">
        <v>340010</v>
      </c>
      <c r="D786" t="str">
        <f>"Kinzer, Stephen"</f>
        <v>Kinzer, Stephen</v>
      </c>
      <c r="F786" t="str">
        <f>"306 pages, 25 cm, illustrations"</f>
        <v>306 pages, 25 cm, illustrations</v>
      </c>
      <c r="G786" s="1">
        <v>17</v>
      </c>
      <c r="H786">
        <v>2017</v>
      </c>
      <c r="I786" t="str">
        <f t="shared" si="30"/>
        <v>9: 300 - 399</v>
      </c>
      <c r="K786" t="str">
        <f t="shared" si="31"/>
        <v>WB - In</v>
      </c>
      <c r="L786" s="1">
        <v>33</v>
      </c>
      <c r="M786" t="s">
        <v>744</v>
      </c>
      <c r="O786" t="s">
        <v>28</v>
      </c>
      <c r="P786">
        <v>9</v>
      </c>
      <c r="Q786">
        <v>0</v>
      </c>
      <c r="R786">
        <v>9</v>
      </c>
      <c r="S786" s="2">
        <v>42793</v>
      </c>
      <c r="T786" s="2">
        <v>42991</v>
      </c>
      <c r="U786" s="2">
        <v>42967</v>
      </c>
    </row>
    <row r="787" spans="1:22" x14ac:dyDescent="0.2">
      <c r="A787" t="str">
        <f>"327.73 KIS"</f>
        <v>327.73 KIS</v>
      </c>
      <c r="B787" t="str">
        <f>"On China"</f>
        <v>On China</v>
      </c>
      <c r="C787">
        <v>300312</v>
      </c>
      <c r="D787" t="str">
        <f>"Kissinger, Henry,"</f>
        <v>Kissinger, Henry,</v>
      </c>
      <c r="F787" t="str">
        <f>"608 p."</f>
        <v>608 p.</v>
      </c>
      <c r="G787" s="1">
        <v>11</v>
      </c>
      <c r="H787">
        <v>2011</v>
      </c>
      <c r="I787" t="str">
        <f t="shared" si="30"/>
        <v>9: 300 - 399</v>
      </c>
      <c r="K787" t="str">
        <f t="shared" si="31"/>
        <v>WB - In</v>
      </c>
      <c r="L787" s="1">
        <v>41</v>
      </c>
      <c r="M787" t="s">
        <v>745</v>
      </c>
      <c r="O787" t="s">
        <v>28</v>
      </c>
      <c r="P787">
        <v>1</v>
      </c>
      <c r="Q787">
        <v>0</v>
      </c>
      <c r="R787">
        <v>20</v>
      </c>
      <c r="S787" s="2">
        <v>40680</v>
      </c>
      <c r="T787" s="2">
        <v>41053</v>
      </c>
      <c r="U787" s="2">
        <v>43723</v>
      </c>
      <c r="V787" s="2">
        <v>42696</v>
      </c>
    </row>
    <row r="788" spans="1:22" x14ac:dyDescent="0.2">
      <c r="A788" t="str">
        <f>"327.73 LEV"</f>
        <v>327.73 LEV</v>
      </c>
      <c r="B788" t="str">
        <f>"empire and the five kings: America's abd"</f>
        <v>empire and the five kings: America's abd</v>
      </c>
      <c r="C788">
        <v>352973</v>
      </c>
      <c r="D788" t="str">
        <f>"L�vy, Bernard-Henri"</f>
        <v>L�vy, Bernard-Henri</v>
      </c>
      <c r="G788" s="1">
        <v>19</v>
      </c>
      <c r="H788">
        <v>2019</v>
      </c>
      <c r="I788" t="str">
        <f t="shared" si="30"/>
        <v>9: 300 - 399</v>
      </c>
      <c r="K788" t="str">
        <f t="shared" si="31"/>
        <v>WB - In</v>
      </c>
      <c r="L788" s="1">
        <v>33</v>
      </c>
      <c r="M788" t="s">
        <v>746</v>
      </c>
      <c r="O788" t="s">
        <v>28</v>
      </c>
      <c r="P788">
        <v>5</v>
      </c>
      <c r="Q788">
        <v>0</v>
      </c>
      <c r="R788">
        <v>5</v>
      </c>
      <c r="S788" s="2">
        <v>43515</v>
      </c>
      <c r="T788" s="2">
        <v>43677</v>
      </c>
      <c r="U788" s="2">
        <v>43809</v>
      </c>
    </row>
    <row r="789" spans="1:22" x14ac:dyDescent="0.2">
      <c r="A789" t="str">
        <f>"327.73 MAN"</f>
        <v>327.73 MAN</v>
      </c>
      <c r="B789" t="str">
        <f>"This brave new world: India, China and t"</f>
        <v>This brave new world: India, China and t</v>
      </c>
      <c r="C789">
        <v>339015</v>
      </c>
      <c r="D789" t="str">
        <f>"Manuel, Anja"</f>
        <v>Manuel, Anja</v>
      </c>
      <c r="F789" t="str">
        <f>"xiii, 349 pages :billustrations, maps, 24 cm"</f>
        <v>xiii, 349 pages :billustrations, maps, 24 cm</v>
      </c>
      <c r="G789" s="1">
        <v>16</v>
      </c>
      <c r="H789">
        <v>2016</v>
      </c>
      <c r="I789" t="str">
        <f t="shared" si="30"/>
        <v>9: 300 - 399</v>
      </c>
      <c r="K789" t="str">
        <f t="shared" si="31"/>
        <v>WB - In</v>
      </c>
      <c r="L789" s="1">
        <v>32</v>
      </c>
      <c r="M789" t="s">
        <v>747</v>
      </c>
      <c r="O789" t="s">
        <v>28</v>
      </c>
      <c r="P789">
        <v>5</v>
      </c>
      <c r="Q789">
        <v>1</v>
      </c>
      <c r="R789">
        <v>7</v>
      </c>
      <c r="S789" s="2">
        <v>42744</v>
      </c>
      <c r="T789" s="2">
        <v>42864</v>
      </c>
      <c r="U789" s="2">
        <v>43090</v>
      </c>
      <c r="V789" s="2">
        <v>43165</v>
      </c>
    </row>
    <row r="790" spans="1:22" x14ac:dyDescent="0.2">
      <c r="A790" t="str">
        <f>"327.73 MCF"</f>
        <v>327.73 MCF</v>
      </c>
      <c r="B790" t="str">
        <f>"From Cold War to hot peace: an American "</f>
        <v xml:space="preserve">From Cold War to hot peace: an American </v>
      </c>
      <c r="C790">
        <v>349180</v>
      </c>
      <c r="D790" t="str">
        <f>"McFaul, Michael,"</f>
        <v>McFaul, Michael,</v>
      </c>
      <c r="F790" t="str">
        <f>"xiii, 506 pages, 8 unnumbered pages of plates, 24 cm, color illustrations"</f>
        <v>xiii, 506 pages, 8 unnumbered pages of plates, 24 cm, color illustrations</v>
      </c>
      <c r="G790" s="1">
        <v>18</v>
      </c>
      <c r="H790">
        <v>2018</v>
      </c>
      <c r="I790" t="str">
        <f t="shared" si="30"/>
        <v>9: 300 - 399</v>
      </c>
      <c r="K790" t="str">
        <f t="shared" si="31"/>
        <v>WB - In</v>
      </c>
      <c r="L790" s="1">
        <v>35</v>
      </c>
      <c r="M790" t="s">
        <v>748</v>
      </c>
      <c r="O790" t="s">
        <v>28</v>
      </c>
      <c r="P790">
        <v>4</v>
      </c>
      <c r="Q790">
        <v>0</v>
      </c>
      <c r="R790">
        <v>4</v>
      </c>
      <c r="S790" s="2">
        <v>43320</v>
      </c>
      <c r="T790" s="2">
        <v>43453</v>
      </c>
      <c r="U790" s="2">
        <v>43463</v>
      </c>
    </row>
    <row r="791" spans="1:22" x14ac:dyDescent="0.2">
      <c r="A791" t="str">
        <f>"327.73 MCG"</f>
        <v>327.73 MCG</v>
      </c>
      <c r="B791" t="str">
        <f>"Asia's reckoning: China, Japan, and the "</f>
        <v xml:space="preserve">Asia's reckoning: China, Japan, and the </v>
      </c>
      <c r="C791">
        <v>344679</v>
      </c>
      <c r="D791" t="str">
        <f>"McGregor, Richard,"</f>
        <v>McGregor, Richard,</v>
      </c>
      <c r="F791" t="str">
        <f>"xvii, 396 pages, 16 unnumbered pages of plates, 24 cm, illustrations, maps"</f>
        <v>xvii, 396 pages, 16 unnumbered pages of plates, 24 cm, illustrations, maps</v>
      </c>
      <c r="G791" s="1">
        <v>17</v>
      </c>
      <c r="H791">
        <v>2017</v>
      </c>
      <c r="I791" t="str">
        <f t="shared" si="30"/>
        <v>9: 300 - 399</v>
      </c>
      <c r="K791" t="str">
        <f t="shared" si="31"/>
        <v>WB - In</v>
      </c>
      <c r="L791" s="1">
        <v>33</v>
      </c>
      <c r="M791" t="s">
        <v>749</v>
      </c>
      <c r="O791" t="s">
        <v>28</v>
      </c>
      <c r="P791">
        <v>5</v>
      </c>
      <c r="Q791">
        <v>0</v>
      </c>
      <c r="R791">
        <v>5</v>
      </c>
      <c r="S791" s="2">
        <v>43054</v>
      </c>
      <c r="T791" s="2">
        <v>43257</v>
      </c>
      <c r="U791" s="2">
        <v>43229</v>
      </c>
    </row>
    <row r="792" spans="1:22" x14ac:dyDescent="0.2">
      <c r="A792" t="str">
        <f>"327.73 PER"</f>
        <v>327.73 PER</v>
      </c>
      <c r="B792" t="str">
        <f>"force so swift: Mao, Truman, and the bir"</f>
        <v>force so swift: Mao, Truman, and the bir</v>
      </c>
      <c r="C792">
        <v>343746</v>
      </c>
      <c r="D792" t="str">
        <f>"Peraino, Kevin,"</f>
        <v>Peraino, Kevin,</v>
      </c>
      <c r="F792" t="str">
        <f>"xvi, 378 pages, 25 cm, illustrations, map"</f>
        <v>xvi, 378 pages, 25 cm, illustrations, map</v>
      </c>
      <c r="G792" s="1">
        <v>17</v>
      </c>
      <c r="H792">
        <v>2017</v>
      </c>
      <c r="I792" t="str">
        <f t="shared" si="30"/>
        <v>9: 300 - 399</v>
      </c>
      <c r="K792" t="str">
        <f>"LL - In"</f>
        <v>LL - In</v>
      </c>
      <c r="L792" s="1">
        <v>33</v>
      </c>
      <c r="M792" t="s">
        <v>750</v>
      </c>
      <c r="O792" t="s">
        <v>28</v>
      </c>
      <c r="P792">
        <v>8</v>
      </c>
      <c r="Q792">
        <v>2</v>
      </c>
      <c r="R792">
        <v>10</v>
      </c>
      <c r="S792" s="2">
        <v>43006</v>
      </c>
      <c r="T792" s="2">
        <v>43227</v>
      </c>
      <c r="U792" s="2">
        <v>43211</v>
      </c>
      <c r="V792" s="2">
        <v>43058</v>
      </c>
    </row>
    <row r="793" spans="1:22" x14ac:dyDescent="0.2">
      <c r="A793" t="str">
        <f>"327.73 PIL"</f>
        <v>327.73 PIL</v>
      </c>
      <c r="B793" t="str">
        <f>"hundred-year marathon: China's secret st"</f>
        <v>hundred-year marathon: China's secret st</v>
      </c>
      <c r="C793">
        <v>359559</v>
      </c>
      <c r="D793" t="str">
        <f>"Pillsbury, Michael"</f>
        <v>Pillsbury, Michael</v>
      </c>
      <c r="F793" t="str">
        <f>"332 pages, 21 cm"</f>
        <v>332 pages, 21 cm</v>
      </c>
      <c r="G793" s="1">
        <v>19</v>
      </c>
      <c r="H793">
        <v>2016</v>
      </c>
      <c r="I793" t="str">
        <f t="shared" si="30"/>
        <v>9: 300 - 399</v>
      </c>
      <c r="K793" t="str">
        <f>"WB - In"</f>
        <v>WB - In</v>
      </c>
      <c r="L793" s="1">
        <v>23</v>
      </c>
      <c r="M793" t="s">
        <v>751</v>
      </c>
      <c r="O793" t="s">
        <v>28</v>
      </c>
      <c r="P793">
        <v>1</v>
      </c>
      <c r="Q793">
        <v>0</v>
      </c>
      <c r="R793">
        <v>1</v>
      </c>
      <c r="S793" s="2">
        <v>43802</v>
      </c>
      <c r="T793" s="2">
        <v>43809</v>
      </c>
      <c r="U793" s="2">
        <v>43809</v>
      </c>
    </row>
    <row r="794" spans="1:22" x14ac:dyDescent="0.2">
      <c r="A794" t="str">
        <f>"327.73 POM"</f>
        <v>327.73 POM</v>
      </c>
      <c r="B794" t="str">
        <f>"beautiful country and the Middle Kingdom"</f>
        <v>beautiful country and the Middle Kingdom</v>
      </c>
      <c r="C794">
        <v>299469</v>
      </c>
      <c r="D794" t="str">
        <f>"Pomfret, John,"</f>
        <v>Pomfret, John,</v>
      </c>
      <c r="F794" t="str">
        <f>"x, 693 pages, 16 unnumbered pages of plates, 25 cm, illustrations (some color), maps"</f>
        <v>x, 693 pages, 16 unnumbered pages of plates, 25 cm, illustrations (some color), maps</v>
      </c>
      <c r="G794" s="1">
        <v>18</v>
      </c>
      <c r="H794">
        <v>2016</v>
      </c>
      <c r="I794" t="str">
        <f t="shared" si="30"/>
        <v>9: 300 - 399</v>
      </c>
      <c r="K794" t="str">
        <f>"WB - In"</f>
        <v>WB - In</v>
      </c>
      <c r="L794" s="1">
        <v>27</v>
      </c>
      <c r="M794" t="s">
        <v>752</v>
      </c>
      <c r="O794" t="s">
        <v>28</v>
      </c>
      <c r="P794">
        <v>4</v>
      </c>
      <c r="Q794">
        <v>0</v>
      </c>
      <c r="R794">
        <v>4</v>
      </c>
      <c r="S794" s="2">
        <v>43131</v>
      </c>
      <c r="T794" s="2">
        <v>43306</v>
      </c>
      <c r="U794" s="2">
        <v>43276</v>
      </c>
    </row>
    <row r="795" spans="1:22" x14ac:dyDescent="0.2">
      <c r="A795" t="str">
        <f>"327.73 SCH"</f>
        <v>327.73 SCH</v>
      </c>
      <c r="B795" t="str">
        <f>"Return to Winter: Russia, China, and the"</f>
        <v>Return to Winter: Russia, China, and the</v>
      </c>
      <c r="C795">
        <v>285076</v>
      </c>
      <c r="D795" t="str">
        <f>"Schoen, Douglas E.,"</f>
        <v>Schoen, Douglas E.,</v>
      </c>
      <c r="F795" t="str">
        <f>"lix, 403 pages, 23 cm"</f>
        <v>lix, 403 pages, 23 cm</v>
      </c>
      <c r="G795" s="1">
        <v>15</v>
      </c>
      <c r="H795">
        <v>2015</v>
      </c>
      <c r="I795" t="str">
        <f t="shared" si="30"/>
        <v>9: 300 - 399</v>
      </c>
      <c r="K795" t="str">
        <f>"WB - In"</f>
        <v>WB - In</v>
      </c>
      <c r="L795" s="1">
        <v>23</v>
      </c>
      <c r="M795" t="s">
        <v>753</v>
      </c>
      <c r="O795" t="s">
        <v>28</v>
      </c>
      <c r="P795">
        <v>0</v>
      </c>
      <c r="Q795">
        <v>0</v>
      </c>
      <c r="R795">
        <v>4</v>
      </c>
      <c r="S795" s="2">
        <v>42368</v>
      </c>
      <c r="T795" s="2">
        <v>42544</v>
      </c>
      <c r="U795" s="2">
        <v>42512</v>
      </c>
    </row>
    <row r="796" spans="1:22" x14ac:dyDescent="0.2">
      <c r="A796" t="str">
        <f>"327.73 SES"</f>
        <v>327.73 SES</v>
      </c>
      <c r="B796" t="str">
        <f>"Maximalist: America in the world from Tr"</f>
        <v>Maximalist: America in the world from Tr</v>
      </c>
      <c r="C796">
        <v>320311</v>
      </c>
      <c r="D796" t="str">
        <f>"Sestanovich, Stephen,"</f>
        <v>Sestanovich, Stephen,</v>
      </c>
      <c r="F796" t="str">
        <f>"viii, 402 pages, 25 cm, illustrations"</f>
        <v>viii, 402 pages, 25 cm, illustrations</v>
      </c>
      <c r="G796" s="1">
        <v>14</v>
      </c>
      <c r="H796">
        <v>2014</v>
      </c>
      <c r="I796" t="str">
        <f t="shared" si="30"/>
        <v>9: 300 - 399</v>
      </c>
      <c r="K796" t="str">
        <f>"WB - In"</f>
        <v>WB - In</v>
      </c>
      <c r="L796" s="1">
        <v>34</v>
      </c>
      <c r="M796" t="s">
        <v>754</v>
      </c>
      <c r="O796" t="s">
        <v>28</v>
      </c>
      <c r="P796">
        <v>0</v>
      </c>
      <c r="Q796">
        <v>0</v>
      </c>
      <c r="R796">
        <v>5</v>
      </c>
      <c r="S796" s="2">
        <v>41719</v>
      </c>
      <c r="T796" s="2">
        <v>41857</v>
      </c>
      <c r="U796" s="2">
        <v>42443</v>
      </c>
      <c r="V796" s="2">
        <v>42079</v>
      </c>
    </row>
    <row r="797" spans="1:22" x14ac:dyDescent="0.2">
      <c r="A797" t="str">
        <f>"327.73 UNG"</f>
        <v>327.73 UNG</v>
      </c>
      <c r="B797" t="str">
        <f>"House of Trump, house of Putin: the unto"</f>
        <v>House of Trump, house of Putin: the unto</v>
      </c>
      <c r="C797">
        <v>349560</v>
      </c>
      <c r="D797" t="str">
        <f>"Unger, Craig"</f>
        <v>Unger, Craig</v>
      </c>
      <c r="F797" t="str">
        <f>"354 pages, 24 unnumbered pages of plates, 24 cm, color illustrations"</f>
        <v>354 pages, 24 unnumbered pages of plates, 24 cm, color illustrations</v>
      </c>
      <c r="G797" s="1">
        <v>18</v>
      </c>
      <c r="H797">
        <v>2018</v>
      </c>
      <c r="I797" t="str">
        <f t="shared" si="30"/>
        <v>9: 300 - 399</v>
      </c>
      <c r="K797" t="str">
        <f>"LL - In"</f>
        <v>LL - In</v>
      </c>
      <c r="L797" s="1">
        <v>35</v>
      </c>
      <c r="M797" t="s">
        <v>755</v>
      </c>
      <c r="O797" t="s">
        <v>28</v>
      </c>
      <c r="P797">
        <v>9</v>
      </c>
      <c r="Q797">
        <v>0</v>
      </c>
      <c r="R797">
        <v>9</v>
      </c>
      <c r="S797" s="2">
        <v>43340</v>
      </c>
      <c r="T797" s="2">
        <v>43537</v>
      </c>
      <c r="U797" s="2">
        <v>43658</v>
      </c>
    </row>
    <row r="798" spans="1:22" x14ac:dyDescent="0.2">
      <c r="A798" t="str">
        <f>"327.73 WAL"</f>
        <v>327.73 WAL</v>
      </c>
      <c r="B798" t="str">
        <f>"hell of good intentions: America's forei"</f>
        <v>hell of good intentions: America's forei</v>
      </c>
      <c r="C798">
        <v>351772</v>
      </c>
      <c r="D798" t="str">
        <f>"Walt, Stephen M.,"</f>
        <v>Walt, Stephen M.,</v>
      </c>
      <c r="F798" t="str">
        <f>"xii, 384 pages, 24 cm, illustration"</f>
        <v>xii, 384 pages, 24 cm, illustration</v>
      </c>
      <c r="G798" s="1">
        <v>18</v>
      </c>
      <c r="H798">
        <v>2018</v>
      </c>
      <c r="I798" t="str">
        <f t="shared" si="30"/>
        <v>9: 300 - 399</v>
      </c>
      <c r="K798" t="str">
        <f>"LL - In"</f>
        <v>LL - In</v>
      </c>
      <c r="L798" s="1">
        <v>33</v>
      </c>
      <c r="M798" t="s">
        <v>756</v>
      </c>
      <c r="O798" t="s">
        <v>28</v>
      </c>
      <c r="P798">
        <v>7</v>
      </c>
      <c r="Q798">
        <v>0</v>
      </c>
      <c r="R798">
        <v>7</v>
      </c>
      <c r="S798" s="2">
        <v>43444</v>
      </c>
      <c r="T798" s="2">
        <v>43731</v>
      </c>
      <c r="U798" s="2">
        <v>43685</v>
      </c>
    </row>
    <row r="799" spans="1:22" x14ac:dyDescent="0.2">
      <c r="A799" t="str">
        <f>"327.73 WEI"</f>
        <v>327.73 WEI</v>
      </c>
      <c r="B799" t="str">
        <f>"Against our better judgment: the hidden "</f>
        <v xml:space="preserve">Against our better judgment: the hidden </v>
      </c>
      <c r="C799">
        <v>334117</v>
      </c>
      <c r="D799" t="str">
        <f>"Weir, Alison."</f>
        <v>Weir, Alison.</v>
      </c>
      <c r="F799" t="str">
        <f>"vii, 240 p., 21 cm"</f>
        <v>vii, 240 p., 21 cm</v>
      </c>
      <c r="G799" s="1">
        <v>16</v>
      </c>
      <c r="H799">
        <v>2014</v>
      </c>
      <c r="I799" t="str">
        <f t="shared" si="30"/>
        <v>9: 300 - 399</v>
      </c>
      <c r="K799" t="str">
        <f>"LL - In"</f>
        <v>LL - In</v>
      </c>
      <c r="L799" s="1">
        <v>15</v>
      </c>
      <c r="M799" t="s">
        <v>757</v>
      </c>
      <c r="O799" t="s">
        <v>28</v>
      </c>
      <c r="P799">
        <v>1</v>
      </c>
      <c r="Q799">
        <v>1</v>
      </c>
      <c r="R799">
        <v>3</v>
      </c>
      <c r="S799" s="2">
        <v>42457</v>
      </c>
      <c r="T799" s="2">
        <v>42464</v>
      </c>
      <c r="U799" s="2">
        <v>42846</v>
      </c>
      <c r="V799" s="2">
        <v>43246</v>
      </c>
    </row>
    <row r="800" spans="1:22" x14ac:dyDescent="0.2">
      <c r="A800" t="str">
        <f>"327.73 ZEI"</f>
        <v>327.73 ZEI</v>
      </c>
      <c r="B800" t="str">
        <f>"absent superpower: the shale revolution "</f>
        <v xml:space="preserve">absent superpower: the shale revolution </v>
      </c>
      <c r="C800">
        <v>340468</v>
      </c>
      <c r="D800" t="str">
        <f>"Zeihan, Peter."</f>
        <v>Zeihan, Peter.</v>
      </c>
      <c r="F800" t="str">
        <f>"419 pages, 25 cm, illustrations, maps"</f>
        <v>419 pages, 25 cm, illustrations, maps</v>
      </c>
      <c r="G800" s="1">
        <v>17</v>
      </c>
      <c r="H800">
        <v>2016</v>
      </c>
      <c r="I800" t="str">
        <f t="shared" si="30"/>
        <v>9: 300 - 399</v>
      </c>
      <c r="K800" t="str">
        <f>"LL - In"</f>
        <v>LL - In</v>
      </c>
      <c r="L800" s="1">
        <v>33</v>
      </c>
      <c r="M800" t="s">
        <v>758</v>
      </c>
      <c r="O800" t="s">
        <v>28</v>
      </c>
      <c r="P800">
        <v>15</v>
      </c>
      <c r="Q800">
        <v>3</v>
      </c>
      <c r="R800">
        <v>18</v>
      </c>
      <c r="S800" s="2">
        <v>42821</v>
      </c>
      <c r="T800" s="2">
        <v>43031</v>
      </c>
      <c r="U800" s="2">
        <v>43643</v>
      </c>
      <c r="V800" s="2">
        <v>43609</v>
      </c>
    </row>
    <row r="801" spans="1:22" x14ac:dyDescent="0.2">
      <c r="A801" t="str">
        <f>"327.73 ZEI"</f>
        <v>327.73 ZEI</v>
      </c>
      <c r="B801" t="str">
        <f>"accidental superpower: the next generati"</f>
        <v>accidental superpower: the next generati</v>
      </c>
      <c r="C801">
        <v>291421</v>
      </c>
      <c r="D801" t="str">
        <f>"Zeihan, Peter."</f>
        <v>Zeihan, Peter.</v>
      </c>
      <c r="F801" t="str">
        <f>"xi, 371 pages, 24 cm, illustration, maps"</f>
        <v>xi, 371 pages, 24 cm, illustration, maps</v>
      </c>
      <c r="G801" s="1">
        <v>16</v>
      </c>
      <c r="H801">
        <v>2014</v>
      </c>
      <c r="I801" t="str">
        <f t="shared" si="30"/>
        <v>9: 300 - 399</v>
      </c>
      <c r="K801" t="str">
        <f>"WB - In"</f>
        <v>WB - In</v>
      </c>
      <c r="L801" s="1">
        <v>21</v>
      </c>
      <c r="M801" t="s">
        <v>759</v>
      </c>
      <c r="O801" t="s">
        <v>28</v>
      </c>
      <c r="P801">
        <v>5</v>
      </c>
      <c r="Q801">
        <v>2</v>
      </c>
      <c r="R801">
        <v>8</v>
      </c>
      <c r="S801" s="2">
        <v>42668</v>
      </c>
      <c r="T801" s="2">
        <v>42682</v>
      </c>
      <c r="U801" s="2">
        <v>43685</v>
      </c>
      <c r="V801" s="2">
        <v>43707</v>
      </c>
    </row>
    <row r="802" spans="1:22" x14ac:dyDescent="0.2">
      <c r="A802" t="str">
        <f>"328.3 SWA"</f>
        <v>328.3 SWA</v>
      </c>
      <c r="B802" t="str">
        <f>"speechwriter: a brief education in polit"</f>
        <v>speechwriter: a brief education in polit</v>
      </c>
      <c r="C802">
        <v>328932</v>
      </c>
      <c r="D802" t="str">
        <f>"Swaim, Barton,"</f>
        <v>Swaim, Barton,</v>
      </c>
      <c r="F802" t="str">
        <f>"204 pages, 22 cm"</f>
        <v>204 pages, 22 cm</v>
      </c>
      <c r="G802" s="1">
        <v>15</v>
      </c>
      <c r="H802">
        <v>2015</v>
      </c>
      <c r="I802" t="str">
        <f t="shared" si="30"/>
        <v>9: 300 - 399</v>
      </c>
      <c r="K802" t="str">
        <f>"WB - In"</f>
        <v>WB - In</v>
      </c>
      <c r="L802" s="1">
        <v>30</v>
      </c>
      <c r="M802" t="s">
        <v>760</v>
      </c>
      <c r="O802" t="s">
        <v>28</v>
      </c>
      <c r="P802">
        <v>0</v>
      </c>
      <c r="Q802">
        <v>0</v>
      </c>
      <c r="R802">
        <v>9</v>
      </c>
      <c r="S802" s="2">
        <v>42212</v>
      </c>
      <c r="T802" s="2">
        <v>42421</v>
      </c>
      <c r="U802" s="2">
        <v>42412</v>
      </c>
      <c r="V802" s="2">
        <v>42421</v>
      </c>
    </row>
    <row r="803" spans="1:22" x14ac:dyDescent="0.2">
      <c r="A803" t="str">
        <f>"328.73 BAI"</f>
        <v>328.73 BAI</v>
      </c>
      <c r="B803" t="str">
        <f>"All the truth is out: the week politics "</f>
        <v xml:space="preserve">All the truth is out: the week politics </v>
      </c>
      <c r="C803">
        <v>335226</v>
      </c>
      <c r="D803" t="str">
        <f>"Bai, Matt,"</f>
        <v>Bai, Matt,</v>
      </c>
      <c r="F803" t="str">
        <f>"xv, 263 pages, 25 cm, illustrations"</f>
        <v>xv, 263 pages, 25 cm, illustrations</v>
      </c>
      <c r="G803" s="1">
        <v>16</v>
      </c>
      <c r="H803">
        <v>2014</v>
      </c>
      <c r="I803" t="str">
        <f t="shared" si="30"/>
        <v>9: 300 - 399</v>
      </c>
      <c r="K803" t="str">
        <f>"WB - In"</f>
        <v>WB - In</v>
      </c>
      <c r="L803" s="1">
        <v>21</v>
      </c>
      <c r="M803" t="s">
        <v>761</v>
      </c>
      <c r="O803" t="s">
        <v>28</v>
      </c>
      <c r="P803">
        <v>0</v>
      </c>
      <c r="Q803">
        <v>1</v>
      </c>
      <c r="R803">
        <v>2</v>
      </c>
      <c r="S803" s="2">
        <v>42513</v>
      </c>
      <c r="T803" s="2">
        <v>42522</v>
      </c>
      <c r="U803" s="2">
        <v>42646</v>
      </c>
      <c r="V803" s="2">
        <v>43416</v>
      </c>
    </row>
    <row r="804" spans="1:22" x14ac:dyDescent="0.2">
      <c r="A804" t="str">
        <f>"328.73 BAI"</f>
        <v>328.73 BAI</v>
      </c>
      <c r="B804" t="str">
        <f>"front runner"</f>
        <v>front runner</v>
      </c>
      <c r="C804">
        <v>350963</v>
      </c>
      <c r="D804" t="str">
        <f>"Bai, Matt,"</f>
        <v>Bai, Matt,</v>
      </c>
      <c r="F804" t="str">
        <f>"263 p."</f>
        <v>263 p.</v>
      </c>
      <c r="G804" s="1">
        <v>18</v>
      </c>
      <c r="H804">
        <v>2014</v>
      </c>
      <c r="I804" t="str">
        <f t="shared" si="30"/>
        <v>9: 300 - 399</v>
      </c>
      <c r="K804" t="str">
        <f>"WB - In"</f>
        <v>WB - In</v>
      </c>
      <c r="L804" s="1">
        <v>21</v>
      </c>
      <c r="M804" t="s">
        <v>762</v>
      </c>
      <c r="O804" t="s">
        <v>28</v>
      </c>
      <c r="P804">
        <v>0</v>
      </c>
      <c r="Q804">
        <v>0</v>
      </c>
      <c r="R804">
        <v>0</v>
      </c>
      <c r="S804" s="2">
        <v>43402</v>
      </c>
      <c r="T804" s="2">
        <v>43420</v>
      </c>
    </row>
    <row r="805" spans="1:22" x14ac:dyDescent="0.2">
      <c r="A805" t="str">
        <f>"328.73 LES"</f>
        <v>328.73 LES</v>
      </c>
      <c r="B805" t="str">
        <f>"Republic lost: the corruption of equalit"</f>
        <v>Republic lost: the corruption of equalit</v>
      </c>
      <c r="C805">
        <v>335271</v>
      </c>
      <c r="D805" t="str">
        <f>"Lessig, Lawrence."</f>
        <v>Lessig, Lawrence.</v>
      </c>
      <c r="F805" t="str">
        <f>"xiv, 370 pages, 23 cm, illustrations"</f>
        <v>xiv, 370 pages, 23 cm, illustrations</v>
      </c>
      <c r="G805" s="1">
        <v>16</v>
      </c>
      <c r="H805">
        <v>2015</v>
      </c>
      <c r="I805" t="str">
        <f t="shared" si="30"/>
        <v>9: 300 - 399</v>
      </c>
      <c r="K805" t="str">
        <f>"LL - In"</f>
        <v>LL - In</v>
      </c>
      <c r="L805" s="1">
        <v>35</v>
      </c>
      <c r="M805" t="s">
        <v>763</v>
      </c>
      <c r="O805" t="s">
        <v>28</v>
      </c>
      <c r="P805">
        <v>0</v>
      </c>
      <c r="Q805">
        <v>1</v>
      </c>
      <c r="R805">
        <v>7</v>
      </c>
      <c r="S805" s="2">
        <v>42513</v>
      </c>
      <c r="T805" s="2">
        <v>42662</v>
      </c>
      <c r="U805" s="2">
        <v>42656</v>
      </c>
      <c r="V805" s="2">
        <v>42933</v>
      </c>
    </row>
    <row r="806" spans="1:22" x14ac:dyDescent="0.2">
      <c r="A806" t="str">
        <f>"328.73 LES"</f>
        <v>328.73 LES</v>
      </c>
      <c r="B806" t="str">
        <f>"Republic, lost: how money corrupts Congr"</f>
        <v>Republic, lost: how money corrupts Congr</v>
      </c>
      <c r="C806">
        <v>303362</v>
      </c>
      <c r="D806" t="str">
        <f>"Lessig, Lawrence."</f>
        <v>Lessig, Lawrence.</v>
      </c>
      <c r="F806" t="str">
        <f>"xiii, 383 p., 24 cm."</f>
        <v>xiii, 383 p., 24 cm.</v>
      </c>
      <c r="G806" s="1">
        <v>11</v>
      </c>
      <c r="H806">
        <v>2011</v>
      </c>
      <c r="I806" t="str">
        <f t="shared" si="30"/>
        <v>9: 300 - 399</v>
      </c>
      <c r="K806" t="str">
        <f>"WB - In"</f>
        <v>WB - In</v>
      </c>
      <c r="L806" s="1">
        <v>32</v>
      </c>
      <c r="M806" t="s">
        <v>764</v>
      </c>
      <c r="O806" t="s">
        <v>28</v>
      </c>
      <c r="P806">
        <v>0</v>
      </c>
      <c r="Q806">
        <v>0</v>
      </c>
      <c r="R806">
        <v>12</v>
      </c>
      <c r="S806" s="2">
        <v>40822</v>
      </c>
      <c r="T806" s="2">
        <v>41053</v>
      </c>
      <c r="U806" s="2">
        <v>42500</v>
      </c>
    </row>
    <row r="807" spans="1:22" x14ac:dyDescent="0.2">
      <c r="A807" t="str">
        <f>"330 ACE"</f>
        <v>330 ACE</v>
      </c>
      <c r="B807" t="str">
        <f>"Why nations fail: the origins of power, "</f>
        <v xml:space="preserve">Why nations fail: the origins of power, </v>
      </c>
      <c r="C807">
        <v>306225</v>
      </c>
      <c r="D807" t="str">
        <f>"Acemoglu, Daron."</f>
        <v>Acemoglu, Daron.</v>
      </c>
      <c r="F807" t="str">
        <f>"529 p."</f>
        <v>529 p.</v>
      </c>
      <c r="G807" s="1">
        <v>12</v>
      </c>
      <c r="H807">
        <v>2012</v>
      </c>
      <c r="I807" t="str">
        <f t="shared" si="30"/>
        <v>9: 300 - 399</v>
      </c>
      <c r="K807" t="str">
        <f>"WB - In"</f>
        <v>WB - In</v>
      </c>
      <c r="L807" s="1">
        <v>35</v>
      </c>
      <c r="M807" t="s">
        <v>765</v>
      </c>
      <c r="O807" t="s">
        <v>28</v>
      </c>
      <c r="P807">
        <v>9</v>
      </c>
      <c r="Q807">
        <v>0</v>
      </c>
      <c r="R807">
        <v>30</v>
      </c>
      <c r="S807" s="2">
        <v>40991</v>
      </c>
      <c r="T807" s="2">
        <v>41296</v>
      </c>
      <c r="U807" s="2">
        <v>43735</v>
      </c>
      <c r="V807" s="2">
        <v>41197</v>
      </c>
    </row>
    <row r="808" spans="1:22" x14ac:dyDescent="0.2">
      <c r="A808" t="str">
        <f>"330 ARI"</f>
        <v>330 ARI</v>
      </c>
      <c r="B808" t="str">
        <f>"Predictably irrational: the hidden force"</f>
        <v>Predictably irrational: the hidden force</v>
      </c>
      <c r="C808">
        <v>336019</v>
      </c>
      <c r="D808" t="str">
        <f>"Ariely, Dan"</f>
        <v>Ariely, Dan</v>
      </c>
      <c r="F808" t="str">
        <f>"xxii, 349 p., 21 cm, ill."</f>
        <v>xxii, 349 p., 21 cm, ill.</v>
      </c>
      <c r="G808" s="1">
        <v>16</v>
      </c>
      <c r="H808">
        <v>2010</v>
      </c>
      <c r="I808" t="str">
        <f t="shared" si="30"/>
        <v>9: 300 - 399</v>
      </c>
      <c r="K808" t="str">
        <f>"WB - In"</f>
        <v>WB - In</v>
      </c>
      <c r="L808" s="1">
        <v>21</v>
      </c>
      <c r="M808" t="s">
        <v>766</v>
      </c>
      <c r="O808" t="s">
        <v>28</v>
      </c>
      <c r="P808">
        <v>9</v>
      </c>
      <c r="Q808">
        <v>0</v>
      </c>
      <c r="R808">
        <v>10</v>
      </c>
      <c r="S808" s="2">
        <v>42557</v>
      </c>
      <c r="T808" s="2">
        <v>42570</v>
      </c>
      <c r="U808" s="2">
        <v>43812</v>
      </c>
    </row>
    <row r="809" spans="1:22" x14ac:dyDescent="0.2">
      <c r="A809" t="str">
        <f>"330 BAR"</f>
        <v>330 BAR</v>
      </c>
      <c r="B809" t="str">
        <f>"Thinking like an economist: a guide to r"</f>
        <v>Thinking like an economist: a guide to r</v>
      </c>
      <c r="C809">
        <v>245229</v>
      </c>
      <c r="D809" t="str">
        <f>"Bartlett, Randall"</f>
        <v>Bartlett, Randall</v>
      </c>
      <c r="E809" t="str">
        <f>"Great Courses series"</f>
        <v>Great Courses series</v>
      </c>
      <c r="F809" t="str">
        <f>"50 p."</f>
        <v>50 p.</v>
      </c>
      <c r="G809" s="1">
        <v>11</v>
      </c>
      <c r="H809">
        <v>2010</v>
      </c>
      <c r="I809" t="str">
        <f t="shared" si="30"/>
        <v>9: 300 - 399</v>
      </c>
      <c r="K809" t="str">
        <f>"LL - In"</f>
        <v>LL - In</v>
      </c>
      <c r="L809" s="1">
        <v>10</v>
      </c>
      <c r="O809" t="s">
        <v>28</v>
      </c>
      <c r="P809">
        <v>0</v>
      </c>
      <c r="Q809">
        <v>1</v>
      </c>
      <c r="R809">
        <v>6</v>
      </c>
      <c r="S809" s="2">
        <v>40576</v>
      </c>
      <c r="T809" s="2">
        <v>41053</v>
      </c>
      <c r="U809" s="2">
        <v>41277</v>
      </c>
      <c r="V809" s="2">
        <v>43171</v>
      </c>
    </row>
    <row r="810" spans="1:22" x14ac:dyDescent="0.2">
      <c r="A810" t="str">
        <f>"330 CHA"</f>
        <v>330 CHA</v>
      </c>
      <c r="B810" t="str">
        <f>"Economics: the user's guide"</f>
        <v>Economics: the user's guide</v>
      </c>
      <c r="C810">
        <v>327164</v>
      </c>
      <c r="D810" t="str">
        <f>"Chang, Ha-Joon"</f>
        <v>Chang, Ha-Joon</v>
      </c>
      <c r="F810" t="str">
        <f>"xii, 365 pages, 25 cm, illustration"</f>
        <v>xii, 365 pages, 25 cm, illustration</v>
      </c>
      <c r="G810" s="1">
        <v>15</v>
      </c>
      <c r="H810">
        <v>2014</v>
      </c>
      <c r="I810" t="str">
        <f t="shared" si="30"/>
        <v>9: 300 - 399</v>
      </c>
      <c r="K810" t="str">
        <f>"WB - In"</f>
        <v>WB - In</v>
      </c>
      <c r="L810" s="1">
        <v>35</v>
      </c>
      <c r="M810" t="s">
        <v>767</v>
      </c>
      <c r="O810" t="s">
        <v>28</v>
      </c>
      <c r="P810">
        <v>4</v>
      </c>
      <c r="Q810">
        <v>0</v>
      </c>
      <c r="R810">
        <v>13</v>
      </c>
      <c r="S810" s="2">
        <v>42124</v>
      </c>
      <c r="T810" s="2">
        <v>42482</v>
      </c>
      <c r="U810" s="2">
        <v>43785</v>
      </c>
    </row>
    <row r="811" spans="1:22" x14ac:dyDescent="0.2">
      <c r="A811" t="str">
        <f>"330 CLA"</f>
        <v>330 CLA</v>
      </c>
      <c r="B811" t="str">
        <f>"misfit economy: lessons in creativity fr"</f>
        <v>misfit economy: lessons in creativity fr</v>
      </c>
      <c r="C811">
        <v>281521</v>
      </c>
      <c r="D811" t="str">
        <f>"Clay, Alexa."</f>
        <v>Clay, Alexa.</v>
      </c>
      <c r="F811" t="str">
        <f>"248 p., 22 cm"</f>
        <v>248 p., 22 cm</v>
      </c>
      <c r="G811" s="1">
        <v>15</v>
      </c>
      <c r="H811">
        <v>2015</v>
      </c>
      <c r="I811" t="str">
        <f t="shared" si="30"/>
        <v>9: 300 - 399</v>
      </c>
      <c r="K811" t="str">
        <f>"LL - In"</f>
        <v>LL - In</v>
      </c>
      <c r="L811" s="1">
        <v>31</v>
      </c>
      <c r="M811" t="s">
        <v>768</v>
      </c>
      <c r="O811" t="s">
        <v>28</v>
      </c>
      <c r="P811">
        <v>1</v>
      </c>
      <c r="Q811">
        <v>0</v>
      </c>
      <c r="R811">
        <v>14</v>
      </c>
      <c r="S811" s="2">
        <v>42179</v>
      </c>
      <c r="T811" s="2">
        <v>42357</v>
      </c>
      <c r="U811" s="2">
        <v>43177</v>
      </c>
      <c r="V811" s="2">
        <v>42255</v>
      </c>
    </row>
    <row r="812" spans="1:22" x14ac:dyDescent="0.2">
      <c r="A812" t="str">
        <f>"330 ECO"</f>
        <v>330 ECO</v>
      </c>
      <c r="B812" t="str">
        <f>"economics book"</f>
        <v>economics book</v>
      </c>
      <c r="C812">
        <v>259631</v>
      </c>
      <c r="F812" t="str">
        <f>"352 p., 24 cm., ill."</f>
        <v>352 p., 24 cm., ill.</v>
      </c>
      <c r="G812" s="1">
        <v>12</v>
      </c>
      <c r="H812">
        <v>2012</v>
      </c>
      <c r="I812" t="str">
        <f t="shared" si="30"/>
        <v>9: 300 - 399</v>
      </c>
      <c r="K812" t="str">
        <f>"WB - In"</f>
        <v>WB - In</v>
      </c>
      <c r="L812" s="1">
        <v>30</v>
      </c>
      <c r="M812" t="s">
        <v>769</v>
      </c>
      <c r="O812" t="s">
        <v>28</v>
      </c>
      <c r="P812">
        <v>3</v>
      </c>
      <c r="Q812">
        <v>0</v>
      </c>
      <c r="R812">
        <v>13</v>
      </c>
      <c r="S812" s="2">
        <v>41144</v>
      </c>
      <c r="T812" s="2">
        <v>41145</v>
      </c>
      <c r="U812" s="2">
        <v>43457</v>
      </c>
      <c r="V812" s="2">
        <v>42423</v>
      </c>
    </row>
    <row r="813" spans="1:22" x14ac:dyDescent="0.2">
      <c r="A813" t="str">
        <f>"330 FUL"</f>
        <v>330 FUL</v>
      </c>
      <c r="B813" t="str">
        <f>"economics of uncertainty: course guidebo"</f>
        <v>economics of uncertainty: course guidebo</v>
      </c>
      <c r="C813">
        <v>286945</v>
      </c>
      <c r="D813" t="str">
        <f>"Fullenkamp, Connel."</f>
        <v>Fullenkamp, Connel.</v>
      </c>
      <c r="F813" t="str">
        <f>"181 p."</f>
        <v>181 p.</v>
      </c>
      <c r="G813" s="1">
        <v>16</v>
      </c>
      <c r="H813">
        <v>2015</v>
      </c>
      <c r="I813" t="str">
        <f t="shared" si="30"/>
        <v>9: 300 - 399</v>
      </c>
      <c r="K813" t="str">
        <f>"WB - In"</f>
        <v>WB - In</v>
      </c>
      <c r="L813" s="1">
        <v>10</v>
      </c>
      <c r="O813" t="s">
        <v>28</v>
      </c>
      <c r="P813">
        <v>0</v>
      </c>
      <c r="Q813">
        <v>0</v>
      </c>
      <c r="R813">
        <v>1</v>
      </c>
      <c r="S813" s="2">
        <v>42457</v>
      </c>
      <c r="T813" s="2">
        <v>42465</v>
      </c>
      <c r="U813" s="2">
        <v>42624</v>
      </c>
    </row>
    <row r="814" spans="1:22" x14ac:dyDescent="0.2">
      <c r="A814" t="str">
        <f>"330 IP"</f>
        <v>330 IP</v>
      </c>
      <c r="B814" t="str">
        <f>"little book of economics: how the econom"</f>
        <v>little book of economics: how the econom</v>
      </c>
      <c r="C814">
        <v>312024</v>
      </c>
      <c r="D814" t="str">
        <f>"Ip, Greg,"</f>
        <v>Ip, Greg,</v>
      </c>
      <c r="F814" t="str">
        <f>"255 p."</f>
        <v>255 p.</v>
      </c>
      <c r="G814" s="1">
        <v>12</v>
      </c>
      <c r="H814">
        <v>2013</v>
      </c>
      <c r="I814" t="str">
        <f t="shared" si="30"/>
        <v>9: 300 - 399</v>
      </c>
      <c r="K814" t="str">
        <f>"WB - Out"</f>
        <v>WB - Out</v>
      </c>
      <c r="L814" s="1">
        <v>28</v>
      </c>
      <c r="M814" t="s">
        <v>770</v>
      </c>
      <c r="O814" t="s">
        <v>28</v>
      </c>
      <c r="P814">
        <v>6</v>
      </c>
      <c r="Q814">
        <v>0</v>
      </c>
      <c r="R814">
        <v>30</v>
      </c>
      <c r="S814" s="2">
        <v>41290</v>
      </c>
      <c r="T814" s="2">
        <v>41549</v>
      </c>
      <c r="U814" s="2">
        <v>43839</v>
      </c>
    </row>
    <row r="815" spans="1:22" x14ac:dyDescent="0.2">
      <c r="A815" t="str">
        <f>"330 KLE"</f>
        <v>330 KLE</v>
      </c>
      <c r="B815" t="str">
        <f>"cartoon introduction to economics, v.2: "</f>
        <v xml:space="preserve">cartoon introduction to economics, v.2: </v>
      </c>
      <c r="C815">
        <v>253845</v>
      </c>
      <c r="D815" t="str">
        <f>"Klein, Grady."</f>
        <v>Klein, Grady.</v>
      </c>
      <c r="F815" t="str">
        <f>"227 p., 26 cm., ill."</f>
        <v>227 p., 26 cm., ill.</v>
      </c>
      <c r="G815" s="1">
        <v>11</v>
      </c>
      <c r="H815">
        <v>2012</v>
      </c>
      <c r="I815" t="str">
        <f t="shared" si="30"/>
        <v>9: 300 - 399</v>
      </c>
      <c r="K815" t="str">
        <f>"LL - In"</f>
        <v>LL - In</v>
      </c>
      <c r="L815" s="1">
        <v>23</v>
      </c>
      <c r="M815" t="s">
        <v>771</v>
      </c>
      <c r="O815" t="s">
        <v>28</v>
      </c>
      <c r="P815">
        <v>2</v>
      </c>
      <c r="Q815">
        <v>0</v>
      </c>
      <c r="R815">
        <v>11</v>
      </c>
      <c r="S815" s="2">
        <v>40907</v>
      </c>
      <c r="T815" s="2">
        <v>41053</v>
      </c>
      <c r="U815" s="2">
        <v>43515</v>
      </c>
      <c r="V815" s="2">
        <v>41441</v>
      </c>
    </row>
    <row r="816" spans="1:22" x14ac:dyDescent="0.2">
      <c r="A816" t="str">
        <f>"330 LEV"</f>
        <v>330 LEV</v>
      </c>
      <c r="B816" t="str">
        <f>"Freakonomics: a rogue economist explores"</f>
        <v>Freakonomics: a rogue economist explores</v>
      </c>
      <c r="C816">
        <v>324716</v>
      </c>
      <c r="D816" t="str">
        <f>"Levitt, Steven D."</f>
        <v>Levitt, Steven D.</v>
      </c>
      <c r="F816" t="str">
        <f>"xv, 320 p., 24 cm"</f>
        <v>xv, 320 p., 24 cm</v>
      </c>
      <c r="G816" s="1">
        <v>14</v>
      </c>
      <c r="H816">
        <v>2006</v>
      </c>
      <c r="I816" t="str">
        <f t="shared" si="30"/>
        <v>9: 300 - 399</v>
      </c>
      <c r="K816" t="str">
        <f>"LL - In"</f>
        <v>LL - In</v>
      </c>
      <c r="L816" s="1">
        <v>35</v>
      </c>
      <c r="M816" t="s">
        <v>772</v>
      </c>
      <c r="O816" t="s">
        <v>28</v>
      </c>
      <c r="P816">
        <v>9</v>
      </c>
      <c r="Q816">
        <v>2</v>
      </c>
      <c r="R816">
        <v>25</v>
      </c>
      <c r="S816" s="2">
        <v>41961</v>
      </c>
      <c r="T816" s="2">
        <v>42098</v>
      </c>
      <c r="U816" s="2">
        <v>43731</v>
      </c>
      <c r="V816" s="2">
        <v>42784</v>
      </c>
    </row>
    <row r="817" spans="1:22" x14ac:dyDescent="0.2">
      <c r="A817" t="str">
        <f>"330 LEV"</f>
        <v>330 LEV</v>
      </c>
      <c r="B817" t="str">
        <f>"Superfreakonomics: global cooling, patri"</f>
        <v>Superfreakonomics: global cooling, patri</v>
      </c>
      <c r="C817">
        <v>139702</v>
      </c>
      <c r="D817" t="str">
        <f>"Levitt, Steven D."</f>
        <v>Levitt, Steven D.</v>
      </c>
      <c r="F817" t="str">
        <f>"xvii, 270 p., 24 cm."</f>
        <v>xvii, 270 p., 24 cm.</v>
      </c>
      <c r="G817" s="1">
        <v>9</v>
      </c>
      <c r="H817">
        <v>2009</v>
      </c>
      <c r="I817" t="str">
        <f t="shared" si="30"/>
        <v>9: 300 - 399</v>
      </c>
      <c r="K817" t="str">
        <f>"LL - In"</f>
        <v>LL - In</v>
      </c>
      <c r="L817" s="1">
        <v>35</v>
      </c>
      <c r="M817" t="s">
        <v>773</v>
      </c>
      <c r="O817" t="s">
        <v>28</v>
      </c>
      <c r="P817">
        <v>1</v>
      </c>
      <c r="Q817">
        <v>0</v>
      </c>
      <c r="R817">
        <v>53</v>
      </c>
      <c r="S817" s="2">
        <v>40116</v>
      </c>
      <c r="T817" s="2">
        <v>41437</v>
      </c>
      <c r="U817" s="2">
        <v>43599</v>
      </c>
      <c r="V817" s="2">
        <v>42422</v>
      </c>
    </row>
    <row r="818" spans="1:22" x14ac:dyDescent="0.2">
      <c r="A818" t="str">
        <f>"330 LEV"</f>
        <v>330 LEV</v>
      </c>
      <c r="B818" t="str">
        <f>"Superfreakonomics: global cooling, patri"</f>
        <v>Superfreakonomics: global cooling, patri</v>
      </c>
      <c r="C818">
        <v>140038</v>
      </c>
      <c r="D818" t="str">
        <f>"Levitt, Steven D."</f>
        <v>Levitt, Steven D.</v>
      </c>
      <c r="F818" t="str">
        <f>"xvii, 270 p., 24 cm."</f>
        <v>xvii, 270 p., 24 cm.</v>
      </c>
      <c r="G818" s="1">
        <v>9</v>
      </c>
      <c r="H818">
        <v>2009</v>
      </c>
      <c r="I818" t="str">
        <f t="shared" si="30"/>
        <v>9: 300 - 399</v>
      </c>
      <c r="K818" t="str">
        <f>"WB - In"</f>
        <v>WB - In</v>
      </c>
      <c r="L818" s="1">
        <v>35</v>
      </c>
      <c r="M818" t="s">
        <v>773</v>
      </c>
      <c r="O818" t="s">
        <v>28</v>
      </c>
      <c r="P818">
        <v>5</v>
      </c>
      <c r="Q818">
        <v>0</v>
      </c>
      <c r="R818">
        <v>41</v>
      </c>
      <c r="S818" s="2">
        <v>40141</v>
      </c>
      <c r="T818" s="2">
        <v>41053</v>
      </c>
      <c r="U818" s="2">
        <v>43680</v>
      </c>
      <c r="V818" s="2">
        <v>42295</v>
      </c>
    </row>
    <row r="819" spans="1:22" x14ac:dyDescent="0.2">
      <c r="A819" t="str">
        <f>"330 RAW"</f>
        <v>330 RAW</v>
      </c>
      <c r="B819" t="str">
        <f>"Doughnut economics: seven ways to think "</f>
        <v xml:space="preserve">Doughnut economics: seven ways to think </v>
      </c>
      <c r="C819">
        <v>353415</v>
      </c>
      <c r="D819" t="str">
        <f>"Raworth, Kate"</f>
        <v>Raworth, Kate</v>
      </c>
      <c r="F819" t="str">
        <f>"309 pages, 23 cm, illustrations"</f>
        <v>309 pages, 23 cm, illustrations</v>
      </c>
      <c r="G819" s="1">
        <v>19</v>
      </c>
      <c r="H819">
        <v>2017</v>
      </c>
      <c r="I819" t="str">
        <f t="shared" si="30"/>
        <v>9: 300 - 399</v>
      </c>
      <c r="K819" t="str">
        <f>"WB - In"</f>
        <v>WB - In</v>
      </c>
      <c r="L819" s="1">
        <v>23</v>
      </c>
      <c r="M819" t="s">
        <v>774</v>
      </c>
      <c r="O819" t="s">
        <v>28</v>
      </c>
      <c r="P819">
        <v>1</v>
      </c>
      <c r="Q819">
        <v>0</v>
      </c>
      <c r="R819">
        <v>1</v>
      </c>
      <c r="S819" s="2">
        <v>43535</v>
      </c>
      <c r="T819" s="2">
        <v>43556</v>
      </c>
      <c r="U819" s="2">
        <v>43599</v>
      </c>
    </row>
    <row r="820" spans="1:22" x14ac:dyDescent="0.2">
      <c r="A820" t="str">
        <f>"330 ROT"</f>
        <v>330 ROT</v>
      </c>
      <c r="B820" t="str">
        <f>"Who gets what ...and why: the new econom"</f>
        <v>Who gets what ...and why: the new econom</v>
      </c>
      <c r="C820">
        <v>331285</v>
      </c>
      <c r="D820" t="str">
        <f>"Roth, Alvin E.,"</f>
        <v>Roth, Alvin E.,</v>
      </c>
      <c r="F820" t="str">
        <f>"260 pages, 24 cm"</f>
        <v>260 pages, 24 cm</v>
      </c>
      <c r="G820" s="1">
        <v>15</v>
      </c>
      <c r="H820">
        <v>2015</v>
      </c>
      <c r="I820" t="str">
        <f t="shared" si="30"/>
        <v>9: 300 - 399</v>
      </c>
      <c r="K820" t="str">
        <f>"LL - In"</f>
        <v>LL - In</v>
      </c>
      <c r="L820" s="1">
        <v>33</v>
      </c>
      <c r="M820" t="s">
        <v>775</v>
      </c>
      <c r="O820" t="s">
        <v>28</v>
      </c>
      <c r="P820">
        <v>4</v>
      </c>
      <c r="Q820">
        <v>1</v>
      </c>
      <c r="R820">
        <v>16</v>
      </c>
      <c r="S820" s="2">
        <v>42318</v>
      </c>
      <c r="T820" s="2">
        <v>42560</v>
      </c>
      <c r="U820" s="2">
        <v>43652</v>
      </c>
      <c r="V820" s="2">
        <v>43316</v>
      </c>
    </row>
    <row r="821" spans="1:22" x14ac:dyDescent="0.2">
      <c r="A821" t="str">
        <f>"330 THA"</f>
        <v>330 THA</v>
      </c>
      <c r="B821" t="str">
        <f>"Misbehaving: the making of behavioral ec"</f>
        <v>Misbehaving: the making of behavioral ec</v>
      </c>
      <c r="C821">
        <v>298422</v>
      </c>
      <c r="D821" t="str">
        <f>"Thaler, Richard H.,"</f>
        <v>Thaler, Richard H.,</v>
      </c>
      <c r="F821" t="str">
        <f>"xvi, 415 pages, 21 cm, illustrations"</f>
        <v>xvi, 415 pages, 21 cm, illustrations</v>
      </c>
      <c r="G821" s="1">
        <v>17</v>
      </c>
      <c r="H821">
        <v>2016</v>
      </c>
      <c r="I821" t="str">
        <f t="shared" si="30"/>
        <v>9: 300 - 399</v>
      </c>
      <c r="K821" t="str">
        <f>"WB - Out"</f>
        <v>WB - Out</v>
      </c>
      <c r="L821" s="1">
        <v>22</v>
      </c>
      <c r="M821" t="s">
        <v>776</v>
      </c>
      <c r="O821" t="s">
        <v>28</v>
      </c>
      <c r="P821">
        <v>13</v>
      </c>
      <c r="Q821">
        <v>1</v>
      </c>
      <c r="R821">
        <v>14</v>
      </c>
      <c r="S821" s="2">
        <v>43069</v>
      </c>
      <c r="T821" s="2">
        <v>43075</v>
      </c>
      <c r="U821" s="2">
        <v>43856</v>
      </c>
      <c r="V821" s="2">
        <v>43634</v>
      </c>
    </row>
    <row r="822" spans="1:22" x14ac:dyDescent="0.2">
      <c r="A822" t="str">
        <f>"330 VAR"</f>
        <v>330 VAR</v>
      </c>
      <c r="B822" t="str">
        <f>"Talking to my daughter about the economy"</f>
        <v>Talking to my daughter about the economy</v>
      </c>
      <c r="C822">
        <v>348931</v>
      </c>
      <c r="D822" t="str">
        <f>"Varoufakis, Yanis"</f>
        <v>Varoufakis, Yanis</v>
      </c>
      <c r="F822" t="str">
        <f>"209 pages, 20 cm"</f>
        <v>209 pages, 20 cm</v>
      </c>
      <c r="G822" s="1">
        <v>18</v>
      </c>
      <c r="H822">
        <v>2018</v>
      </c>
      <c r="I822" t="str">
        <f t="shared" si="30"/>
        <v>9: 300 - 399</v>
      </c>
      <c r="K822" t="str">
        <f>"WB - In"</f>
        <v>WB - In</v>
      </c>
      <c r="L822" s="1">
        <v>27</v>
      </c>
      <c r="M822" t="s">
        <v>777</v>
      </c>
      <c r="O822" t="s">
        <v>28</v>
      </c>
      <c r="P822">
        <v>7</v>
      </c>
      <c r="Q822">
        <v>1</v>
      </c>
      <c r="R822">
        <v>8</v>
      </c>
      <c r="S822" s="2">
        <v>43304</v>
      </c>
      <c r="T822" s="2">
        <v>43677</v>
      </c>
      <c r="U822" s="2">
        <v>43649</v>
      </c>
      <c r="V822" s="2">
        <v>43599</v>
      </c>
    </row>
    <row r="823" spans="1:22" x14ac:dyDescent="0.2">
      <c r="A823" t="str">
        <f>"330 WHE"</f>
        <v>330 WHE</v>
      </c>
      <c r="B823" t="str">
        <f>"Naked economics: undressing the dismal s"</f>
        <v>Naked economics: undressing the dismal s</v>
      </c>
      <c r="C823">
        <v>327179</v>
      </c>
      <c r="D823" t="str">
        <f>"Wheelan, Charles J."</f>
        <v>Wheelan, Charles J.</v>
      </c>
      <c r="F823" t="str">
        <f>"xxix, 354 p., 21 cm"</f>
        <v>xxix, 354 p., 21 cm</v>
      </c>
      <c r="G823" s="1">
        <v>15</v>
      </c>
      <c r="H823">
        <v>2010</v>
      </c>
      <c r="I823" t="str">
        <f t="shared" si="30"/>
        <v>9: 300 - 399</v>
      </c>
      <c r="K823" t="str">
        <f>"WB - In"</f>
        <v>WB - In</v>
      </c>
      <c r="L823" s="1">
        <v>22</v>
      </c>
      <c r="M823" t="s">
        <v>778</v>
      </c>
      <c r="O823" t="s">
        <v>28</v>
      </c>
      <c r="P823">
        <v>5</v>
      </c>
      <c r="Q823">
        <v>0</v>
      </c>
      <c r="R823">
        <v>9</v>
      </c>
      <c r="S823" s="2">
        <v>42124</v>
      </c>
      <c r="T823" s="2">
        <v>42129</v>
      </c>
      <c r="U823" s="2">
        <v>43723</v>
      </c>
    </row>
    <row r="824" spans="1:22" x14ac:dyDescent="0.2">
      <c r="A824" t="str">
        <f>"330 YUN"</f>
        <v>330 YUN</v>
      </c>
      <c r="B824" t="str">
        <f>"world of three zeros: the new economics "</f>
        <v xml:space="preserve">world of three zeros: the new economics </v>
      </c>
      <c r="C824">
        <v>344320</v>
      </c>
      <c r="D824" t="str">
        <f>"Yunus, Muhammad"</f>
        <v>Yunus, Muhammad</v>
      </c>
      <c r="F824" t="str">
        <f>"vii, 288 pages, 25 cm"</f>
        <v>vii, 288 pages, 25 cm</v>
      </c>
      <c r="G824" s="1">
        <v>17</v>
      </c>
      <c r="H824">
        <v>2017</v>
      </c>
      <c r="I824" t="str">
        <f t="shared" si="30"/>
        <v>9: 300 - 399</v>
      </c>
      <c r="K824" t="str">
        <f>"WB - In"</f>
        <v>WB - In</v>
      </c>
      <c r="L824" s="1">
        <v>33</v>
      </c>
      <c r="M824" t="s">
        <v>779</v>
      </c>
      <c r="O824" t="s">
        <v>28</v>
      </c>
      <c r="P824">
        <v>6</v>
      </c>
      <c r="Q824">
        <v>0</v>
      </c>
      <c r="R824">
        <v>6</v>
      </c>
      <c r="S824" s="2">
        <v>43032</v>
      </c>
      <c r="T824" s="2">
        <v>43236</v>
      </c>
      <c r="U824" s="2">
        <v>43805</v>
      </c>
    </row>
    <row r="825" spans="1:22" x14ac:dyDescent="0.2">
      <c r="A825" t="str">
        <f>"330.12 BRO"</f>
        <v>330.12 BRO</v>
      </c>
      <c r="B825" t="str">
        <f>"Buddhist economics: an enlightened appro"</f>
        <v>Buddhist economics: an enlightened appro</v>
      </c>
      <c r="C825">
        <v>340310</v>
      </c>
      <c r="D825" t="str">
        <f>"Brown, Clair,"</f>
        <v>Brown, Clair,</v>
      </c>
      <c r="F825" t="str">
        <f>"xx, 203 pages, 22 cm"</f>
        <v>xx, 203 pages, 22 cm</v>
      </c>
      <c r="G825" s="1">
        <v>17</v>
      </c>
      <c r="H825">
        <v>2017</v>
      </c>
      <c r="I825" t="str">
        <f t="shared" si="30"/>
        <v>9: 300 - 399</v>
      </c>
      <c r="K825" t="str">
        <f>"LL - In"</f>
        <v>LL - In</v>
      </c>
      <c r="L825" s="1">
        <v>30</v>
      </c>
      <c r="M825" t="s">
        <v>780</v>
      </c>
      <c r="O825" t="s">
        <v>28</v>
      </c>
      <c r="P825">
        <v>7</v>
      </c>
      <c r="Q825">
        <v>0</v>
      </c>
      <c r="R825">
        <v>7</v>
      </c>
      <c r="S825" s="2">
        <v>42814</v>
      </c>
      <c r="T825" s="2">
        <v>42991</v>
      </c>
      <c r="U825" s="2">
        <v>43607</v>
      </c>
    </row>
    <row r="826" spans="1:22" x14ac:dyDescent="0.2">
      <c r="A826" t="str">
        <f>"330.12 BRO"</f>
        <v>330.12 BRO</v>
      </c>
      <c r="B826" t="str">
        <f>"Buddhist economics: an enlightened appro"</f>
        <v>Buddhist economics: an enlightened appro</v>
      </c>
      <c r="C826">
        <v>341100</v>
      </c>
      <c r="D826" t="str">
        <f>"Brown, Clair,"</f>
        <v>Brown, Clair,</v>
      </c>
      <c r="F826" t="str">
        <f>"xx, 203 pages, 22 cm"</f>
        <v>xx, 203 pages, 22 cm</v>
      </c>
      <c r="G826" s="1">
        <v>17</v>
      </c>
      <c r="H826">
        <v>2017</v>
      </c>
      <c r="I826" t="str">
        <f t="shared" si="30"/>
        <v>9: 300 - 399</v>
      </c>
      <c r="K826" t="str">
        <f>"WB - In"</f>
        <v>WB - In</v>
      </c>
      <c r="L826" s="1">
        <v>30</v>
      </c>
      <c r="M826" t="s">
        <v>780</v>
      </c>
      <c r="O826" t="s">
        <v>28</v>
      </c>
      <c r="P826">
        <v>7</v>
      </c>
      <c r="Q826">
        <v>1</v>
      </c>
      <c r="R826">
        <v>8</v>
      </c>
      <c r="S826" s="2">
        <v>42856</v>
      </c>
      <c r="T826" s="2">
        <v>43052</v>
      </c>
      <c r="U826" s="2">
        <v>43487</v>
      </c>
      <c r="V826" s="2">
        <v>43052</v>
      </c>
    </row>
    <row r="827" spans="1:22" x14ac:dyDescent="0.2">
      <c r="A827" t="str">
        <f>"330.12 COL"</f>
        <v>330.12 COL</v>
      </c>
      <c r="B827" t="str">
        <f>"future of capitalism: a manifesto"</f>
        <v>future of capitalism: a manifesto</v>
      </c>
      <c r="C827">
        <v>351767</v>
      </c>
      <c r="D827" t="str">
        <f>"Collier, Paul."</f>
        <v>Collier, Paul.</v>
      </c>
      <c r="F827" t="str">
        <f>"215 p."</f>
        <v>215 p.</v>
      </c>
      <c r="G827" s="1">
        <v>18</v>
      </c>
      <c r="H827">
        <v>2018</v>
      </c>
      <c r="I827" t="str">
        <f t="shared" si="30"/>
        <v>9: 300 - 399</v>
      </c>
      <c r="K827" t="str">
        <f>"WB - Out"</f>
        <v>WB - Out</v>
      </c>
      <c r="L827" s="1">
        <v>35</v>
      </c>
      <c r="M827" t="s">
        <v>781</v>
      </c>
      <c r="O827" t="s">
        <v>28</v>
      </c>
      <c r="P827">
        <v>8</v>
      </c>
      <c r="Q827">
        <v>0</v>
      </c>
      <c r="R827">
        <v>8</v>
      </c>
      <c r="S827" s="2">
        <v>43444</v>
      </c>
      <c r="T827" s="2">
        <v>43642</v>
      </c>
      <c r="U827" s="2">
        <v>43839</v>
      </c>
    </row>
    <row r="828" spans="1:22" x14ac:dyDescent="0.2">
      <c r="A828" t="str">
        <f>"330.12 FRI"</f>
        <v>330.12 FRI</v>
      </c>
      <c r="B828" t="str">
        <f>"Free to choose: a personal statement"</f>
        <v>Free to choose: a personal statement</v>
      </c>
      <c r="C828">
        <v>340823</v>
      </c>
      <c r="D828" t="str">
        <f>"Friedman, Milton,"</f>
        <v>Friedman, Milton,</v>
      </c>
      <c r="F828" t="str">
        <f>"xvi, 338 p., 21 cm"</f>
        <v>xvi, 338 p., 21 cm</v>
      </c>
      <c r="G828" s="1">
        <v>17</v>
      </c>
      <c r="H828">
        <v>1990</v>
      </c>
      <c r="I828" t="str">
        <f t="shared" si="30"/>
        <v>9: 300 - 399</v>
      </c>
      <c r="K828" t="str">
        <f>"WB - In"</f>
        <v>WB - In</v>
      </c>
      <c r="L828" s="1">
        <v>21</v>
      </c>
      <c r="M828" t="s">
        <v>782</v>
      </c>
      <c r="O828" t="s">
        <v>28</v>
      </c>
      <c r="P828">
        <v>4</v>
      </c>
      <c r="Q828">
        <v>0</v>
      </c>
      <c r="R828">
        <v>4</v>
      </c>
      <c r="S828" s="2">
        <v>42842</v>
      </c>
      <c r="T828" s="2">
        <v>42845</v>
      </c>
      <c r="U828" s="2">
        <v>43773</v>
      </c>
    </row>
    <row r="829" spans="1:22" x14ac:dyDescent="0.2">
      <c r="A829" t="str">
        <f>"330.12 GIL"</f>
        <v>330.12 GIL</v>
      </c>
      <c r="B829" t="str">
        <f>"Wealth and poverty: a new edition for th"</f>
        <v>Wealth and poverty: a new edition for th</v>
      </c>
      <c r="C829">
        <v>309028</v>
      </c>
      <c r="D829" t="str">
        <f>"Gilder, George F.,"</f>
        <v>Gilder, George F.,</v>
      </c>
      <c r="F829" t="str">
        <f>"xl, 452 p., 24 cm."</f>
        <v>xl, 452 p., 24 cm.</v>
      </c>
      <c r="G829" s="1">
        <v>12</v>
      </c>
      <c r="H829">
        <v>2012</v>
      </c>
      <c r="I829" t="str">
        <f t="shared" si="30"/>
        <v>9: 300 - 399</v>
      </c>
      <c r="K829" t="str">
        <f>"LL - In"</f>
        <v>LL - In</v>
      </c>
      <c r="L829" s="1">
        <v>35</v>
      </c>
      <c r="M829" t="s">
        <v>783</v>
      </c>
      <c r="O829" t="s">
        <v>28</v>
      </c>
      <c r="P829">
        <v>2</v>
      </c>
      <c r="Q829">
        <v>1</v>
      </c>
      <c r="R829">
        <v>37</v>
      </c>
      <c r="S829" s="2">
        <v>41138</v>
      </c>
      <c r="T829" s="2">
        <v>42098</v>
      </c>
      <c r="U829" s="2">
        <v>43379</v>
      </c>
      <c r="V829" s="2">
        <v>43144</v>
      </c>
    </row>
    <row r="830" spans="1:22" x14ac:dyDescent="0.2">
      <c r="A830" t="str">
        <f>"330.12 KIN"</f>
        <v>330.12 KIN</v>
      </c>
      <c r="B830" t="str">
        <f>"end of alchemy: money, banking and the f"</f>
        <v>end of alchemy: money, banking and the f</v>
      </c>
      <c r="C830">
        <v>335237</v>
      </c>
      <c r="D830" t="str">
        <f>"King, Mervyn A."</f>
        <v>King, Mervyn A.</v>
      </c>
      <c r="F830" t="str">
        <f>"xv, 430 pages, 25 cm"</f>
        <v>xv, 430 pages, 25 cm</v>
      </c>
      <c r="G830" s="1">
        <v>16</v>
      </c>
      <c r="H830">
        <v>2016</v>
      </c>
      <c r="I830" t="str">
        <f t="shared" si="30"/>
        <v>9: 300 - 399</v>
      </c>
      <c r="K830" t="str">
        <f>"LL - In"</f>
        <v>LL - In</v>
      </c>
      <c r="L830" s="1">
        <v>34</v>
      </c>
      <c r="M830" t="s">
        <v>784</v>
      </c>
      <c r="O830" t="s">
        <v>28</v>
      </c>
      <c r="P830">
        <v>1</v>
      </c>
      <c r="Q830">
        <v>1</v>
      </c>
      <c r="R830">
        <v>5</v>
      </c>
      <c r="S830" s="2">
        <v>42513</v>
      </c>
      <c r="T830" s="2">
        <v>42662</v>
      </c>
      <c r="U830" s="2">
        <v>42974</v>
      </c>
      <c r="V830" s="2">
        <v>42772</v>
      </c>
    </row>
    <row r="831" spans="1:22" x14ac:dyDescent="0.2">
      <c r="A831" t="str">
        <f>"330.12 SMI"</f>
        <v>330.12 SMI</v>
      </c>
      <c r="B831" t="str">
        <f>"Imperialism in the twenty-first century:"</f>
        <v>Imperialism in the twenty-first century:</v>
      </c>
      <c r="C831">
        <v>348369</v>
      </c>
      <c r="D831" t="str">
        <f>"Smith, John Charles,"</f>
        <v>Smith, John Charles,</v>
      </c>
      <c r="F831" t="str">
        <f>"382 pages, 23 cm, illustrations"</f>
        <v>382 pages, 23 cm, illustrations</v>
      </c>
      <c r="G831" s="1">
        <v>18</v>
      </c>
      <c r="H831">
        <v>2016</v>
      </c>
      <c r="I831" t="str">
        <f t="shared" si="30"/>
        <v>9: 300 - 399</v>
      </c>
      <c r="K831" t="str">
        <f>"LL - In"</f>
        <v>LL - In</v>
      </c>
      <c r="L831" s="1">
        <v>33</v>
      </c>
      <c r="M831" t="s">
        <v>785</v>
      </c>
      <c r="O831" t="s">
        <v>28</v>
      </c>
      <c r="P831">
        <v>1</v>
      </c>
      <c r="Q831">
        <v>0</v>
      </c>
      <c r="R831">
        <v>1</v>
      </c>
      <c r="S831" s="2">
        <v>43276</v>
      </c>
      <c r="T831" s="2">
        <v>43279</v>
      </c>
      <c r="U831" s="2">
        <v>43281</v>
      </c>
    </row>
    <row r="832" spans="1:22" x14ac:dyDescent="0.2">
      <c r="A832" t="str">
        <f>"330.12 STR"</f>
        <v>330.12 STR</v>
      </c>
      <c r="B832" t="str">
        <f>"How will capitalism end?: essays on a fa"</f>
        <v>How will capitalism end?: essays on a fa</v>
      </c>
      <c r="C832">
        <v>341830</v>
      </c>
      <c r="D832" t="str">
        <f>"Streeck, Wolfgang,"</f>
        <v>Streeck, Wolfgang,</v>
      </c>
      <c r="F832" t="str">
        <f>"x, 262 pages, 23 cm, illustration"</f>
        <v>x, 262 pages, 23 cm, illustration</v>
      </c>
      <c r="G832" s="1">
        <v>17</v>
      </c>
      <c r="H832">
        <v>2016</v>
      </c>
      <c r="I832" t="str">
        <f t="shared" si="30"/>
        <v>9: 300 - 399</v>
      </c>
      <c r="K832" t="str">
        <f>"WB - In"</f>
        <v>WB - In</v>
      </c>
      <c r="L832" s="1">
        <v>32</v>
      </c>
      <c r="M832" t="s">
        <v>786</v>
      </c>
      <c r="O832" t="s">
        <v>28</v>
      </c>
      <c r="P832">
        <v>0</v>
      </c>
      <c r="Q832">
        <v>2</v>
      </c>
      <c r="R832">
        <v>2</v>
      </c>
      <c r="S832" s="2">
        <v>42898</v>
      </c>
      <c r="T832" s="2">
        <v>42902</v>
      </c>
      <c r="V832" s="2">
        <v>43577</v>
      </c>
    </row>
    <row r="833" spans="1:22" x14ac:dyDescent="0.2">
      <c r="A833" t="str">
        <f>"330.9 BUC"</f>
        <v>330.9 BUC</v>
      </c>
      <c r="B833" t="str">
        <f>"price of prosperity: why rich nations fa"</f>
        <v>price of prosperity: why rich nations fa</v>
      </c>
      <c r="C833">
        <v>336268</v>
      </c>
      <c r="D833" t="str">
        <f>"Buchholz, Todd G."</f>
        <v>Buchholz, Todd G.</v>
      </c>
      <c r="F833" t="str">
        <f>"xii, 367 pages, 24 cm"</f>
        <v>xii, 367 pages, 24 cm</v>
      </c>
      <c r="G833" s="1">
        <v>16</v>
      </c>
      <c r="H833">
        <v>2016</v>
      </c>
      <c r="I833" t="str">
        <f t="shared" si="30"/>
        <v>9: 300 - 399</v>
      </c>
      <c r="K833" t="str">
        <f>"WB - In"</f>
        <v>WB - In</v>
      </c>
      <c r="L833" s="1">
        <v>35</v>
      </c>
      <c r="M833" t="s">
        <v>787</v>
      </c>
      <c r="O833" t="s">
        <v>28</v>
      </c>
      <c r="P833">
        <v>1</v>
      </c>
      <c r="Q833">
        <v>0</v>
      </c>
      <c r="R833">
        <v>5</v>
      </c>
      <c r="S833" s="2">
        <v>42569</v>
      </c>
      <c r="T833" s="2">
        <v>42717</v>
      </c>
      <c r="U833" s="2">
        <v>43639</v>
      </c>
    </row>
    <row r="834" spans="1:22" x14ac:dyDescent="0.2">
      <c r="A834" t="str">
        <f>"330.9 CRA"</f>
        <v>330.9 CRA</v>
      </c>
      <c r="B834" t="str">
        <f>"billionaire raj: a journey through India"</f>
        <v>billionaire raj: a journey through India</v>
      </c>
      <c r="C834">
        <v>348900</v>
      </c>
      <c r="D834" t="str">
        <f>"Crabtree, James"</f>
        <v>Crabtree, James</v>
      </c>
      <c r="F834" t="str">
        <f>"vii, 408 pages, 25 cm, maps"</f>
        <v>vii, 408 pages, 25 cm, maps</v>
      </c>
      <c r="G834" s="1">
        <v>18</v>
      </c>
      <c r="H834">
        <v>2018</v>
      </c>
      <c r="I834" t="str">
        <f t="shared" si="30"/>
        <v>9: 300 - 399</v>
      </c>
      <c r="K834" t="str">
        <f>"LL - In"</f>
        <v>LL - In</v>
      </c>
      <c r="L834" s="1">
        <v>33</v>
      </c>
      <c r="M834" t="s">
        <v>788</v>
      </c>
      <c r="O834" t="s">
        <v>28</v>
      </c>
      <c r="P834">
        <v>5</v>
      </c>
      <c r="Q834">
        <v>1</v>
      </c>
      <c r="R834">
        <v>6</v>
      </c>
      <c r="S834" s="2">
        <v>43304</v>
      </c>
      <c r="T834" s="2">
        <v>43510</v>
      </c>
      <c r="U834" s="2">
        <v>43489</v>
      </c>
      <c r="V834" s="2">
        <v>43510</v>
      </c>
    </row>
    <row r="835" spans="1:22" x14ac:dyDescent="0.2">
      <c r="A835" t="str">
        <f>"330.9 DAS"</f>
        <v>330.9 DAS</v>
      </c>
      <c r="B835" t="str">
        <f>"Capital: the eruption of Delhi"</f>
        <v>Capital: the eruption of Delhi</v>
      </c>
      <c r="C835">
        <v>335652</v>
      </c>
      <c r="D835" t="str">
        <f>"Dasgupta, Rana,"</f>
        <v>Dasgupta, Rana,</v>
      </c>
      <c r="F835" t="str">
        <f>"xiii, 466 pages, 21 cm"</f>
        <v>xiii, 466 pages, 21 cm</v>
      </c>
      <c r="G835" s="1">
        <v>16</v>
      </c>
      <c r="H835">
        <v>2015</v>
      </c>
      <c r="I835" t="str">
        <f t="shared" si="30"/>
        <v>9: 300 - 399</v>
      </c>
      <c r="K835" t="str">
        <f>"WB - In"</f>
        <v>WB - In</v>
      </c>
      <c r="L835" s="1">
        <v>23</v>
      </c>
      <c r="M835" t="s">
        <v>789</v>
      </c>
      <c r="O835" t="s">
        <v>28</v>
      </c>
      <c r="P835">
        <v>4</v>
      </c>
      <c r="Q835">
        <v>0</v>
      </c>
      <c r="R835">
        <v>5</v>
      </c>
      <c r="S835" s="2">
        <v>42534</v>
      </c>
      <c r="T835" s="2">
        <v>42538</v>
      </c>
      <c r="U835" s="2">
        <v>43621</v>
      </c>
    </row>
    <row r="836" spans="1:22" x14ac:dyDescent="0.2">
      <c r="A836" t="str">
        <f>"330.9 KHA"</f>
        <v>330.9 KHA</v>
      </c>
      <c r="B836" t="str">
        <f>"future Is Asian"</f>
        <v>future Is Asian</v>
      </c>
      <c r="C836">
        <v>354903</v>
      </c>
      <c r="D836" t="str">
        <f>"Khanna, Parag"</f>
        <v>Khanna, Parag</v>
      </c>
      <c r="F836" t="str">
        <f>"359 p."</f>
        <v>359 p.</v>
      </c>
      <c r="G836" s="1">
        <v>19</v>
      </c>
      <c r="H836">
        <v>2019</v>
      </c>
      <c r="I836" t="str">
        <f t="shared" si="30"/>
        <v>9: 300 - 399</v>
      </c>
      <c r="K836" t="str">
        <f>"WB - In"</f>
        <v>WB - In</v>
      </c>
      <c r="L836" s="1">
        <v>35</v>
      </c>
      <c r="M836" t="s">
        <v>790</v>
      </c>
      <c r="O836" t="s">
        <v>28</v>
      </c>
      <c r="P836">
        <v>4</v>
      </c>
      <c r="Q836">
        <v>0</v>
      </c>
      <c r="R836">
        <v>4</v>
      </c>
      <c r="S836" s="2">
        <v>43606</v>
      </c>
      <c r="T836" s="2">
        <v>43782</v>
      </c>
      <c r="U836" s="2">
        <v>43757</v>
      </c>
    </row>
    <row r="837" spans="1:22" x14ac:dyDescent="0.2">
      <c r="A837" t="str">
        <f>"330.9 LEV"</f>
        <v>330.9 LEV</v>
      </c>
      <c r="B837" t="str">
        <f>"extraordinary time: the end of the postw"</f>
        <v>extraordinary time: the end of the postw</v>
      </c>
      <c r="C837">
        <v>338767</v>
      </c>
      <c r="D837" t="str">
        <f>"Levinson, Marc."</f>
        <v>Levinson, Marc.</v>
      </c>
      <c r="F837" t="str">
        <f>"326 pages, 25 cm"</f>
        <v>326 pages, 25 cm</v>
      </c>
      <c r="G837" s="1">
        <v>16</v>
      </c>
      <c r="H837">
        <v>2016</v>
      </c>
      <c r="I837" t="str">
        <f t="shared" si="30"/>
        <v>9: 300 - 399</v>
      </c>
      <c r="K837" t="str">
        <f>"WB - In"</f>
        <v>WB - In</v>
      </c>
      <c r="L837" s="1">
        <v>33</v>
      </c>
      <c r="M837" t="s">
        <v>791</v>
      </c>
      <c r="O837" t="s">
        <v>28</v>
      </c>
      <c r="P837">
        <v>5</v>
      </c>
      <c r="Q837">
        <v>0</v>
      </c>
      <c r="R837">
        <v>7</v>
      </c>
      <c r="S837" s="2">
        <v>42723</v>
      </c>
      <c r="T837" s="2">
        <v>42864</v>
      </c>
      <c r="U837" s="2">
        <v>43644</v>
      </c>
    </row>
    <row r="838" spans="1:22" x14ac:dyDescent="0.2">
      <c r="A838" t="str">
        <f>"330.9 LEW"</f>
        <v>330.9 LEW</v>
      </c>
      <c r="B838" t="str">
        <f>"Boomerang: travels in the new Third Worl"</f>
        <v>Boomerang: travels in the new Third Worl</v>
      </c>
      <c r="C838">
        <v>303198</v>
      </c>
      <c r="D838" t="str">
        <f>"Lewis, Michael"</f>
        <v>Lewis, Michael</v>
      </c>
      <c r="F838" t="str">
        <f>"213 p., 22 cm."</f>
        <v>213 p., 22 cm.</v>
      </c>
      <c r="G838" s="1">
        <v>11</v>
      </c>
      <c r="H838">
        <v>2011</v>
      </c>
      <c r="I838" t="str">
        <f t="shared" si="30"/>
        <v>9: 300 - 399</v>
      </c>
      <c r="K838" t="str">
        <f>"WB - In"</f>
        <v>WB - In</v>
      </c>
      <c r="L838" s="1">
        <v>31</v>
      </c>
      <c r="M838" t="s">
        <v>792</v>
      </c>
      <c r="O838" t="s">
        <v>28</v>
      </c>
      <c r="P838">
        <v>6</v>
      </c>
      <c r="Q838">
        <v>1</v>
      </c>
      <c r="R838">
        <v>35</v>
      </c>
      <c r="S838" s="2">
        <v>40820</v>
      </c>
      <c r="T838" s="2">
        <v>41199</v>
      </c>
      <c r="U838" s="2">
        <v>43695</v>
      </c>
      <c r="V838" s="2">
        <v>43077</v>
      </c>
    </row>
    <row r="839" spans="1:22" x14ac:dyDescent="0.2">
      <c r="A839" t="str">
        <f>"330.9 LEW"</f>
        <v>330.9 LEW</v>
      </c>
      <c r="B839" t="str">
        <f>"Boomerang: travels in the new Third Worl"</f>
        <v>Boomerang: travels in the new Third Worl</v>
      </c>
      <c r="C839">
        <v>303199</v>
      </c>
      <c r="D839" t="str">
        <f>"Lewis, Michael"</f>
        <v>Lewis, Michael</v>
      </c>
      <c r="F839" t="str">
        <f>"213 p., 22 cm."</f>
        <v>213 p., 22 cm.</v>
      </c>
      <c r="G839" s="1">
        <v>11</v>
      </c>
      <c r="H839">
        <v>2011</v>
      </c>
      <c r="I839" t="str">
        <f t="shared" si="30"/>
        <v>9: 300 - 399</v>
      </c>
      <c r="K839" t="str">
        <f>"LL - In"</f>
        <v>LL - In</v>
      </c>
      <c r="L839" s="1">
        <v>31</v>
      </c>
      <c r="M839" t="s">
        <v>792</v>
      </c>
      <c r="O839" t="s">
        <v>28</v>
      </c>
      <c r="P839">
        <v>4</v>
      </c>
      <c r="Q839">
        <v>0</v>
      </c>
      <c r="R839">
        <v>33</v>
      </c>
      <c r="S839" s="2">
        <v>40820</v>
      </c>
      <c r="T839" s="2">
        <v>41129</v>
      </c>
      <c r="U839" s="2">
        <v>43661</v>
      </c>
      <c r="V839" s="2">
        <v>41767</v>
      </c>
    </row>
    <row r="840" spans="1:22" x14ac:dyDescent="0.2">
      <c r="A840" t="str">
        <f>"330.9 NOR"</f>
        <v>330.9 NOR</v>
      </c>
      <c r="B840" t="str">
        <f>"Progress: ten reasons to look forward to"</f>
        <v>Progress: ten reasons to look forward to</v>
      </c>
      <c r="C840">
        <v>350683</v>
      </c>
      <c r="D840" t="str">
        <f>"Norberg, Johan."</f>
        <v>Norberg, Johan.</v>
      </c>
      <c r="F840" t="str">
        <f>"218 p."</f>
        <v>218 p.</v>
      </c>
      <c r="G840" s="1">
        <v>18</v>
      </c>
      <c r="H840">
        <v>2017</v>
      </c>
      <c r="I840" t="str">
        <f t="shared" ref="I840:I903" si="32">"9: 300 - 399"</f>
        <v>9: 300 - 399</v>
      </c>
      <c r="K840" t="str">
        <f>"LL - In"</f>
        <v>LL - In</v>
      </c>
      <c r="L840" s="1">
        <v>21</v>
      </c>
      <c r="M840" t="s">
        <v>793</v>
      </c>
      <c r="O840" t="s">
        <v>28</v>
      </c>
      <c r="P840">
        <v>1</v>
      </c>
      <c r="Q840">
        <v>0</v>
      </c>
      <c r="R840">
        <v>1</v>
      </c>
      <c r="S840" s="2">
        <v>43389</v>
      </c>
      <c r="T840" s="2">
        <v>43391</v>
      </c>
      <c r="U840" s="2">
        <v>43392</v>
      </c>
    </row>
    <row r="841" spans="1:22" x14ac:dyDescent="0.2">
      <c r="A841" t="str">
        <f>"330.9 PEI"</f>
        <v>330.9 PEI</v>
      </c>
      <c r="B841" t="str">
        <f>"China's crony capitalism: the dynamics o"</f>
        <v>China's crony capitalism: the dynamics o</v>
      </c>
      <c r="C841">
        <v>338128</v>
      </c>
      <c r="D841" t="str">
        <f>"Pei, Minxin"</f>
        <v>Pei, Minxin</v>
      </c>
      <c r="F841" t="str">
        <f>"365 pages, 22 cm"</f>
        <v>365 pages, 22 cm</v>
      </c>
      <c r="G841" s="1">
        <v>16</v>
      </c>
      <c r="H841">
        <v>2016</v>
      </c>
      <c r="I841" t="str">
        <f t="shared" si="32"/>
        <v>9: 300 - 399</v>
      </c>
      <c r="K841" t="str">
        <f>"WB - In"</f>
        <v>WB - In</v>
      </c>
      <c r="L841" s="1">
        <v>40</v>
      </c>
      <c r="M841" t="s">
        <v>794</v>
      </c>
      <c r="O841" t="s">
        <v>28</v>
      </c>
      <c r="P841">
        <v>4</v>
      </c>
      <c r="Q841">
        <v>2</v>
      </c>
      <c r="R841">
        <v>8</v>
      </c>
      <c r="S841" s="2">
        <v>42675</v>
      </c>
      <c r="T841" s="2">
        <v>42837</v>
      </c>
      <c r="U841" s="2">
        <v>43217</v>
      </c>
      <c r="V841" s="2">
        <v>43001</v>
      </c>
    </row>
    <row r="842" spans="1:22" x14ac:dyDescent="0.2">
      <c r="A842" t="str">
        <f>"330.9 PHE"</f>
        <v>330.9 PHE</v>
      </c>
      <c r="B842" t="str">
        <f>"Mass flourishing: how grassroots innovat"</f>
        <v>Mass flourishing: how grassroots innovat</v>
      </c>
      <c r="C842">
        <v>268399</v>
      </c>
      <c r="D842" t="str">
        <f>"Phelps, Edmund S."</f>
        <v>Phelps, Edmund S.</v>
      </c>
      <c r="F842" t="str">
        <f>"xii, 378 p., 24 cm"</f>
        <v>xii, 378 p., 24 cm</v>
      </c>
      <c r="G842" s="1">
        <v>13</v>
      </c>
      <c r="H842">
        <v>2013</v>
      </c>
      <c r="I842" t="str">
        <f t="shared" si="32"/>
        <v>9: 300 - 399</v>
      </c>
      <c r="K842" t="str">
        <f>"LL - In"</f>
        <v>LL - In</v>
      </c>
      <c r="L842" s="1">
        <v>35</v>
      </c>
      <c r="M842" t="s">
        <v>795</v>
      </c>
      <c r="O842" t="s">
        <v>28</v>
      </c>
      <c r="P842">
        <v>1</v>
      </c>
      <c r="Q842">
        <v>0</v>
      </c>
      <c r="R842">
        <v>7</v>
      </c>
      <c r="S842" s="2">
        <v>41513</v>
      </c>
      <c r="T842" s="2">
        <v>41648</v>
      </c>
      <c r="U842" s="2">
        <v>43296</v>
      </c>
      <c r="V842" s="2">
        <v>42576</v>
      </c>
    </row>
    <row r="843" spans="1:22" x14ac:dyDescent="0.2">
      <c r="A843" t="str">
        <f>"330.9 REI"</f>
        <v>330.9 REI</v>
      </c>
      <c r="B843" t="str">
        <f>"Reimagining India: unlocking the potenti"</f>
        <v>Reimagining India: unlocking the potenti</v>
      </c>
      <c r="C843">
        <v>318132</v>
      </c>
      <c r="F843" t="str">
        <f>"384 p."</f>
        <v>384 p.</v>
      </c>
      <c r="G843" s="1">
        <v>13</v>
      </c>
      <c r="H843">
        <v>2013</v>
      </c>
      <c r="I843" t="str">
        <f t="shared" si="32"/>
        <v>9: 300 - 399</v>
      </c>
      <c r="K843" t="str">
        <f>"LL - In"</f>
        <v>LL - In</v>
      </c>
      <c r="L843" s="1">
        <v>35</v>
      </c>
      <c r="M843" t="s">
        <v>796</v>
      </c>
      <c r="O843" t="s">
        <v>28</v>
      </c>
      <c r="P843">
        <v>2</v>
      </c>
      <c r="Q843">
        <v>0</v>
      </c>
      <c r="R843">
        <v>18</v>
      </c>
      <c r="S843" s="2">
        <v>41604</v>
      </c>
      <c r="T843" s="2">
        <v>41946</v>
      </c>
      <c r="U843" s="2">
        <v>43375</v>
      </c>
      <c r="V843" s="2">
        <v>42040</v>
      </c>
    </row>
    <row r="844" spans="1:22" x14ac:dyDescent="0.2">
      <c r="A844" t="str">
        <f>"330.9 SHA"</f>
        <v>330.9 SHA</v>
      </c>
      <c r="B844" t="str">
        <f>"rise and fall of nations: forces of chan"</f>
        <v>rise and fall of nations: forces of chan</v>
      </c>
      <c r="C844">
        <v>336020</v>
      </c>
      <c r="D844" t="str">
        <f>"Sharma, Ruchir"</f>
        <v>Sharma, Ruchir</v>
      </c>
      <c r="F844" t="str">
        <f>"xii, 466 pages, 25 cm"</f>
        <v>xii, 466 pages, 25 cm</v>
      </c>
      <c r="G844" s="1">
        <v>16</v>
      </c>
      <c r="H844">
        <v>2016</v>
      </c>
      <c r="I844" t="str">
        <f t="shared" si="32"/>
        <v>9: 300 - 399</v>
      </c>
      <c r="K844" t="str">
        <f>"LL - In"</f>
        <v>LL - In</v>
      </c>
      <c r="L844" s="1">
        <v>33</v>
      </c>
      <c r="M844" t="s">
        <v>797</v>
      </c>
      <c r="O844" t="s">
        <v>28</v>
      </c>
      <c r="P844">
        <v>2</v>
      </c>
      <c r="Q844">
        <v>0</v>
      </c>
      <c r="R844">
        <v>12</v>
      </c>
      <c r="S844" s="2">
        <v>42557</v>
      </c>
      <c r="T844" s="2">
        <v>42719</v>
      </c>
      <c r="U844" s="2">
        <v>43327</v>
      </c>
      <c r="V844" s="2">
        <v>42725</v>
      </c>
    </row>
    <row r="845" spans="1:22" x14ac:dyDescent="0.2">
      <c r="A845" t="str">
        <f>"330.97 DEN"</f>
        <v>330.97 DEN</v>
      </c>
      <c r="B845" t="str">
        <f>"demographic cliff: how to survive and pr"</f>
        <v>demographic cliff: how to survive and pr</v>
      </c>
      <c r="C845">
        <v>318940</v>
      </c>
      <c r="D845" t="str">
        <f>"Dent, Harry S."</f>
        <v>Dent, Harry S.</v>
      </c>
      <c r="F845" t="str">
        <f>"358 p."</f>
        <v>358 p.</v>
      </c>
      <c r="G845" s="1">
        <v>14</v>
      </c>
      <c r="H845">
        <v>2014</v>
      </c>
      <c r="I845" t="str">
        <f t="shared" si="32"/>
        <v>9: 300 - 399</v>
      </c>
      <c r="K845" t="str">
        <f>"WB - In"</f>
        <v>WB - In</v>
      </c>
      <c r="L845" s="1">
        <v>33</v>
      </c>
      <c r="M845" t="s">
        <v>798</v>
      </c>
      <c r="O845" t="s">
        <v>28</v>
      </c>
      <c r="P845">
        <v>3</v>
      </c>
      <c r="Q845">
        <v>0</v>
      </c>
      <c r="R845">
        <v>16</v>
      </c>
      <c r="S845" s="2">
        <v>41655</v>
      </c>
      <c r="T845" s="2">
        <v>41898</v>
      </c>
      <c r="U845" s="2">
        <v>43761</v>
      </c>
    </row>
    <row r="846" spans="1:22" x14ac:dyDescent="0.2">
      <c r="A846" t="str">
        <f>"330.97 DEN"</f>
        <v>330.97 DEN</v>
      </c>
      <c r="B846" t="str">
        <f>"sale of a lifetime: how the great bubble"</f>
        <v>sale of a lifetime: how the great bubble</v>
      </c>
      <c r="C846">
        <v>291504</v>
      </c>
      <c r="D846" t="str">
        <f>"Dent, Harry S."</f>
        <v>Dent, Harry S.</v>
      </c>
      <c r="F846" t="str">
        <f>"297 pages, 22 cm, illustrations"</f>
        <v>297 pages, 22 cm, illustrations</v>
      </c>
      <c r="G846" s="1">
        <v>16</v>
      </c>
      <c r="H846">
        <v>2016</v>
      </c>
      <c r="I846" t="str">
        <f t="shared" si="32"/>
        <v>9: 300 - 399</v>
      </c>
      <c r="K846" t="str">
        <f>"WB - In"</f>
        <v>WB - In</v>
      </c>
      <c r="L846" s="1">
        <v>45</v>
      </c>
      <c r="M846" t="s">
        <v>799</v>
      </c>
      <c r="O846" t="s">
        <v>28</v>
      </c>
      <c r="P846">
        <v>5</v>
      </c>
      <c r="Q846">
        <v>0</v>
      </c>
      <c r="R846">
        <v>8</v>
      </c>
      <c r="S846" s="2">
        <v>42675</v>
      </c>
      <c r="T846" s="2">
        <v>42682</v>
      </c>
      <c r="U846" s="2">
        <v>43761</v>
      </c>
      <c r="V846" s="2">
        <v>42743</v>
      </c>
    </row>
    <row r="847" spans="1:22" x14ac:dyDescent="0.2">
      <c r="A847" t="str">
        <f>"330.97 FEI"</f>
        <v>330.97 FEI</v>
      </c>
      <c r="B847" t="str">
        <f>"Open for business: building the new Cuba"</f>
        <v>Open for business: building the new Cuba</v>
      </c>
      <c r="C847">
        <v>337910</v>
      </c>
      <c r="D847" t="str">
        <f>"Feinberg, Richard E."</f>
        <v>Feinberg, Richard E.</v>
      </c>
      <c r="F847" t="str">
        <f>"264 pages, 24 cm"</f>
        <v>264 pages, 24 cm</v>
      </c>
      <c r="G847" s="1">
        <v>16</v>
      </c>
      <c r="H847">
        <v>2016</v>
      </c>
      <c r="I847" t="str">
        <f t="shared" si="32"/>
        <v>9: 300 - 399</v>
      </c>
      <c r="K847" t="str">
        <f>"LL - In"</f>
        <v>LL - In</v>
      </c>
      <c r="L847" s="1">
        <v>27</v>
      </c>
      <c r="M847" t="s">
        <v>800</v>
      </c>
      <c r="O847" t="s">
        <v>28</v>
      </c>
      <c r="P847">
        <v>1</v>
      </c>
      <c r="Q847">
        <v>0</v>
      </c>
      <c r="R847">
        <v>2</v>
      </c>
      <c r="S847" s="2">
        <v>42661</v>
      </c>
      <c r="T847" s="2">
        <v>42833</v>
      </c>
      <c r="U847" s="2">
        <v>43030</v>
      </c>
    </row>
    <row r="848" spans="1:22" x14ac:dyDescent="0.2">
      <c r="A848" t="str">
        <f>"330.97 GEI"</f>
        <v>330.97 GEI</v>
      </c>
      <c r="B848" t="str">
        <f>"Stress test: reflections on financial cr"</f>
        <v>Stress test: reflections on financial cr</v>
      </c>
      <c r="C848">
        <v>321459</v>
      </c>
      <c r="D848" t="str">
        <f>"Geithner, Timothy F"</f>
        <v>Geithner, Timothy F</v>
      </c>
      <c r="F848" t="str">
        <f>"580 p., 25 cm, ill."</f>
        <v>580 p., 25 cm, ill.</v>
      </c>
      <c r="G848" s="1">
        <v>14</v>
      </c>
      <c r="H848">
        <v>2014</v>
      </c>
      <c r="I848" t="str">
        <f t="shared" si="32"/>
        <v>9: 300 - 399</v>
      </c>
      <c r="K848" t="str">
        <f>"WB - In"</f>
        <v>WB - In</v>
      </c>
      <c r="L848" s="1">
        <v>40</v>
      </c>
      <c r="M848" t="s">
        <v>801</v>
      </c>
      <c r="O848" t="s">
        <v>28</v>
      </c>
      <c r="P848">
        <v>2</v>
      </c>
      <c r="Q848">
        <v>0</v>
      </c>
      <c r="R848">
        <v>8</v>
      </c>
      <c r="S848" s="2">
        <v>41779</v>
      </c>
      <c r="T848" s="2">
        <v>41884</v>
      </c>
      <c r="U848" s="2">
        <v>43630</v>
      </c>
    </row>
    <row r="849" spans="1:22" x14ac:dyDescent="0.2">
      <c r="A849" t="str">
        <f>"330.97 GIL"</f>
        <v>330.97 GIL</v>
      </c>
      <c r="B849" t="str">
        <f>"scandal of money: why Wall Street recove"</f>
        <v>scandal of money: why Wall Street recove</v>
      </c>
      <c r="C849">
        <v>335274</v>
      </c>
      <c r="D849" t="str">
        <f>"Gilder, George F.,"</f>
        <v>Gilder, George F.,</v>
      </c>
      <c r="F849" t="str">
        <f>"xxii, 202 pages, 24 cm"</f>
        <v>xxii, 202 pages, 24 cm</v>
      </c>
      <c r="G849" s="1">
        <v>16</v>
      </c>
      <c r="H849">
        <v>2016</v>
      </c>
      <c r="I849" t="str">
        <f t="shared" si="32"/>
        <v>9: 300 - 399</v>
      </c>
      <c r="K849" t="str">
        <f>"WB - In"</f>
        <v>WB - In</v>
      </c>
      <c r="L849" s="1">
        <v>33</v>
      </c>
      <c r="M849" t="s">
        <v>802</v>
      </c>
      <c r="O849" t="s">
        <v>28</v>
      </c>
      <c r="P849">
        <v>2</v>
      </c>
      <c r="Q849">
        <v>0</v>
      </c>
      <c r="R849">
        <v>6</v>
      </c>
      <c r="S849" s="2">
        <v>42513</v>
      </c>
      <c r="T849" s="2">
        <v>42662</v>
      </c>
      <c r="U849" s="2">
        <v>42964</v>
      </c>
    </row>
    <row r="850" spans="1:22" x14ac:dyDescent="0.2">
      <c r="A850" t="str">
        <f>"330.97 GOL"</f>
        <v>330.97 GOL</v>
      </c>
      <c r="B850" t="str">
        <f>"Janesville: an American story"</f>
        <v>Janesville: an American story</v>
      </c>
      <c r="C850">
        <v>341212</v>
      </c>
      <c r="D850" t="str">
        <f>"Goldstein, Amy,"</f>
        <v>Goldstein, Amy,</v>
      </c>
      <c r="F850" t="str">
        <f>"297 p."</f>
        <v>297 p.</v>
      </c>
      <c r="G850" s="1">
        <v>17</v>
      </c>
      <c r="H850">
        <v>2017</v>
      </c>
      <c r="I850" t="str">
        <f t="shared" si="32"/>
        <v>9: 300 - 399</v>
      </c>
      <c r="K850" t="str">
        <f>"LL - In"</f>
        <v>LL - In</v>
      </c>
      <c r="L850" s="1">
        <v>32</v>
      </c>
      <c r="M850" t="s">
        <v>803</v>
      </c>
      <c r="O850" t="s">
        <v>28</v>
      </c>
      <c r="P850">
        <v>9</v>
      </c>
      <c r="Q850">
        <v>3</v>
      </c>
      <c r="R850">
        <v>12</v>
      </c>
      <c r="S850" s="2">
        <v>42864</v>
      </c>
      <c r="T850" s="2">
        <v>43052</v>
      </c>
      <c r="U850" s="2">
        <v>43203</v>
      </c>
      <c r="V850" s="2">
        <v>43109</v>
      </c>
    </row>
    <row r="851" spans="1:22" x14ac:dyDescent="0.2">
      <c r="A851" t="str">
        <f>"330.97 KOT"</f>
        <v>330.97 KOT</v>
      </c>
      <c r="B851" t="str">
        <f>"clash of generations: saving ourselves, "</f>
        <v xml:space="preserve">clash of generations: saving ourselves, </v>
      </c>
      <c r="C851">
        <v>307846</v>
      </c>
      <c r="D851" t="str">
        <f>"Kotlikoff, Laurence J."</f>
        <v>Kotlikoff, Laurence J.</v>
      </c>
      <c r="F851" t="str">
        <f>"275 p., 25 cm., ill."</f>
        <v>275 p., 25 cm., ill.</v>
      </c>
      <c r="G851" s="1">
        <v>12</v>
      </c>
      <c r="H851">
        <v>2012</v>
      </c>
      <c r="I851" t="str">
        <f t="shared" si="32"/>
        <v>9: 300 - 399</v>
      </c>
      <c r="K851" t="str">
        <f>"LL - In"</f>
        <v>LL - In</v>
      </c>
      <c r="L851" s="1">
        <v>27</v>
      </c>
      <c r="M851" t="s">
        <v>804</v>
      </c>
      <c r="O851" t="s">
        <v>28</v>
      </c>
      <c r="P851">
        <v>2</v>
      </c>
      <c r="Q851">
        <v>0</v>
      </c>
      <c r="R851">
        <v>19</v>
      </c>
      <c r="S851" s="2">
        <v>41058</v>
      </c>
      <c r="T851" s="2">
        <v>41339</v>
      </c>
      <c r="U851" s="2">
        <v>43587</v>
      </c>
      <c r="V851" s="2">
        <v>42600</v>
      </c>
    </row>
    <row r="852" spans="1:22" x14ac:dyDescent="0.2">
      <c r="A852" t="str">
        <f>"330.97 KRU"</f>
        <v>330.97 KRU</v>
      </c>
      <c r="B852" t="str">
        <f>"End this depression now!"</f>
        <v>End this depression now!</v>
      </c>
      <c r="C852">
        <v>307442</v>
      </c>
      <c r="D852" t="str">
        <f>"Krugman, Paul R."</f>
        <v>Krugman, Paul R.</v>
      </c>
      <c r="F852" t="str">
        <f>"259 p."</f>
        <v>259 p.</v>
      </c>
      <c r="G852" s="1">
        <v>12</v>
      </c>
      <c r="H852">
        <v>2012</v>
      </c>
      <c r="I852" t="str">
        <f t="shared" si="32"/>
        <v>9: 300 - 399</v>
      </c>
      <c r="K852" t="str">
        <f>"WB - In"</f>
        <v>WB - In</v>
      </c>
      <c r="L852" s="1">
        <v>30</v>
      </c>
      <c r="M852" t="s">
        <v>805</v>
      </c>
      <c r="O852" t="s">
        <v>28</v>
      </c>
      <c r="P852">
        <v>1</v>
      </c>
      <c r="Q852">
        <v>0</v>
      </c>
      <c r="R852">
        <v>12</v>
      </c>
      <c r="S852" s="2">
        <v>41037</v>
      </c>
      <c r="T852" s="2">
        <v>41179</v>
      </c>
      <c r="U852" s="2">
        <v>42792</v>
      </c>
      <c r="V852" s="2">
        <v>42600</v>
      </c>
    </row>
    <row r="853" spans="1:22" x14ac:dyDescent="0.2">
      <c r="A853" t="str">
        <f>"330.97 LEW"</f>
        <v>330.97 LEW</v>
      </c>
      <c r="B853" t="str">
        <f>"big short: inside the doomsday machine"</f>
        <v>big short: inside the doomsday machine</v>
      </c>
      <c r="C853">
        <v>284709</v>
      </c>
      <c r="D853" t="str">
        <f>"Lewis, Michael"</f>
        <v>Lewis, Michael</v>
      </c>
      <c r="F853" t="str">
        <f>"266 p."</f>
        <v>266 p.</v>
      </c>
      <c r="G853">
        <v>15</v>
      </c>
      <c r="H853">
        <v>2010</v>
      </c>
      <c r="I853" t="str">
        <f t="shared" si="32"/>
        <v>9: 300 - 399</v>
      </c>
      <c r="K853" t="str">
        <f>"LL - In"</f>
        <v>LL - In</v>
      </c>
      <c r="L853" s="1">
        <v>13</v>
      </c>
      <c r="M853" t="s">
        <v>806</v>
      </c>
      <c r="O853" t="s">
        <v>28</v>
      </c>
      <c r="P853">
        <v>7</v>
      </c>
      <c r="Q853">
        <v>0</v>
      </c>
      <c r="R853">
        <v>21</v>
      </c>
      <c r="S853" s="2">
        <v>42340</v>
      </c>
      <c r="T853" s="2">
        <v>42354</v>
      </c>
      <c r="U853" s="2">
        <v>43746</v>
      </c>
      <c r="V853" s="2">
        <v>42461</v>
      </c>
    </row>
    <row r="854" spans="1:22" x14ac:dyDescent="0.2">
      <c r="A854" t="str">
        <f>"330.97 LEW"</f>
        <v>330.97 LEW</v>
      </c>
      <c r="B854" t="str">
        <f>"big short: inside the doomsday machine"</f>
        <v>big short: inside the doomsday machine</v>
      </c>
      <c r="C854">
        <v>332993</v>
      </c>
      <c r="D854" t="str">
        <f>"Lewis, Michael"</f>
        <v>Lewis, Michael</v>
      </c>
      <c r="F854" t="str">
        <f>"266 p."</f>
        <v>266 p.</v>
      </c>
      <c r="G854" s="1">
        <v>16</v>
      </c>
      <c r="H854">
        <v>2010</v>
      </c>
      <c r="I854" t="str">
        <f t="shared" si="32"/>
        <v>9: 300 - 399</v>
      </c>
      <c r="K854" t="str">
        <f>"WB - In"</f>
        <v>WB - In</v>
      </c>
      <c r="L854" s="1">
        <v>21</v>
      </c>
      <c r="M854" t="s">
        <v>806</v>
      </c>
      <c r="O854" t="s">
        <v>28</v>
      </c>
      <c r="P854">
        <v>3</v>
      </c>
      <c r="Q854">
        <v>0</v>
      </c>
      <c r="R854">
        <v>9</v>
      </c>
      <c r="S854" s="2">
        <v>42408</v>
      </c>
      <c r="T854" s="2">
        <v>42430</v>
      </c>
      <c r="U854" s="2">
        <v>43673</v>
      </c>
    </row>
    <row r="855" spans="1:22" x14ac:dyDescent="0.2">
      <c r="A855" t="str">
        <f>"330.97 MAD"</f>
        <v>330.97 MAD</v>
      </c>
      <c r="B855" t="str">
        <f>"Age of greed: the triumph of finance and"</f>
        <v>Age of greed: the triumph of finance and</v>
      </c>
      <c r="C855">
        <v>244637</v>
      </c>
      <c r="D855" t="str">
        <f>"Madrick, Jeffrey G."</f>
        <v>Madrick, Jeffrey G.</v>
      </c>
      <c r="F855" t="str">
        <f>"xi, 464 p., 25 cm., ill."</f>
        <v>xi, 464 p., 25 cm., ill.</v>
      </c>
      <c r="G855" s="1">
        <v>11</v>
      </c>
      <c r="H855">
        <v>2011</v>
      </c>
      <c r="I855" t="str">
        <f t="shared" si="32"/>
        <v>9: 300 - 399</v>
      </c>
      <c r="K855" t="str">
        <f>"WB - In"</f>
        <v>WB - In</v>
      </c>
      <c r="L855" s="1">
        <v>35</v>
      </c>
      <c r="M855" t="s">
        <v>807</v>
      </c>
      <c r="O855" t="s">
        <v>28</v>
      </c>
      <c r="P855">
        <v>1</v>
      </c>
      <c r="Q855">
        <v>0</v>
      </c>
      <c r="R855">
        <v>15</v>
      </c>
      <c r="S855" s="2">
        <v>40694</v>
      </c>
      <c r="T855" s="2">
        <v>41053</v>
      </c>
      <c r="U855" s="2">
        <v>43304</v>
      </c>
      <c r="V855" s="2">
        <v>41945</v>
      </c>
    </row>
    <row r="856" spans="1:22" x14ac:dyDescent="0.2">
      <c r="A856" t="str">
        <f>"330.97 MIA"</f>
        <v>330.97 MIA</v>
      </c>
      <c r="B856" t="str">
        <f>"House of debt: how they (and you) caused"</f>
        <v>House of debt: how they (and you) caused</v>
      </c>
      <c r="C856">
        <v>321548</v>
      </c>
      <c r="D856" t="str">
        <f>"Mian, Atif,"</f>
        <v>Mian, Atif,</v>
      </c>
      <c r="F856" t="str">
        <f>"219 pages, 24 cm, illustrations"</f>
        <v>219 pages, 24 cm, illustrations</v>
      </c>
      <c r="G856" s="1">
        <v>14</v>
      </c>
      <c r="H856">
        <v>2014</v>
      </c>
      <c r="I856" t="str">
        <f t="shared" si="32"/>
        <v>9: 300 - 399</v>
      </c>
      <c r="K856" t="str">
        <f>"LL - In"</f>
        <v>LL - In</v>
      </c>
      <c r="L856" s="1">
        <v>31</v>
      </c>
      <c r="M856" t="s">
        <v>808</v>
      </c>
      <c r="O856" t="s">
        <v>28</v>
      </c>
      <c r="P856">
        <v>0</v>
      </c>
      <c r="Q856">
        <v>0</v>
      </c>
      <c r="R856">
        <v>11</v>
      </c>
      <c r="S856" s="2">
        <v>41787</v>
      </c>
      <c r="T856" s="2">
        <v>41981</v>
      </c>
      <c r="U856" s="2">
        <v>42596</v>
      </c>
    </row>
    <row r="857" spans="1:22" x14ac:dyDescent="0.2">
      <c r="A857" t="str">
        <f>"330.97 NAT"</f>
        <v>330.97 NAT</v>
      </c>
      <c r="B857" t="str">
        <f>"history of the United States in five cra"</f>
        <v>history of the United States in five cra</v>
      </c>
      <c r="C857">
        <v>348012</v>
      </c>
      <c r="D857" t="str">
        <f>"Nations, Scott"</f>
        <v>Nations, Scott</v>
      </c>
      <c r="F857" t="str">
        <f>"xiv, 336 pages, 24 cm"</f>
        <v>xiv, 336 pages, 24 cm</v>
      </c>
      <c r="G857" s="1">
        <v>18</v>
      </c>
      <c r="H857">
        <v>2017</v>
      </c>
      <c r="I857" t="str">
        <f t="shared" si="32"/>
        <v>9: 300 - 399</v>
      </c>
      <c r="K857" t="str">
        <f>"LL - Out"</f>
        <v>LL - Out</v>
      </c>
      <c r="L857" s="1">
        <v>34</v>
      </c>
      <c r="M857" t="s">
        <v>809</v>
      </c>
      <c r="O857" t="s">
        <v>28</v>
      </c>
      <c r="P857">
        <v>6</v>
      </c>
      <c r="Q857">
        <v>0</v>
      </c>
      <c r="R857">
        <v>6</v>
      </c>
      <c r="S857" s="2">
        <v>43257</v>
      </c>
      <c r="T857" s="2">
        <v>43416</v>
      </c>
      <c r="U857" s="2">
        <v>43827</v>
      </c>
    </row>
    <row r="858" spans="1:22" x14ac:dyDescent="0.2">
      <c r="A858" t="str">
        <f>"330.97 REI"</f>
        <v>330.97 REI</v>
      </c>
      <c r="B858" t="str">
        <f>"Saving capitalism: for the many, not the"</f>
        <v>Saving capitalism: for the many, not the</v>
      </c>
      <c r="C858">
        <v>339364</v>
      </c>
      <c r="D858" t="str">
        <f>"Reich, Robert"</f>
        <v>Reich, Robert</v>
      </c>
      <c r="F858" t="str">
        <f>"xvii, 279 pages, 21 cm, illustrations"</f>
        <v>xvii, 279 pages, 21 cm, illustrations</v>
      </c>
      <c r="G858" s="1">
        <v>17</v>
      </c>
      <c r="H858">
        <v>2016</v>
      </c>
      <c r="I858" t="str">
        <f t="shared" si="32"/>
        <v>9: 300 - 399</v>
      </c>
      <c r="K858" t="str">
        <f>"LL - In"</f>
        <v>LL - In</v>
      </c>
      <c r="L858" s="1">
        <v>20</v>
      </c>
      <c r="M858" t="s">
        <v>810</v>
      </c>
      <c r="O858" t="s">
        <v>28</v>
      </c>
      <c r="P858">
        <v>4</v>
      </c>
      <c r="Q858">
        <v>0</v>
      </c>
      <c r="R858">
        <v>4</v>
      </c>
      <c r="S858" s="2">
        <v>42765</v>
      </c>
      <c r="T858" s="2">
        <v>42773</v>
      </c>
      <c r="U858" s="2">
        <v>43282</v>
      </c>
    </row>
    <row r="859" spans="1:22" x14ac:dyDescent="0.2">
      <c r="A859" t="str">
        <f>"330.97 SCH"</f>
        <v>330.97 SCH</v>
      </c>
      <c r="B859" t="str">
        <f>"real crash: America's coming bankruptcy "</f>
        <v xml:space="preserve">real crash: America's coming bankruptcy </v>
      </c>
      <c r="C859">
        <v>320859</v>
      </c>
      <c r="D859" t="str">
        <f>"Schiff, Peter D.,"</f>
        <v>Schiff, Peter D.,</v>
      </c>
      <c r="F859" t="str">
        <f>"xviii, 444 pages, 25 cm"</f>
        <v>xviii, 444 pages, 25 cm</v>
      </c>
      <c r="G859" s="1">
        <v>14</v>
      </c>
      <c r="H859">
        <v>2014</v>
      </c>
      <c r="I859" t="str">
        <f t="shared" si="32"/>
        <v>9: 300 - 399</v>
      </c>
      <c r="K859" t="str">
        <f>"WB - In"</f>
        <v>WB - In</v>
      </c>
      <c r="L859" s="1">
        <v>33</v>
      </c>
      <c r="M859" t="s">
        <v>811</v>
      </c>
      <c r="O859" t="s">
        <v>28</v>
      </c>
      <c r="P859">
        <v>4</v>
      </c>
      <c r="Q859">
        <v>0</v>
      </c>
      <c r="R859">
        <v>18</v>
      </c>
      <c r="S859" s="2">
        <v>41746</v>
      </c>
      <c r="T859" s="2">
        <v>42088</v>
      </c>
      <c r="U859" s="2">
        <v>43761</v>
      </c>
      <c r="V859" s="2">
        <v>42095</v>
      </c>
    </row>
    <row r="860" spans="1:22" x14ac:dyDescent="0.2">
      <c r="A860" t="str">
        <f>"330.97 TEP"</f>
        <v>330.97 TEP</v>
      </c>
      <c r="B860" t="str">
        <f>"myth of capitalism: monopolies and the d"</f>
        <v>myth of capitalism: monopolies and the d</v>
      </c>
      <c r="C860">
        <v>352632</v>
      </c>
      <c r="D860" t="str">
        <f>"Tepper, Jonathan,"</f>
        <v>Tepper, Jonathan,</v>
      </c>
      <c r="F860" t="str">
        <f>"248 p."</f>
        <v>248 p.</v>
      </c>
      <c r="G860" s="1">
        <v>19</v>
      </c>
      <c r="H860">
        <v>2019</v>
      </c>
      <c r="I860" t="str">
        <f t="shared" si="32"/>
        <v>9: 300 - 399</v>
      </c>
      <c r="K860" t="str">
        <f>"LL - In"</f>
        <v>LL - In</v>
      </c>
      <c r="L860" s="1">
        <v>33</v>
      </c>
      <c r="M860" t="s">
        <v>812</v>
      </c>
      <c r="O860" t="s">
        <v>28</v>
      </c>
      <c r="P860">
        <v>9</v>
      </c>
      <c r="Q860">
        <v>0</v>
      </c>
      <c r="R860">
        <v>9</v>
      </c>
      <c r="S860" s="2">
        <v>43501</v>
      </c>
      <c r="T860" s="2">
        <v>43740</v>
      </c>
      <c r="U860" s="2">
        <v>43718</v>
      </c>
    </row>
    <row r="861" spans="1:22" x14ac:dyDescent="0.2">
      <c r="A861" t="str">
        <f>"330.97 TRU"</f>
        <v>330.97 TRU</v>
      </c>
      <c r="B861" t="str">
        <f>"Time to get tough: making America #1 aga"</f>
        <v>Time to get tough: making America #1 aga</v>
      </c>
      <c r="C861">
        <v>329406</v>
      </c>
      <c r="D861" t="str">
        <f>"Trump, Donald"</f>
        <v>Trump, Donald</v>
      </c>
      <c r="F861" t="str">
        <f>"216 p., [16] p. of plates, 24 cm, ill. (chiefly col.)"</f>
        <v>216 p., [16] p. of plates, 24 cm, ill. (chiefly col.)</v>
      </c>
      <c r="G861" s="1">
        <v>15</v>
      </c>
      <c r="H861">
        <v>2011</v>
      </c>
      <c r="I861" t="str">
        <f t="shared" si="32"/>
        <v>9: 300 - 399</v>
      </c>
      <c r="K861" t="str">
        <f>"WB - In"</f>
        <v>WB - In</v>
      </c>
      <c r="L861" s="1">
        <v>35</v>
      </c>
      <c r="M861" t="s">
        <v>813</v>
      </c>
      <c r="O861" t="s">
        <v>28</v>
      </c>
      <c r="P861">
        <v>5</v>
      </c>
      <c r="Q861">
        <v>1</v>
      </c>
      <c r="R861">
        <v>18</v>
      </c>
      <c r="S861" s="2">
        <v>42233</v>
      </c>
      <c r="T861" s="2">
        <v>42241</v>
      </c>
      <c r="U861" s="2">
        <v>43782</v>
      </c>
      <c r="V861" s="2">
        <v>43463</v>
      </c>
    </row>
    <row r="862" spans="1:22" x14ac:dyDescent="0.2">
      <c r="A862" t="str">
        <f>"331 CRA"</f>
        <v>331 CRA</v>
      </c>
      <c r="B862" t="str">
        <f>"Shop class as soulcraft: an inquiry into"</f>
        <v>Shop class as soulcraft: an inquiry into</v>
      </c>
      <c r="C862">
        <v>360018</v>
      </c>
      <c r="D862" t="str">
        <f>"Crawford, Matthew B."</f>
        <v>Crawford, Matthew B.</v>
      </c>
      <c r="F862" t="str">
        <f>"246 p., 20 cm, ill."</f>
        <v>246 p., 20 cm, ill.</v>
      </c>
      <c r="G862" s="1">
        <v>19</v>
      </c>
      <c r="H862">
        <v>2010</v>
      </c>
      <c r="I862" t="str">
        <f t="shared" si="32"/>
        <v>9: 300 - 399</v>
      </c>
      <c r="K862" t="str">
        <f>"WB - Out"</f>
        <v>WB - Out</v>
      </c>
      <c r="L862" s="1">
        <v>22</v>
      </c>
      <c r="M862" t="s">
        <v>814</v>
      </c>
      <c r="O862" t="s">
        <v>28</v>
      </c>
      <c r="P862">
        <v>1</v>
      </c>
      <c r="Q862">
        <v>0</v>
      </c>
      <c r="R862">
        <v>1</v>
      </c>
      <c r="S862" s="2">
        <v>43826</v>
      </c>
      <c r="T862" s="2">
        <v>43844</v>
      </c>
      <c r="U862" s="2">
        <v>43846</v>
      </c>
    </row>
    <row r="863" spans="1:22" x14ac:dyDescent="0.2">
      <c r="A863" t="str">
        <f>"331.09 RIC"</f>
        <v>331.09 RIC</v>
      </c>
      <c r="B863" t="str">
        <f>"human advantage: the future of American "</f>
        <v xml:space="preserve">human advantage: the future of American </v>
      </c>
      <c r="C863">
        <v>348756</v>
      </c>
      <c r="D863" t="str">
        <f>"Richards, Jay W."</f>
        <v>Richards, Jay W.</v>
      </c>
      <c r="F863" t="str">
        <f>"viii, 261 pages, 22 cm, illustrations"</f>
        <v>viii, 261 pages, 22 cm, illustrations</v>
      </c>
      <c r="G863" s="1">
        <v>18</v>
      </c>
      <c r="H863">
        <v>2018</v>
      </c>
      <c r="I863" t="str">
        <f t="shared" si="32"/>
        <v>9: 300 - 399</v>
      </c>
      <c r="K863" t="str">
        <f>"WB - In"</f>
        <v>WB - In</v>
      </c>
      <c r="L863" s="1">
        <v>32</v>
      </c>
      <c r="M863" t="s">
        <v>815</v>
      </c>
      <c r="O863" t="s">
        <v>28</v>
      </c>
      <c r="P863">
        <v>3</v>
      </c>
      <c r="Q863">
        <v>0</v>
      </c>
      <c r="R863">
        <v>3</v>
      </c>
      <c r="S863" s="2">
        <v>43298</v>
      </c>
      <c r="T863" s="2">
        <v>43481</v>
      </c>
      <c r="U863" s="2">
        <v>43444</v>
      </c>
    </row>
    <row r="864" spans="1:22" x14ac:dyDescent="0.2">
      <c r="A864" t="str">
        <f>"331.09 SHE"</f>
        <v>331.09 SHE</v>
      </c>
      <c r="B864" t="str">
        <f>"job: work and its future in a time of ra"</f>
        <v>job: work and its future in a time of ra</v>
      </c>
      <c r="C864">
        <v>352115</v>
      </c>
      <c r="D864" t="str">
        <f>"Shell, Ellen Ruppel,"</f>
        <v>Shell, Ellen Ruppel,</v>
      </c>
      <c r="F864" t="str">
        <f>"406 pages, 25 cm"</f>
        <v>406 pages, 25 cm</v>
      </c>
      <c r="G864" s="1">
        <v>19</v>
      </c>
      <c r="H864">
        <v>2018</v>
      </c>
      <c r="I864" t="str">
        <f t="shared" si="32"/>
        <v>9: 300 - 399</v>
      </c>
      <c r="K864" t="str">
        <f>"LL - In"</f>
        <v>LL - In</v>
      </c>
      <c r="L864" s="1">
        <v>35</v>
      </c>
      <c r="M864" t="s">
        <v>816</v>
      </c>
      <c r="O864" t="s">
        <v>28</v>
      </c>
      <c r="P864">
        <v>4</v>
      </c>
      <c r="Q864">
        <v>1</v>
      </c>
      <c r="R864">
        <v>5</v>
      </c>
      <c r="S864" s="2">
        <v>43468</v>
      </c>
      <c r="T864" s="2">
        <v>43649</v>
      </c>
      <c r="U864" s="2">
        <v>43662</v>
      </c>
      <c r="V864" s="2">
        <v>43632</v>
      </c>
    </row>
    <row r="865" spans="1:22" x14ac:dyDescent="0.2">
      <c r="A865" t="str">
        <f>"331.1 BOR"</f>
        <v>331.1 BOR</v>
      </c>
      <c r="B865" t="str">
        <f>"We wanted workers: unraveling the immigr"</f>
        <v>We wanted workers: unraveling the immigr</v>
      </c>
      <c r="C865">
        <v>340348</v>
      </c>
      <c r="D865" t="str">
        <f>"Borjas, George J."</f>
        <v>Borjas, George J.</v>
      </c>
      <c r="F865" t="str">
        <f>"238 pages, 25 cm, illustrations"</f>
        <v>238 pages, 25 cm, illustrations</v>
      </c>
      <c r="G865" s="1">
        <v>17</v>
      </c>
      <c r="H865">
        <v>2016</v>
      </c>
      <c r="I865" t="str">
        <f t="shared" si="32"/>
        <v>9: 300 - 399</v>
      </c>
      <c r="K865" t="str">
        <f>"WB - In"</f>
        <v>WB - In</v>
      </c>
      <c r="L865" s="1">
        <v>32</v>
      </c>
      <c r="M865" t="s">
        <v>817</v>
      </c>
      <c r="O865" t="s">
        <v>28</v>
      </c>
      <c r="P865">
        <v>6</v>
      </c>
      <c r="Q865">
        <v>0</v>
      </c>
      <c r="R865">
        <v>6</v>
      </c>
      <c r="S865" s="2">
        <v>42814</v>
      </c>
      <c r="T865" s="2">
        <v>43012</v>
      </c>
      <c r="U865" s="2">
        <v>43304</v>
      </c>
    </row>
    <row r="866" spans="1:22" x14ac:dyDescent="0.2">
      <c r="A866" t="str">
        <f>"331.1 CAS"</f>
        <v>331.1 CAS</v>
      </c>
      <c r="B866" t="str">
        <f>"once and future worker: a vision for the"</f>
        <v>once and future worker: a vision for the</v>
      </c>
      <c r="C866">
        <v>352829</v>
      </c>
      <c r="D866" t="str">
        <f>"Cass, Oren,"</f>
        <v>Cass, Oren,</v>
      </c>
      <c r="F866" t="str">
        <f>"258 pages, 24 cm"</f>
        <v>258 pages, 24 cm</v>
      </c>
      <c r="G866" s="1">
        <v>19</v>
      </c>
      <c r="H866">
        <v>2018</v>
      </c>
      <c r="I866" t="str">
        <f t="shared" si="32"/>
        <v>9: 300 - 399</v>
      </c>
      <c r="K866" t="str">
        <f>"WB - In"</f>
        <v>WB - In</v>
      </c>
      <c r="L866" s="1">
        <v>31</v>
      </c>
      <c r="M866" t="s">
        <v>818</v>
      </c>
      <c r="O866" t="s">
        <v>28</v>
      </c>
      <c r="P866">
        <v>4</v>
      </c>
      <c r="Q866">
        <v>0</v>
      </c>
      <c r="R866">
        <v>4</v>
      </c>
      <c r="S866" s="2">
        <v>43507</v>
      </c>
      <c r="T866" s="2">
        <v>43670</v>
      </c>
      <c r="U866" s="2">
        <v>43790</v>
      </c>
    </row>
    <row r="867" spans="1:22" x14ac:dyDescent="0.2">
      <c r="A867" t="str">
        <f>"331.12 CLI"</f>
        <v>331.12 CLI</v>
      </c>
      <c r="B867" t="str">
        <f>"coming jobs war: what every leader must "</f>
        <v xml:space="preserve">coming jobs war: what every leader must </v>
      </c>
      <c r="C867">
        <v>303338</v>
      </c>
      <c r="D867" t="str">
        <f>"Clifton, Jim."</f>
        <v>Clifton, Jim.</v>
      </c>
      <c r="F867" t="str">
        <f>"225 p., 23 cm., ill."</f>
        <v>225 p., 23 cm., ill.</v>
      </c>
      <c r="G867" s="1">
        <v>11</v>
      </c>
      <c r="H867">
        <v>2011</v>
      </c>
      <c r="I867" t="str">
        <f t="shared" si="32"/>
        <v>9: 300 - 399</v>
      </c>
      <c r="K867" t="str">
        <f>"LL - In"</f>
        <v>LL - In</v>
      </c>
      <c r="L867" s="1">
        <v>30</v>
      </c>
      <c r="M867" t="s">
        <v>819</v>
      </c>
      <c r="O867" t="s">
        <v>28</v>
      </c>
      <c r="P867">
        <v>4</v>
      </c>
      <c r="Q867">
        <v>0</v>
      </c>
      <c r="R867">
        <v>13</v>
      </c>
      <c r="S867" s="2">
        <v>40822</v>
      </c>
      <c r="T867" s="2">
        <v>41053</v>
      </c>
      <c r="U867" s="2">
        <v>43587</v>
      </c>
    </row>
    <row r="868" spans="1:22" x14ac:dyDescent="0.2">
      <c r="A868" t="str">
        <f>"331.12 MOR"</f>
        <v>331.12 MOR</v>
      </c>
      <c r="B868" t="str">
        <f>"new geography of jobs"</f>
        <v>new geography of jobs</v>
      </c>
      <c r="C868">
        <v>274554</v>
      </c>
      <c r="D868" t="str">
        <f>"Moretti, Enrico."</f>
        <v>Moretti, Enrico.</v>
      </c>
      <c r="F868" t="str">
        <f>"294 p., 24 cm, ill."</f>
        <v>294 p., 24 cm, ill.</v>
      </c>
      <c r="G868" s="1">
        <v>14</v>
      </c>
      <c r="H868">
        <v>2012</v>
      </c>
      <c r="I868" t="str">
        <f t="shared" si="32"/>
        <v>9: 300 - 399</v>
      </c>
      <c r="K868" t="str">
        <f>"WB - In"</f>
        <v>WB - In</v>
      </c>
      <c r="L868" s="1">
        <v>0</v>
      </c>
      <c r="M868" t="s">
        <v>820</v>
      </c>
      <c r="O868" t="s">
        <v>28</v>
      </c>
      <c r="P868">
        <v>3</v>
      </c>
      <c r="Q868">
        <v>0</v>
      </c>
      <c r="R868">
        <v>4</v>
      </c>
      <c r="S868" s="2">
        <v>41809</v>
      </c>
      <c r="T868" s="2">
        <v>41814</v>
      </c>
      <c r="U868" s="2">
        <v>43447</v>
      </c>
    </row>
    <row r="869" spans="1:22" x14ac:dyDescent="0.2">
      <c r="A869" t="str">
        <f>"331.13 FOR"</f>
        <v>331.13 FOR</v>
      </c>
      <c r="B869" t="str">
        <f>"Rise of the robots: technology and the t"</f>
        <v>Rise of the robots: technology and the t</v>
      </c>
      <c r="C869">
        <v>327771</v>
      </c>
      <c r="D869" t="str">
        <f>"Ford, Martin"</f>
        <v>Ford, Martin</v>
      </c>
      <c r="F869" t="str">
        <f>"xviii, 334 pages, 25 cm, illustrations"</f>
        <v>xviii, 334 pages, 25 cm, illustrations</v>
      </c>
      <c r="G869" s="1">
        <v>15</v>
      </c>
      <c r="H869">
        <v>2015</v>
      </c>
      <c r="I869" t="str">
        <f t="shared" si="32"/>
        <v>9: 300 - 399</v>
      </c>
      <c r="K869" t="str">
        <f>"WB - In"</f>
        <v>WB - In</v>
      </c>
      <c r="L869" s="1">
        <v>34</v>
      </c>
      <c r="M869" t="s">
        <v>821</v>
      </c>
      <c r="O869" t="s">
        <v>28</v>
      </c>
      <c r="P869">
        <v>2</v>
      </c>
      <c r="Q869">
        <v>1</v>
      </c>
      <c r="R869">
        <v>12</v>
      </c>
      <c r="S869" s="2">
        <v>42163</v>
      </c>
      <c r="T869" s="2">
        <v>42345</v>
      </c>
      <c r="U869" s="2">
        <v>43639</v>
      </c>
      <c r="V869" s="2">
        <v>42923</v>
      </c>
    </row>
    <row r="870" spans="1:22" x14ac:dyDescent="0.2">
      <c r="A870" t="str">
        <f>"331.2 BAL"</f>
        <v>331.2 BAL</v>
      </c>
      <c r="B870" t="str">
        <f>"globotics upheaval: globalization, robot"</f>
        <v>globotics upheaval: globalization, robot</v>
      </c>
      <c r="C870">
        <v>354042</v>
      </c>
      <c r="D870" t="str">
        <f>"Baldwin, Richard E."</f>
        <v>Baldwin, Richard E.</v>
      </c>
      <c r="F870" t="str">
        <f>"276 p."</f>
        <v>276 p.</v>
      </c>
      <c r="G870" s="1">
        <v>19</v>
      </c>
      <c r="H870">
        <v>2019</v>
      </c>
      <c r="I870" t="str">
        <f t="shared" si="32"/>
        <v>9: 300 - 399</v>
      </c>
      <c r="K870" t="str">
        <f>"WB - In"</f>
        <v>WB - In</v>
      </c>
      <c r="L870" s="1">
        <v>35</v>
      </c>
      <c r="M870" t="s">
        <v>822</v>
      </c>
      <c r="O870" t="s">
        <v>28</v>
      </c>
      <c r="P870">
        <v>5</v>
      </c>
      <c r="Q870">
        <v>0</v>
      </c>
      <c r="R870">
        <v>5</v>
      </c>
      <c r="S870" s="2">
        <v>43564</v>
      </c>
      <c r="T870" s="2">
        <v>43761</v>
      </c>
      <c r="U870" s="2">
        <v>43733</v>
      </c>
    </row>
    <row r="871" spans="1:22" x14ac:dyDescent="0.2">
      <c r="A871" t="str">
        <f>"331.2 HUG"</f>
        <v>331.2 HUG</v>
      </c>
      <c r="B871" t="str">
        <f>"Fair shot: rethinking inequality and how"</f>
        <v>Fair shot: rethinking inequality and how</v>
      </c>
      <c r="C871">
        <v>347035</v>
      </c>
      <c r="D871" t="str">
        <f>"Hughes, Chris,"</f>
        <v>Hughes, Chris,</v>
      </c>
      <c r="F871" t="str">
        <f>"214 pages, 20 cm"</f>
        <v>214 pages, 20 cm</v>
      </c>
      <c r="G871" s="1">
        <v>18</v>
      </c>
      <c r="H871">
        <v>2018</v>
      </c>
      <c r="I871" t="str">
        <f t="shared" si="32"/>
        <v>9: 300 - 399</v>
      </c>
      <c r="K871" t="str">
        <f>"LL - In"</f>
        <v>LL - In</v>
      </c>
      <c r="L871" s="1">
        <v>25</v>
      </c>
      <c r="M871" t="s">
        <v>823</v>
      </c>
      <c r="O871" t="s">
        <v>28</v>
      </c>
      <c r="P871">
        <v>5</v>
      </c>
      <c r="Q871">
        <v>0</v>
      </c>
      <c r="R871">
        <v>5</v>
      </c>
      <c r="S871" s="2">
        <v>43192</v>
      </c>
      <c r="T871" s="2">
        <v>43388</v>
      </c>
      <c r="U871" s="2">
        <v>43382</v>
      </c>
    </row>
    <row r="872" spans="1:22" x14ac:dyDescent="0.2">
      <c r="A872" t="str">
        <f>"331.2 JAY"</f>
        <v>331.2 JAY</v>
      </c>
      <c r="B872" t="str">
        <f>"Forked: a new standard for American dini"</f>
        <v>Forked: a new standard for American dini</v>
      </c>
      <c r="C872">
        <v>333138</v>
      </c>
      <c r="D872" t="str">
        <f>"Jayaraman, Sarumathi,"</f>
        <v>Jayaraman, Sarumathi,</v>
      </c>
      <c r="F872" t="str">
        <f>"235 p."</f>
        <v>235 p.</v>
      </c>
      <c r="G872" s="1">
        <v>16</v>
      </c>
      <c r="H872">
        <v>2016</v>
      </c>
      <c r="I872" t="str">
        <f t="shared" si="32"/>
        <v>9: 300 - 399</v>
      </c>
      <c r="K872" t="str">
        <f>"LL - In"</f>
        <v>LL - In</v>
      </c>
      <c r="L872" s="1">
        <v>30</v>
      </c>
      <c r="M872" t="s">
        <v>824</v>
      </c>
      <c r="O872" t="s">
        <v>28</v>
      </c>
      <c r="P872">
        <v>0</v>
      </c>
      <c r="Q872">
        <v>1</v>
      </c>
      <c r="R872">
        <v>7</v>
      </c>
      <c r="S872" s="2">
        <v>42411</v>
      </c>
      <c r="T872" s="2">
        <v>42557</v>
      </c>
      <c r="U872" s="2">
        <v>42549</v>
      </c>
      <c r="V872" s="2">
        <v>42789</v>
      </c>
    </row>
    <row r="873" spans="1:22" x14ac:dyDescent="0.2">
      <c r="A873" t="str">
        <f>"331.2 LOW"</f>
        <v>331.2 LOW</v>
      </c>
      <c r="B873" t="str">
        <f>"Give people money: how a universal basic"</f>
        <v>Give people money: how a universal basic</v>
      </c>
      <c r="C873">
        <v>349182</v>
      </c>
      <c r="D873" t="str">
        <f>"Lowrey, Annie"</f>
        <v>Lowrey, Annie</v>
      </c>
      <c r="F873" t="str">
        <f>"263 pages, 22 cm"</f>
        <v>263 pages, 22 cm</v>
      </c>
      <c r="G873" s="1">
        <v>18</v>
      </c>
      <c r="H873">
        <v>2018</v>
      </c>
      <c r="I873" t="str">
        <f t="shared" si="32"/>
        <v>9: 300 - 399</v>
      </c>
      <c r="K873" t="str">
        <f>"LL - In"</f>
        <v>LL - In</v>
      </c>
      <c r="L873" s="1">
        <v>31</v>
      </c>
      <c r="M873" t="s">
        <v>825</v>
      </c>
      <c r="O873" t="s">
        <v>28</v>
      </c>
      <c r="P873">
        <v>8</v>
      </c>
      <c r="Q873">
        <v>0</v>
      </c>
      <c r="R873">
        <v>8</v>
      </c>
      <c r="S873" s="2">
        <v>43320</v>
      </c>
      <c r="T873" s="2">
        <v>43521</v>
      </c>
      <c r="U873" s="2">
        <v>43698</v>
      </c>
    </row>
    <row r="874" spans="1:22" x14ac:dyDescent="0.2">
      <c r="A874" t="str">
        <f>"331.25 HYM"</f>
        <v>331.25 HYM</v>
      </c>
      <c r="B874" t="str">
        <f>"Temp: how American work, American busine"</f>
        <v>Temp: how American work, American busine</v>
      </c>
      <c r="C874">
        <v>349467</v>
      </c>
      <c r="D874" t="str">
        <f>"Hyman, Louis,"</f>
        <v>Hyman, Louis,</v>
      </c>
      <c r="F874" t="str">
        <f>"323 p."</f>
        <v>323 p.</v>
      </c>
      <c r="G874" s="1">
        <v>18</v>
      </c>
      <c r="H874">
        <v>2018</v>
      </c>
      <c r="I874" t="str">
        <f t="shared" si="32"/>
        <v>9: 300 - 399</v>
      </c>
      <c r="K874" t="str">
        <f>"WB - In"</f>
        <v>WB - In</v>
      </c>
      <c r="L874" s="1">
        <v>33</v>
      </c>
      <c r="M874" t="s">
        <v>826</v>
      </c>
      <c r="O874" t="s">
        <v>28</v>
      </c>
      <c r="P874">
        <v>2</v>
      </c>
      <c r="Q874">
        <v>0</v>
      </c>
      <c r="R874">
        <v>2</v>
      </c>
      <c r="S874" s="2">
        <v>43333</v>
      </c>
      <c r="T874" s="2">
        <v>43488</v>
      </c>
      <c r="U874" s="2">
        <v>43429</v>
      </c>
    </row>
    <row r="875" spans="1:22" x14ac:dyDescent="0.2">
      <c r="A875" t="str">
        <f>"331.4 BRO"</f>
        <v>331.4 BRO</v>
      </c>
      <c r="B875" t="str">
        <f>"Mompowerment: insights from successful p"</f>
        <v>Mompowerment: insights from successful p</v>
      </c>
      <c r="C875">
        <v>403393</v>
      </c>
      <c r="D875" t="str">
        <f>"Brown, Suzanne"</f>
        <v>Brown, Suzanne</v>
      </c>
      <c r="F875" t="str">
        <f>"269 pages, 23 cm"</f>
        <v>269 pages, 23 cm</v>
      </c>
      <c r="G875" s="1">
        <v>18</v>
      </c>
      <c r="H875">
        <v>2017</v>
      </c>
      <c r="I875" t="str">
        <f t="shared" si="32"/>
        <v>9: 300 - 399</v>
      </c>
      <c r="K875" t="str">
        <f>"LL - In"</f>
        <v>LL - In</v>
      </c>
      <c r="L875" s="1">
        <v>22</v>
      </c>
      <c r="M875" t="s">
        <v>827</v>
      </c>
      <c r="O875" t="s">
        <v>28</v>
      </c>
      <c r="P875">
        <v>2</v>
      </c>
      <c r="Q875">
        <v>0</v>
      </c>
      <c r="R875">
        <v>2</v>
      </c>
      <c r="S875" s="2">
        <v>43384</v>
      </c>
      <c r="T875" s="2">
        <v>43388</v>
      </c>
      <c r="U875" s="2">
        <v>43430</v>
      </c>
    </row>
    <row r="876" spans="1:22" x14ac:dyDescent="0.2">
      <c r="A876" t="str">
        <f>"331.4 CHA"</f>
        <v>331.4 CHA</v>
      </c>
      <c r="B876" t="str">
        <f>"Brotopia: breaking up the boys' club of "</f>
        <v xml:space="preserve">Brotopia: breaking up the boys' club of </v>
      </c>
      <c r="C876">
        <v>346239</v>
      </c>
      <c r="D876" t="str">
        <f>"Chang, Emily"</f>
        <v>Chang, Emily</v>
      </c>
      <c r="F876" t="str">
        <f>"viii, 306 pages, 24 cm"</f>
        <v>viii, 306 pages, 24 cm</v>
      </c>
      <c r="G876" s="1">
        <v>18</v>
      </c>
      <c r="H876">
        <v>2018</v>
      </c>
      <c r="I876" t="str">
        <f t="shared" si="32"/>
        <v>9: 300 - 399</v>
      </c>
      <c r="K876" t="str">
        <f>"WB - In"</f>
        <v>WB - In</v>
      </c>
      <c r="L876" s="1">
        <v>33</v>
      </c>
      <c r="M876" t="s">
        <v>828</v>
      </c>
      <c r="O876" t="s">
        <v>28</v>
      </c>
      <c r="P876">
        <v>7</v>
      </c>
      <c r="Q876">
        <v>0</v>
      </c>
      <c r="R876">
        <v>7</v>
      </c>
      <c r="S876" s="2">
        <v>43152</v>
      </c>
      <c r="T876" s="2">
        <v>43348</v>
      </c>
      <c r="U876" s="2">
        <v>43736</v>
      </c>
    </row>
    <row r="877" spans="1:22" x14ac:dyDescent="0.2">
      <c r="A877" t="str">
        <f>"331.4 LAC"</f>
        <v>331.4 LAC</v>
      </c>
      <c r="B877" t="str">
        <f>"uterus is a feature, not a bug: the work"</f>
        <v>uterus is a feature, not a bug: the work</v>
      </c>
      <c r="C877">
        <v>298885</v>
      </c>
      <c r="D877" t="str">
        <f>"Lacy, Sarah,"</f>
        <v>Lacy, Sarah,</v>
      </c>
      <c r="F877" t="str">
        <f>"306 pages, 24 cm"</f>
        <v>306 pages, 24 cm</v>
      </c>
      <c r="G877" s="1">
        <v>17</v>
      </c>
      <c r="H877">
        <v>2017</v>
      </c>
      <c r="I877" t="str">
        <f t="shared" si="32"/>
        <v>9: 300 - 399</v>
      </c>
      <c r="K877" t="str">
        <f>"WB - In"</f>
        <v>WB - In</v>
      </c>
      <c r="L877" s="1">
        <v>32</v>
      </c>
      <c r="M877" t="s">
        <v>829</v>
      </c>
      <c r="O877" t="s">
        <v>28</v>
      </c>
      <c r="P877">
        <v>7</v>
      </c>
      <c r="Q877">
        <v>1</v>
      </c>
      <c r="R877">
        <v>8</v>
      </c>
      <c r="S877" s="2">
        <v>43075</v>
      </c>
      <c r="T877" s="2">
        <v>43311</v>
      </c>
      <c r="U877" s="2">
        <v>43763</v>
      </c>
      <c r="V877" s="2">
        <v>43081</v>
      </c>
    </row>
    <row r="878" spans="1:22" x14ac:dyDescent="0.2">
      <c r="A878" t="str">
        <f>"331.4 PAO"</f>
        <v>331.4 PAO</v>
      </c>
      <c r="B878" t="str">
        <f>"Reset: my fight for inclusion and lastin"</f>
        <v>Reset: my fight for inclusion and lastin</v>
      </c>
      <c r="C878">
        <v>344151</v>
      </c>
      <c r="D878" t="str">
        <f>"Pao, Ellen K."</f>
        <v>Pao, Ellen K.</v>
      </c>
      <c r="F878" t="str">
        <f>"274 pages, 25 cm"</f>
        <v>274 pages, 25 cm</v>
      </c>
      <c r="G878" s="1">
        <v>17</v>
      </c>
      <c r="H878">
        <v>2017</v>
      </c>
      <c r="I878" t="str">
        <f t="shared" si="32"/>
        <v>9: 300 - 399</v>
      </c>
      <c r="K878" t="str">
        <f>"WB - In"</f>
        <v>WB - In</v>
      </c>
      <c r="L878" s="1">
        <v>33</v>
      </c>
      <c r="M878" t="s">
        <v>830</v>
      </c>
      <c r="O878" t="s">
        <v>28</v>
      </c>
      <c r="P878">
        <v>6</v>
      </c>
      <c r="Q878">
        <v>0</v>
      </c>
      <c r="R878">
        <v>6</v>
      </c>
      <c r="S878" s="2">
        <v>43027</v>
      </c>
      <c r="T878" s="2">
        <v>43254</v>
      </c>
      <c r="U878" s="2">
        <v>43429</v>
      </c>
    </row>
    <row r="879" spans="1:22" x14ac:dyDescent="0.2">
      <c r="A879" t="str">
        <f>"331.4 POV"</f>
        <v>331.4 POV</v>
      </c>
      <c r="B879" t="str">
        <f>"good girls revolt: how the women of News"</f>
        <v>good girls revolt: how the women of News</v>
      </c>
      <c r="C879">
        <v>345556</v>
      </c>
      <c r="D879" t="str">
        <f>"Povich, Lynn"</f>
        <v>Povich, Lynn</v>
      </c>
      <c r="F879" t="str">
        <f>"xxii, 264 pages, 21 cm, illustrations"</f>
        <v>xxii, 264 pages, 21 cm, illustrations</v>
      </c>
      <c r="G879" s="1">
        <v>18</v>
      </c>
      <c r="H879">
        <v>2016</v>
      </c>
      <c r="I879" t="str">
        <f t="shared" si="32"/>
        <v>9: 300 - 399</v>
      </c>
      <c r="K879" t="str">
        <f>"WB - In"</f>
        <v>WB - In</v>
      </c>
      <c r="L879" s="1">
        <v>21</v>
      </c>
      <c r="M879" t="s">
        <v>831</v>
      </c>
      <c r="O879" t="s">
        <v>28</v>
      </c>
      <c r="P879">
        <v>1</v>
      </c>
      <c r="Q879">
        <v>0</v>
      </c>
      <c r="R879">
        <v>1</v>
      </c>
      <c r="S879" s="2">
        <v>43117</v>
      </c>
      <c r="T879" s="2">
        <v>43123</v>
      </c>
      <c r="U879" s="2">
        <v>43124</v>
      </c>
    </row>
    <row r="880" spans="1:22" x14ac:dyDescent="0.2">
      <c r="A880" t="str">
        <f>"331.7 AND"</f>
        <v>331.7 AND</v>
      </c>
      <c r="B880" t="str">
        <f>"You can do anything: the surprising powe"</f>
        <v>You can do anything: the surprising powe</v>
      </c>
      <c r="C880">
        <v>343256</v>
      </c>
      <c r="D880" t="str">
        <f>"Anders, George,"</f>
        <v>Anders, George,</v>
      </c>
      <c r="F880" t="str">
        <f>"342 pages, 25 cm"</f>
        <v>342 pages, 25 cm</v>
      </c>
      <c r="G880" s="1">
        <v>17</v>
      </c>
      <c r="H880">
        <v>2017</v>
      </c>
      <c r="I880" t="str">
        <f t="shared" si="32"/>
        <v>9: 300 - 399</v>
      </c>
      <c r="K880" t="str">
        <f>"LL - In"</f>
        <v>LL - In</v>
      </c>
      <c r="L880" s="1">
        <v>32</v>
      </c>
      <c r="M880" t="s">
        <v>832</v>
      </c>
      <c r="O880" t="s">
        <v>28</v>
      </c>
      <c r="P880">
        <v>6</v>
      </c>
      <c r="Q880">
        <v>1</v>
      </c>
      <c r="R880">
        <v>7</v>
      </c>
      <c r="S880" s="2">
        <v>42970</v>
      </c>
      <c r="T880" s="2">
        <v>43152</v>
      </c>
      <c r="U880" s="2">
        <v>43110</v>
      </c>
      <c r="V880" s="2">
        <v>43299</v>
      </c>
    </row>
    <row r="881" spans="1:22" x14ac:dyDescent="0.2">
      <c r="A881" t="str">
        <f>"331.7 GOI"</f>
        <v>331.7 GOI</v>
      </c>
      <c r="B881" t="str">
        <f>"art of work: a proven path to discoverin"</f>
        <v>art of work: a proven path to discoverin</v>
      </c>
      <c r="C881">
        <v>334296</v>
      </c>
      <c r="D881" t="str">
        <f>"Goins, Jeff"</f>
        <v>Goins, Jeff</v>
      </c>
      <c r="F881" t="str">
        <f>"xxvii, 212 pages, 22 cm"</f>
        <v>xxvii, 212 pages, 22 cm</v>
      </c>
      <c r="G881" s="1">
        <v>16</v>
      </c>
      <c r="H881">
        <v>2015</v>
      </c>
      <c r="I881" t="str">
        <f t="shared" si="32"/>
        <v>9: 300 - 399</v>
      </c>
      <c r="K881" t="str">
        <f>"LL - In"</f>
        <v>LL - In</v>
      </c>
      <c r="L881" s="1">
        <v>22</v>
      </c>
      <c r="M881" t="s">
        <v>833</v>
      </c>
      <c r="O881" t="s">
        <v>28</v>
      </c>
      <c r="P881">
        <v>3</v>
      </c>
      <c r="Q881">
        <v>0</v>
      </c>
      <c r="R881">
        <v>4</v>
      </c>
      <c r="S881" s="2">
        <v>42465</v>
      </c>
      <c r="T881" s="2">
        <v>42467</v>
      </c>
      <c r="U881" s="2">
        <v>43451</v>
      </c>
    </row>
    <row r="882" spans="1:22" x14ac:dyDescent="0.2">
      <c r="A882" t="str">
        <f>"331.7 GRA"</f>
        <v>331.7 GRA</v>
      </c>
      <c r="B882" t="str">
        <f>"Super secrets of successful executive jo"</f>
        <v>Super secrets of successful executive jo</v>
      </c>
      <c r="C882">
        <v>353478</v>
      </c>
      <c r="D882" t="str">
        <f>"Gray, Simon,"</f>
        <v>Gray, Simon,</v>
      </c>
      <c r="F882" t="str">
        <f>"190 p."</f>
        <v>190 p.</v>
      </c>
      <c r="G882" s="1">
        <v>19</v>
      </c>
      <c r="H882">
        <v>2015</v>
      </c>
      <c r="I882" t="str">
        <f t="shared" si="32"/>
        <v>9: 300 - 399</v>
      </c>
      <c r="K882" t="str">
        <f>"LL - Out"</f>
        <v>LL - Out</v>
      </c>
      <c r="L882" s="1">
        <v>23</v>
      </c>
      <c r="M882" t="s">
        <v>834</v>
      </c>
      <c r="O882" t="s">
        <v>28</v>
      </c>
      <c r="P882">
        <v>2</v>
      </c>
      <c r="Q882">
        <v>1</v>
      </c>
      <c r="R882">
        <v>3</v>
      </c>
      <c r="S882" s="2">
        <v>43532</v>
      </c>
      <c r="T882" s="2">
        <v>43545</v>
      </c>
      <c r="U882" s="2">
        <v>43856</v>
      </c>
      <c r="V882" s="2">
        <v>43658</v>
      </c>
    </row>
    <row r="883" spans="1:22" x14ac:dyDescent="0.2">
      <c r="A883" t="str">
        <f>"331.7 ISA"</f>
        <v>331.7 ISA</v>
      </c>
      <c r="B883" t="str">
        <f>"Callings: the purpose and passion of wor"</f>
        <v>Callings: the purpose and passion of wor</v>
      </c>
      <c r="C883">
        <v>335229</v>
      </c>
      <c r="D883" t="str">
        <f>"Isay, David"</f>
        <v>Isay, David</v>
      </c>
      <c r="F883" t="str">
        <f>"266 pages, 22 cm, illustrations"</f>
        <v>266 pages, 22 cm, illustrations</v>
      </c>
      <c r="G883" s="1">
        <v>16</v>
      </c>
      <c r="H883">
        <v>2016</v>
      </c>
      <c r="I883" t="str">
        <f t="shared" si="32"/>
        <v>9: 300 - 399</v>
      </c>
      <c r="K883" t="str">
        <f t="shared" ref="K883:K894" si="33">"WB - In"</f>
        <v>WB - In</v>
      </c>
      <c r="L883" s="1">
        <v>31</v>
      </c>
      <c r="M883" t="s">
        <v>835</v>
      </c>
      <c r="O883" t="s">
        <v>28</v>
      </c>
      <c r="P883">
        <v>2</v>
      </c>
      <c r="Q883">
        <v>0</v>
      </c>
      <c r="R883">
        <v>10</v>
      </c>
      <c r="S883" s="2">
        <v>42513</v>
      </c>
      <c r="T883" s="2">
        <v>42654</v>
      </c>
      <c r="U883" s="2">
        <v>43039</v>
      </c>
    </row>
    <row r="884" spans="1:22" x14ac:dyDescent="0.2">
      <c r="A884" t="str">
        <f>"331.7 NEW"</f>
        <v>331.7 NEW</v>
      </c>
      <c r="B884" t="str">
        <f>"Reskilling America: learning to labor in"</f>
        <v>Reskilling America: learning to labor in</v>
      </c>
      <c r="C884">
        <v>336736</v>
      </c>
      <c r="D884" t="str">
        <f>"Newman, Katherine S.,"</f>
        <v>Newman, Katherine S.,</v>
      </c>
      <c r="F884" t="str">
        <f>"257 pages, 24 cm"</f>
        <v>257 pages, 24 cm</v>
      </c>
      <c r="G884" s="1">
        <v>16</v>
      </c>
      <c r="H884">
        <v>2016</v>
      </c>
      <c r="I884" t="str">
        <f t="shared" si="32"/>
        <v>9: 300 - 399</v>
      </c>
      <c r="K884" t="str">
        <f t="shared" si="33"/>
        <v>WB - In</v>
      </c>
      <c r="L884" s="1">
        <v>33</v>
      </c>
      <c r="M884" t="s">
        <v>836</v>
      </c>
      <c r="O884" t="s">
        <v>28</v>
      </c>
      <c r="P884">
        <v>3</v>
      </c>
      <c r="Q884">
        <v>0</v>
      </c>
      <c r="R884">
        <v>8</v>
      </c>
      <c r="S884" s="2">
        <v>42591</v>
      </c>
      <c r="T884" s="2">
        <v>42796</v>
      </c>
      <c r="U884" s="2">
        <v>43624</v>
      </c>
    </row>
    <row r="885" spans="1:22" x14ac:dyDescent="0.2">
      <c r="A885" t="str">
        <f>"331.8 WAL"</f>
        <v>331.8 WAL</v>
      </c>
      <c r="B885" t="str">
        <f>"Playing against the house: the dramatic "</f>
        <v xml:space="preserve">Playing against the house: the dramatic </v>
      </c>
      <c r="C885">
        <v>333190</v>
      </c>
      <c r="D885" t="str">
        <f>"Walsh, James D."</f>
        <v>Walsh, James D.</v>
      </c>
      <c r="F885" t="str">
        <f>"271 p."</f>
        <v>271 p.</v>
      </c>
      <c r="G885" s="1">
        <v>16</v>
      </c>
      <c r="H885">
        <v>2016</v>
      </c>
      <c r="I885" t="str">
        <f t="shared" si="32"/>
        <v>9: 300 - 399</v>
      </c>
      <c r="K885" t="str">
        <f t="shared" si="33"/>
        <v>WB - In</v>
      </c>
      <c r="L885" s="1">
        <v>31</v>
      </c>
      <c r="M885" t="s">
        <v>837</v>
      </c>
      <c r="O885" t="s">
        <v>28</v>
      </c>
      <c r="P885">
        <v>0</v>
      </c>
      <c r="Q885">
        <v>0</v>
      </c>
      <c r="R885">
        <v>3</v>
      </c>
      <c r="S885" s="2">
        <v>42417</v>
      </c>
      <c r="T885" s="2">
        <v>42571</v>
      </c>
      <c r="U885" s="2">
        <v>42559</v>
      </c>
    </row>
    <row r="886" spans="1:22" x14ac:dyDescent="0.2">
      <c r="A886" t="str">
        <f>"332 BRO"</f>
        <v>332 BRO</v>
      </c>
      <c r="B886" t="str">
        <f>"Business adventures: twelve classic tale"</f>
        <v>Business adventures: twelve classic tale</v>
      </c>
      <c r="C886">
        <v>354701</v>
      </c>
      <c r="D886" t="str">
        <f>"Brooks, John,"</f>
        <v>Brooks, John,</v>
      </c>
      <c r="F886" t="str">
        <f>"vi, 459 pages, 21 cm"</f>
        <v>vi, 459 pages, 21 cm</v>
      </c>
      <c r="G886" s="1">
        <v>19</v>
      </c>
      <c r="H886">
        <v>2014</v>
      </c>
      <c r="I886" t="str">
        <f t="shared" si="32"/>
        <v>9: 300 - 399</v>
      </c>
      <c r="K886" t="str">
        <f t="shared" si="33"/>
        <v>WB - In</v>
      </c>
      <c r="L886" s="1">
        <v>24</v>
      </c>
      <c r="M886" t="s">
        <v>838</v>
      </c>
      <c r="O886" t="s">
        <v>28</v>
      </c>
      <c r="P886">
        <v>3</v>
      </c>
      <c r="Q886">
        <v>0</v>
      </c>
      <c r="R886">
        <v>3</v>
      </c>
      <c r="S886" s="2">
        <v>43598</v>
      </c>
      <c r="T886" s="2">
        <v>43619</v>
      </c>
      <c r="U886" s="2">
        <v>43719</v>
      </c>
    </row>
    <row r="887" spans="1:22" x14ac:dyDescent="0.2">
      <c r="A887" t="str">
        <f>"332 CAS"</f>
        <v>332 CAS</v>
      </c>
      <c r="B887" t="str">
        <f>"Popes &amp; bankers: a cultural history of c"</f>
        <v>Popes &amp; bankers: a cultural history of c</v>
      </c>
      <c r="C887">
        <v>312596</v>
      </c>
      <c r="D887" t="str">
        <f>"Cashill, Jack."</f>
        <v>Cashill, Jack.</v>
      </c>
      <c r="F887" t="str">
        <f>"x, 259 p., 23 cm."</f>
        <v>x, 259 p., 23 cm.</v>
      </c>
      <c r="G887" s="1">
        <v>13</v>
      </c>
      <c r="H887">
        <v>2010</v>
      </c>
      <c r="I887" t="str">
        <f t="shared" si="32"/>
        <v>9: 300 - 399</v>
      </c>
      <c r="K887" t="str">
        <f t="shared" si="33"/>
        <v>WB - In</v>
      </c>
      <c r="L887" s="1">
        <v>20</v>
      </c>
      <c r="M887" t="s">
        <v>839</v>
      </c>
      <c r="O887" t="s">
        <v>28</v>
      </c>
      <c r="P887">
        <v>1</v>
      </c>
      <c r="Q887">
        <v>0</v>
      </c>
      <c r="R887">
        <v>5</v>
      </c>
      <c r="S887" s="2">
        <v>41320</v>
      </c>
      <c r="T887" s="2">
        <v>41330</v>
      </c>
      <c r="U887" s="2">
        <v>43134</v>
      </c>
    </row>
    <row r="888" spans="1:22" x14ac:dyDescent="0.2">
      <c r="A888" t="str">
        <f>"332 COH"</f>
        <v>332 COH</v>
      </c>
      <c r="B888" t="str">
        <f>"House of cards: a tale of hubris and wre"</f>
        <v>House of cards: a tale of hubris and wre</v>
      </c>
      <c r="C888">
        <v>229185</v>
      </c>
      <c r="D888" t="str">
        <f>"Cohan, William D"</f>
        <v>Cohan, William D</v>
      </c>
      <c r="F888" t="str">
        <f>"468 p., 25 cm."</f>
        <v>468 p., 25 cm.</v>
      </c>
      <c r="G888">
        <v>9</v>
      </c>
      <c r="H888">
        <v>2009</v>
      </c>
      <c r="I888" t="str">
        <f t="shared" si="32"/>
        <v>9: 300 - 399</v>
      </c>
      <c r="K888" t="str">
        <f t="shared" si="33"/>
        <v>WB - In</v>
      </c>
      <c r="L888" s="1">
        <v>33</v>
      </c>
      <c r="M888" t="s">
        <v>840</v>
      </c>
      <c r="O888" t="s">
        <v>28</v>
      </c>
      <c r="P888">
        <v>2</v>
      </c>
      <c r="Q888">
        <v>0</v>
      </c>
      <c r="R888">
        <v>23</v>
      </c>
      <c r="S888" s="2">
        <v>40029</v>
      </c>
      <c r="T888" s="2">
        <v>41053</v>
      </c>
      <c r="U888" s="2">
        <v>43708</v>
      </c>
      <c r="V888" s="2">
        <v>40384</v>
      </c>
    </row>
    <row r="889" spans="1:22" x14ac:dyDescent="0.2">
      <c r="A889" t="str">
        <f>"332 DES"</f>
        <v>332 DES</v>
      </c>
      <c r="B889" t="str">
        <f>"wisdom of finance: discovering humanity "</f>
        <v xml:space="preserve">wisdom of finance: discovering humanity </v>
      </c>
      <c r="C889">
        <v>342461</v>
      </c>
      <c r="D889" t="str">
        <f>"Desai, Mihir A."</f>
        <v>Desai, Mihir A.</v>
      </c>
      <c r="F889" t="str">
        <f>"xiii, 223 pages, 22 cm, illustrations"</f>
        <v>xiii, 223 pages, 22 cm, illustrations</v>
      </c>
      <c r="G889" s="1">
        <v>17</v>
      </c>
      <c r="H889">
        <v>2017</v>
      </c>
      <c r="I889" t="str">
        <f t="shared" si="32"/>
        <v>9: 300 - 399</v>
      </c>
      <c r="K889" t="str">
        <f t="shared" si="33"/>
        <v>WB - In</v>
      </c>
      <c r="L889" s="1">
        <v>32</v>
      </c>
      <c r="M889" t="s">
        <v>841</v>
      </c>
      <c r="O889" t="s">
        <v>28</v>
      </c>
      <c r="P889">
        <v>10</v>
      </c>
      <c r="Q889">
        <v>0</v>
      </c>
      <c r="R889">
        <v>10</v>
      </c>
      <c r="S889" s="2">
        <v>42929</v>
      </c>
      <c r="T889" s="2">
        <v>43194</v>
      </c>
      <c r="U889" s="2">
        <v>43197</v>
      </c>
    </row>
    <row r="890" spans="1:22" x14ac:dyDescent="0.2">
      <c r="A890" t="str">
        <f>"332 DOW"</f>
        <v>332 DOW</v>
      </c>
      <c r="B890" t="str">
        <f>"Dictionary of finance and investment ter"</f>
        <v>Dictionary of finance and investment ter</v>
      </c>
      <c r="C890">
        <v>273581</v>
      </c>
      <c r="D890" t="str">
        <f>"Downes, John"</f>
        <v>Downes, John</v>
      </c>
      <c r="F890" t="str">
        <f>"890 p., 18 cm."</f>
        <v>890 p., 18 cm.</v>
      </c>
      <c r="G890" s="1">
        <v>14</v>
      </c>
      <c r="H890">
        <v>2003</v>
      </c>
      <c r="I890" t="str">
        <f t="shared" si="32"/>
        <v>9: 300 - 399</v>
      </c>
      <c r="K890" t="str">
        <f t="shared" si="33"/>
        <v>WB - In</v>
      </c>
      <c r="L890" s="1">
        <v>20</v>
      </c>
      <c r="M890" t="s">
        <v>842</v>
      </c>
      <c r="O890" t="s">
        <v>28</v>
      </c>
      <c r="P890">
        <v>0</v>
      </c>
      <c r="Q890">
        <v>0</v>
      </c>
      <c r="R890">
        <v>0</v>
      </c>
      <c r="S890" s="2">
        <v>41773</v>
      </c>
      <c r="T890" s="2">
        <v>41800</v>
      </c>
    </row>
    <row r="891" spans="1:22" x14ac:dyDescent="0.2">
      <c r="A891" t="str">
        <f>"332 FOR"</f>
        <v>332 FOR</v>
      </c>
      <c r="B891" t="str">
        <f>"Makers and takers: the rise of finance a"</f>
        <v>Makers and takers: the rise of finance a</v>
      </c>
      <c r="C891">
        <v>340963</v>
      </c>
      <c r="D891" t="str">
        <f>"Foroohar, Rana"</f>
        <v>Foroohar, Rana</v>
      </c>
      <c r="F891" t="str">
        <f>"xi, 388 pages, 25 cm"</f>
        <v>xi, 388 pages, 25 cm</v>
      </c>
      <c r="G891" s="1">
        <v>17</v>
      </c>
      <c r="H891">
        <v>2016</v>
      </c>
      <c r="I891" t="str">
        <f t="shared" si="32"/>
        <v>9: 300 - 399</v>
      </c>
      <c r="K891" t="str">
        <f t="shared" si="33"/>
        <v>WB - In</v>
      </c>
      <c r="L891" s="1">
        <v>35</v>
      </c>
      <c r="M891" t="s">
        <v>843</v>
      </c>
      <c r="O891" t="s">
        <v>28</v>
      </c>
      <c r="P891">
        <v>8</v>
      </c>
      <c r="Q891">
        <v>1</v>
      </c>
      <c r="R891">
        <v>9</v>
      </c>
      <c r="S891" s="2">
        <v>42849</v>
      </c>
      <c r="T891" s="2">
        <v>43068</v>
      </c>
      <c r="U891" s="2">
        <v>43772</v>
      </c>
      <c r="V891" s="2">
        <v>43583</v>
      </c>
    </row>
    <row r="892" spans="1:22" x14ac:dyDescent="0.2">
      <c r="A892" t="str">
        <f>"332 GRA"</f>
        <v>332 GRA</v>
      </c>
      <c r="B892" t="str">
        <f>"Debt: the first 5,000 years"</f>
        <v>Debt: the first 5,000 years</v>
      </c>
      <c r="C892">
        <v>303772</v>
      </c>
      <c r="D892" t="str">
        <f>"Graeber, David."</f>
        <v>Graeber, David.</v>
      </c>
      <c r="F892" t="str">
        <f>"534 p., 24 cm., ill."</f>
        <v>534 p., 24 cm., ill.</v>
      </c>
      <c r="G892" s="1">
        <v>11</v>
      </c>
      <c r="H892">
        <v>2011</v>
      </c>
      <c r="I892" t="str">
        <f t="shared" si="32"/>
        <v>9: 300 - 399</v>
      </c>
      <c r="K892" t="str">
        <f t="shared" si="33"/>
        <v>WB - In</v>
      </c>
      <c r="L892" s="1">
        <v>37</v>
      </c>
      <c r="M892" t="s">
        <v>844</v>
      </c>
      <c r="O892" t="s">
        <v>28</v>
      </c>
      <c r="P892">
        <v>3</v>
      </c>
      <c r="Q892">
        <v>0</v>
      </c>
      <c r="R892">
        <v>14</v>
      </c>
      <c r="S892" s="2">
        <v>40843</v>
      </c>
      <c r="T892" s="2">
        <v>41053</v>
      </c>
      <c r="U892" s="2">
        <v>43229</v>
      </c>
      <c r="V892" s="2">
        <v>41303</v>
      </c>
    </row>
    <row r="893" spans="1:22" x14ac:dyDescent="0.2">
      <c r="A893" t="str">
        <f>"332 IVR"</f>
        <v>332 IVR</v>
      </c>
      <c r="B893" t="str">
        <f>"seven sins of Wall Street: big banks, th"</f>
        <v>seven sins of Wall Street: big banks, th</v>
      </c>
      <c r="C893">
        <v>320955</v>
      </c>
      <c r="D893" t="str">
        <f>"Ivry, Bob."</f>
        <v>Ivry, Bob.</v>
      </c>
      <c r="F893" t="str">
        <f>"xxiii, 275 pages, 25 cm"</f>
        <v>xxiii, 275 pages, 25 cm</v>
      </c>
      <c r="G893" s="1">
        <v>14</v>
      </c>
      <c r="H893">
        <v>2014</v>
      </c>
      <c r="I893" t="str">
        <f t="shared" si="32"/>
        <v>9: 300 - 399</v>
      </c>
      <c r="K893" t="str">
        <f t="shared" si="33"/>
        <v>WB - In</v>
      </c>
      <c r="L893" s="1">
        <v>31</v>
      </c>
      <c r="M893" t="s">
        <v>845</v>
      </c>
      <c r="O893" t="s">
        <v>28</v>
      </c>
      <c r="P893">
        <v>3</v>
      </c>
      <c r="Q893">
        <v>0</v>
      </c>
      <c r="R893">
        <v>17</v>
      </c>
      <c r="S893" s="2">
        <v>41754</v>
      </c>
      <c r="T893" s="2">
        <v>42004</v>
      </c>
      <c r="U893" s="2">
        <v>42935</v>
      </c>
    </row>
    <row r="894" spans="1:22" x14ac:dyDescent="0.2">
      <c r="A894" t="str">
        <f>"332 PIK"</f>
        <v>332 PIK</v>
      </c>
      <c r="B894" t="str">
        <f>"Capital in the twenty-first century"</f>
        <v>Capital in the twenty-first century</v>
      </c>
      <c r="C894">
        <v>321512</v>
      </c>
      <c r="D894" t="str">
        <f>"Piketty, Thomas,"</f>
        <v>Piketty, Thomas,</v>
      </c>
      <c r="F894" t="str">
        <f>"viii, 685 pages, 25 cm, illustrations"</f>
        <v>viii, 685 pages, 25 cm, illustrations</v>
      </c>
      <c r="G894" s="1">
        <v>14</v>
      </c>
      <c r="H894">
        <v>2014</v>
      </c>
      <c r="I894" t="str">
        <f t="shared" si="32"/>
        <v>9: 300 - 399</v>
      </c>
      <c r="K894" t="str">
        <f t="shared" si="33"/>
        <v>WB - In</v>
      </c>
      <c r="L894" s="1">
        <v>45</v>
      </c>
      <c r="M894" t="s">
        <v>846</v>
      </c>
      <c r="O894" t="s">
        <v>28</v>
      </c>
      <c r="P894">
        <v>5</v>
      </c>
      <c r="Q894">
        <v>0</v>
      </c>
      <c r="R894">
        <v>27</v>
      </c>
      <c r="S894" s="2">
        <v>41786</v>
      </c>
      <c r="T894" s="2">
        <v>42274</v>
      </c>
      <c r="U894" s="2">
        <v>43835</v>
      </c>
      <c r="V894" s="2">
        <v>42420</v>
      </c>
    </row>
    <row r="895" spans="1:22" x14ac:dyDescent="0.2">
      <c r="A895" t="str">
        <f>"332 PIK"</f>
        <v>332 PIK</v>
      </c>
      <c r="B895" t="str">
        <f>"Capital in the twenty-first century"</f>
        <v>Capital in the twenty-first century</v>
      </c>
      <c r="C895">
        <v>322165</v>
      </c>
      <c r="D895" t="str">
        <f>"Piketty, Thomas,"</f>
        <v>Piketty, Thomas,</v>
      </c>
      <c r="F895" t="str">
        <f>"viii, 685 pages, 25 cm, illustrations"</f>
        <v>viii, 685 pages, 25 cm, illustrations</v>
      </c>
      <c r="G895" s="1">
        <v>14</v>
      </c>
      <c r="H895">
        <v>2014</v>
      </c>
      <c r="I895" t="str">
        <f t="shared" si="32"/>
        <v>9: 300 - 399</v>
      </c>
      <c r="K895" t="str">
        <f>"LL - In"</f>
        <v>LL - In</v>
      </c>
      <c r="L895" s="1">
        <v>45</v>
      </c>
      <c r="M895" t="s">
        <v>846</v>
      </c>
      <c r="O895" t="s">
        <v>28</v>
      </c>
      <c r="P895">
        <v>0</v>
      </c>
      <c r="Q895">
        <v>0</v>
      </c>
      <c r="R895">
        <v>16</v>
      </c>
      <c r="S895" s="2">
        <v>41821</v>
      </c>
      <c r="T895" s="2">
        <v>42079</v>
      </c>
      <c r="U895" s="2">
        <v>42754</v>
      </c>
      <c r="V895" s="2">
        <v>42079</v>
      </c>
    </row>
    <row r="896" spans="1:22" x14ac:dyDescent="0.2">
      <c r="A896" t="str">
        <f>"332 TOO"</f>
        <v>332 TOO</v>
      </c>
      <c r="B896" t="str">
        <f>"Crashed: how a decade of financial crise"</f>
        <v>Crashed: how a decade of financial crise</v>
      </c>
      <c r="C896">
        <v>350168</v>
      </c>
      <c r="D896" t="str">
        <f>"Tooze, J. Adam"</f>
        <v>Tooze, J. Adam</v>
      </c>
      <c r="F896" t="str">
        <f>"xii, 706 pages, 25 cm"</f>
        <v>xii, 706 pages, 25 cm</v>
      </c>
      <c r="G896" s="1">
        <v>18</v>
      </c>
      <c r="H896">
        <v>2018</v>
      </c>
      <c r="I896" t="str">
        <f t="shared" si="32"/>
        <v>9: 300 - 399</v>
      </c>
      <c r="K896" t="str">
        <f>"WB - In"</f>
        <v>WB - In</v>
      </c>
      <c r="L896" s="1">
        <v>40</v>
      </c>
      <c r="M896" t="s">
        <v>847</v>
      </c>
      <c r="O896" t="s">
        <v>28</v>
      </c>
      <c r="P896">
        <v>2</v>
      </c>
      <c r="Q896">
        <v>0</v>
      </c>
      <c r="R896">
        <v>2</v>
      </c>
      <c r="S896" s="2">
        <v>43368</v>
      </c>
      <c r="T896" s="2">
        <v>43502</v>
      </c>
      <c r="U896" s="2">
        <v>43454</v>
      </c>
    </row>
    <row r="897" spans="1:22" x14ac:dyDescent="0.2">
      <c r="A897" t="str">
        <f>"332.02 BEN"</f>
        <v>332.02 BEN</v>
      </c>
      <c r="B897" t="str">
        <f>"Thinking smarter: seven steps to your fu"</f>
        <v>Thinking smarter: seven steps to your fu</v>
      </c>
      <c r="C897">
        <v>332007</v>
      </c>
      <c r="D897" t="str">
        <f>"Benartzi, Shlomo"</f>
        <v>Benartzi, Shlomo</v>
      </c>
      <c r="F897" t="str">
        <f>"130 pages, 21cm"</f>
        <v>130 pages, 21cm</v>
      </c>
      <c r="G897" s="1">
        <v>15</v>
      </c>
      <c r="H897">
        <v>2015</v>
      </c>
      <c r="I897" t="str">
        <f t="shared" si="32"/>
        <v>9: 300 - 399</v>
      </c>
      <c r="K897" t="str">
        <f>"LL - In"</f>
        <v>LL - In</v>
      </c>
      <c r="L897" s="1">
        <v>30</v>
      </c>
      <c r="M897" t="s">
        <v>848</v>
      </c>
      <c r="O897" t="s">
        <v>28</v>
      </c>
      <c r="P897">
        <v>3</v>
      </c>
      <c r="Q897">
        <v>1</v>
      </c>
      <c r="R897">
        <v>8</v>
      </c>
      <c r="S897" s="2">
        <v>42359</v>
      </c>
      <c r="T897" s="2">
        <v>42528</v>
      </c>
      <c r="U897" s="2">
        <v>43254</v>
      </c>
      <c r="V897" s="2">
        <v>43557</v>
      </c>
    </row>
    <row r="898" spans="1:22" x14ac:dyDescent="0.2">
      <c r="A898" t="str">
        <f>"332.024 ARI"</f>
        <v>332.024 ARI</v>
      </c>
      <c r="B898" t="str">
        <f>"Dollars and sense: how we misthink money"</f>
        <v>Dollars and sense: how we misthink money</v>
      </c>
      <c r="C898">
        <v>344685</v>
      </c>
      <c r="D898" t="str">
        <f>"Ariely, Dan"</f>
        <v>Ariely, Dan</v>
      </c>
      <c r="F898" t="str">
        <f>"xii, 275 pages, 24 cm, illustrations"</f>
        <v>xii, 275 pages, 24 cm, illustrations</v>
      </c>
      <c r="G898" s="1">
        <v>17</v>
      </c>
      <c r="H898">
        <v>2017</v>
      </c>
      <c r="I898" t="str">
        <f t="shared" si="32"/>
        <v>9: 300 - 399</v>
      </c>
      <c r="K898" t="str">
        <f>"LL - In"</f>
        <v>LL - In</v>
      </c>
      <c r="L898" s="1">
        <v>33</v>
      </c>
      <c r="M898" t="s">
        <v>849</v>
      </c>
      <c r="O898" t="s">
        <v>28</v>
      </c>
      <c r="P898">
        <v>5</v>
      </c>
      <c r="Q898">
        <v>1</v>
      </c>
      <c r="R898">
        <v>6</v>
      </c>
      <c r="S898" s="2">
        <v>43054</v>
      </c>
      <c r="T898" s="2">
        <v>43329</v>
      </c>
      <c r="U898" s="2">
        <v>43265</v>
      </c>
      <c r="V898" s="2">
        <v>43228</v>
      </c>
    </row>
    <row r="899" spans="1:22" x14ac:dyDescent="0.2">
      <c r="A899" t="str">
        <f>"332.024 ARI"</f>
        <v>332.024 ARI</v>
      </c>
      <c r="B899" t="str">
        <f>"Dollars and sense: how we misthink money"</f>
        <v>Dollars and sense: how we misthink money</v>
      </c>
      <c r="C899">
        <v>353869</v>
      </c>
      <c r="D899" t="str">
        <f>"Ariely, Dan"</f>
        <v>Ariely, Dan</v>
      </c>
      <c r="F899" t="str">
        <f>"xii, 275 pages, 24 cm, illustrations"</f>
        <v>xii, 275 pages, 24 cm, illustrations</v>
      </c>
      <c r="G899" s="1">
        <v>19</v>
      </c>
      <c r="H899">
        <v>2017</v>
      </c>
      <c r="I899" t="str">
        <f t="shared" si="32"/>
        <v>9: 300 - 399</v>
      </c>
      <c r="K899" t="str">
        <f>"WB - In"</f>
        <v>WB - In</v>
      </c>
      <c r="L899" s="1">
        <v>22</v>
      </c>
      <c r="M899" t="s">
        <v>849</v>
      </c>
      <c r="O899" t="s">
        <v>28</v>
      </c>
      <c r="P899">
        <v>0</v>
      </c>
      <c r="Q899">
        <v>0</v>
      </c>
      <c r="R899">
        <v>0</v>
      </c>
      <c r="S899" s="2">
        <v>43556</v>
      </c>
      <c r="T899" s="2">
        <v>43570</v>
      </c>
    </row>
    <row r="900" spans="1:22" x14ac:dyDescent="0.2">
      <c r="A900" t="str">
        <f>"332.024 AST"</f>
        <v>332.024 AST</v>
      </c>
      <c r="B900" t="str">
        <f>"Roadmap for the rest of your life: smart"</f>
        <v>Roadmap for the rest of your life: smart</v>
      </c>
      <c r="C900">
        <v>326347</v>
      </c>
      <c r="D900" t="str">
        <f>"Astor, Bart."</f>
        <v>Astor, Bart.</v>
      </c>
      <c r="F900" t="str">
        <f>"xviii, 214 pages, 23 cm"</f>
        <v>xviii, 214 pages, 23 cm</v>
      </c>
      <c r="G900" s="1">
        <v>15</v>
      </c>
      <c r="H900">
        <v>2013</v>
      </c>
      <c r="I900" t="str">
        <f t="shared" si="32"/>
        <v>9: 300 - 399</v>
      </c>
      <c r="K900" t="str">
        <f>"WB - In"</f>
        <v>WB - In</v>
      </c>
      <c r="L900" s="1">
        <v>24</v>
      </c>
      <c r="M900" t="s">
        <v>850</v>
      </c>
      <c r="O900" t="s">
        <v>28</v>
      </c>
      <c r="P900">
        <v>5</v>
      </c>
      <c r="Q900">
        <v>0</v>
      </c>
      <c r="R900">
        <v>16</v>
      </c>
      <c r="S900" s="2">
        <v>42072</v>
      </c>
      <c r="T900" s="2">
        <v>42101</v>
      </c>
      <c r="U900" s="2">
        <v>43780</v>
      </c>
      <c r="V900" s="2">
        <v>42416</v>
      </c>
    </row>
    <row r="901" spans="1:22" x14ac:dyDescent="0.2">
      <c r="A901" t="str">
        <f>"332.024 BAC"</f>
        <v>332.024 BAC</v>
      </c>
      <c r="B901" t="str">
        <f>"automatic millionaire: a powerful one-st"</f>
        <v>automatic millionaire: a powerful one-st</v>
      </c>
      <c r="C901">
        <v>339008</v>
      </c>
      <c r="D901" t="str">
        <f>"Bach, David"</f>
        <v>Bach, David</v>
      </c>
      <c r="F901" t="str">
        <f>"xvi, 266 pages, 21 cm, illustrations"</f>
        <v>xvi, 266 pages, 21 cm, illustrations</v>
      </c>
      <c r="G901" s="1">
        <v>16</v>
      </c>
      <c r="H901">
        <v>2016</v>
      </c>
      <c r="I901" t="str">
        <f t="shared" si="32"/>
        <v>9: 300 - 399</v>
      </c>
      <c r="K901" t="str">
        <f>"WB - In"</f>
        <v>WB - In</v>
      </c>
      <c r="L901" s="1">
        <v>20</v>
      </c>
      <c r="M901" t="s">
        <v>851</v>
      </c>
      <c r="O901" t="s">
        <v>28</v>
      </c>
      <c r="P901">
        <v>9</v>
      </c>
      <c r="Q901">
        <v>2</v>
      </c>
      <c r="R901">
        <v>12</v>
      </c>
      <c r="S901" s="2">
        <v>42744</v>
      </c>
      <c r="T901" s="2">
        <v>42754</v>
      </c>
      <c r="U901" s="2">
        <v>43598</v>
      </c>
      <c r="V901" s="2">
        <v>43166</v>
      </c>
    </row>
    <row r="902" spans="1:22" x14ac:dyDescent="0.2">
      <c r="A902" t="str">
        <f>"332.024 BAC"</f>
        <v>332.024 BAC</v>
      </c>
      <c r="B902" t="str">
        <f>"Smart couples finish rich: 9 steps to cr"</f>
        <v>Smart couples finish rich: 9 steps to cr</v>
      </c>
      <c r="C902">
        <v>353752</v>
      </c>
      <c r="D902" t="str">
        <f>"Bach, David"</f>
        <v>Bach, David</v>
      </c>
      <c r="F902" t="str">
        <f>"xv, 347 pages, 20 cm, illustrations"</f>
        <v>xv, 347 pages, 20 cm, illustrations</v>
      </c>
      <c r="G902" s="1">
        <v>19</v>
      </c>
      <c r="H902">
        <v>2018</v>
      </c>
      <c r="I902" t="str">
        <f t="shared" si="32"/>
        <v>9: 300 - 399</v>
      </c>
      <c r="K902" t="str">
        <f>"LL - In"</f>
        <v>LL - In</v>
      </c>
      <c r="L902" s="1">
        <v>22</v>
      </c>
      <c r="M902" t="s">
        <v>852</v>
      </c>
      <c r="O902" t="s">
        <v>28</v>
      </c>
      <c r="P902">
        <v>3</v>
      </c>
      <c r="Q902">
        <v>0</v>
      </c>
      <c r="R902">
        <v>3</v>
      </c>
      <c r="S902" s="2">
        <v>43549</v>
      </c>
      <c r="T902" s="2">
        <v>43570</v>
      </c>
      <c r="U902" s="2">
        <v>43621</v>
      </c>
    </row>
    <row r="903" spans="1:22" x14ac:dyDescent="0.2">
      <c r="A903" t="str">
        <f>"332.024 BAC"</f>
        <v>332.024 BAC</v>
      </c>
      <c r="B903" t="str">
        <f>"Smart women finish rich: 8 steps to achi"</f>
        <v>Smart women finish rich: 8 steps to achi</v>
      </c>
      <c r="C903">
        <v>353753</v>
      </c>
      <c r="D903" t="str">
        <f>"Bach, David"</f>
        <v>Bach, David</v>
      </c>
      <c r="F903" t="str">
        <f>"xix, 405 pages, 21 cm, illustrations"</f>
        <v>xix, 405 pages, 21 cm, illustrations</v>
      </c>
      <c r="G903" s="1">
        <v>19</v>
      </c>
      <c r="H903">
        <v>2018</v>
      </c>
      <c r="I903" t="str">
        <f t="shared" si="32"/>
        <v>9: 300 - 399</v>
      </c>
      <c r="K903" t="str">
        <f>"WB - In"</f>
        <v>WB - In</v>
      </c>
      <c r="L903" s="1">
        <v>23</v>
      </c>
      <c r="M903" t="s">
        <v>853</v>
      </c>
      <c r="O903" t="s">
        <v>28</v>
      </c>
      <c r="P903">
        <v>0</v>
      </c>
      <c r="Q903">
        <v>1</v>
      </c>
      <c r="R903">
        <v>1</v>
      </c>
      <c r="S903" s="2">
        <v>43549</v>
      </c>
      <c r="T903" s="2">
        <v>43559</v>
      </c>
      <c r="V903" s="2">
        <v>43596</v>
      </c>
    </row>
    <row r="904" spans="1:22" x14ac:dyDescent="0.2">
      <c r="A904" t="str">
        <f>"332.024 BER"</f>
        <v>332.024 BER</v>
      </c>
      <c r="B904" t="str">
        <f>"Retire before mom &amp; dad: the simple numb"</f>
        <v>Retire before mom &amp; dad: the simple numb</v>
      </c>
      <c r="C904">
        <v>408482</v>
      </c>
      <c r="D904" t="str">
        <f>"Berger, Rob"</f>
        <v>Berger, Rob</v>
      </c>
      <c r="G904" s="1">
        <v>19</v>
      </c>
      <c r="H904">
        <v>2019</v>
      </c>
      <c r="I904" t="str">
        <f t="shared" ref="I904:I967" si="34">"9: 300 - 399"</f>
        <v>9: 300 - 399</v>
      </c>
      <c r="K904" t="str">
        <f>"WB - In"</f>
        <v>WB - In</v>
      </c>
      <c r="L904" s="1">
        <v>22</v>
      </c>
      <c r="O904" t="s">
        <v>28</v>
      </c>
      <c r="P904">
        <v>1</v>
      </c>
      <c r="Q904">
        <v>0</v>
      </c>
      <c r="R904">
        <v>1</v>
      </c>
      <c r="S904" s="2">
        <v>43808</v>
      </c>
      <c r="T904" s="2">
        <v>43812</v>
      </c>
      <c r="U904" s="2">
        <v>43838</v>
      </c>
    </row>
    <row r="905" spans="1:22" x14ac:dyDescent="0.2">
      <c r="A905" t="str">
        <f>"332.024 BIR"</f>
        <v>332.024 BIR</v>
      </c>
      <c r="B905" t="str">
        <f>"five years before you retire"</f>
        <v>five years before you retire</v>
      </c>
      <c r="C905">
        <v>325824</v>
      </c>
      <c r="D905" t="str">
        <f>"Birken, Emily Guy."</f>
        <v>Birken, Emily Guy.</v>
      </c>
      <c r="F905" t="str">
        <f>"239 pages, 22 cm"</f>
        <v>239 pages, 22 cm</v>
      </c>
      <c r="G905" s="1">
        <v>15</v>
      </c>
      <c r="H905">
        <v>2013</v>
      </c>
      <c r="I905" t="str">
        <f t="shared" si="34"/>
        <v>9: 300 - 399</v>
      </c>
      <c r="K905" t="str">
        <f>"LL - In"</f>
        <v>LL - In</v>
      </c>
      <c r="L905" s="1">
        <v>23</v>
      </c>
      <c r="M905" t="s">
        <v>854</v>
      </c>
      <c r="O905" t="s">
        <v>28</v>
      </c>
      <c r="P905">
        <v>4</v>
      </c>
      <c r="Q905">
        <v>1</v>
      </c>
      <c r="R905">
        <v>19</v>
      </c>
      <c r="S905" s="2">
        <v>42040</v>
      </c>
      <c r="T905" s="2">
        <v>42059</v>
      </c>
      <c r="U905" s="2">
        <v>43411</v>
      </c>
      <c r="V905" s="2">
        <v>42885</v>
      </c>
    </row>
    <row r="906" spans="1:22" x14ac:dyDescent="0.2">
      <c r="A906" t="str">
        <f>"332.024 BIR"</f>
        <v>332.024 BIR</v>
      </c>
      <c r="B906" t="str">
        <f>"five years before you retire"</f>
        <v>five years before you retire</v>
      </c>
      <c r="C906">
        <v>326346</v>
      </c>
      <c r="D906" t="str">
        <f>"Birken, Emily Guy."</f>
        <v>Birken, Emily Guy.</v>
      </c>
      <c r="F906" t="str">
        <f>"239 pages, 22 cm"</f>
        <v>239 pages, 22 cm</v>
      </c>
      <c r="G906" s="1">
        <v>15</v>
      </c>
      <c r="H906">
        <v>2013</v>
      </c>
      <c r="I906" t="str">
        <f t="shared" si="34"/>
        <v>9: 300 - 399</v>
      </c>
      <c r="K906" t="str">
        <f>"LL - Out"</f>
        <v>LL - Out</v>
      </c>
      <c r="L906" s="1">
        <v>23</v>
      </c>
      <c r="M906" t="s">
        <v>854</v>
      </c>
      <c r="O906" t="s">
        <v>28</v>
      </c>
      <c r="P906">
        <v>12</v>
      </c>
      <c r="Q906">
        <v>0</v>
      </c>
      <c r="R906">
        <v>24</v>
      </c>
      <c r="S906" s="2">
        <v>42072</v>
      </c>
      <c r="T906" s="2">
        <v>42080</v>
      </c>
      <c r="U906" s="2">
        <v>43826</v>
      </c>
      <c r="V906" s="2">
        <v>42570</v>
      </c>
    </row>
    <row r="907" spans="1:22" x14ac:dyDescent="0.2">
      <c r="A907" t="str">
        <f>"332.024 BON"</f>
        <v>332.024 BON</v>
      </c>
      <c r="B907" t="str">
        <f>"millennial money fix: what you need to k"</f>
        <v>millennial money fix: what you need to k</v>
      </c>
      <c r="C907">
        <v>350972</v>
      </c>
      <c r="D907" t="str">
        <f>"Boneparth, Douglas A.,"</f>
        <v>Boneparth, Douglas A.,</v>
      </c>
      <c r="F907" t="str">
        <f>"218 p., 21 cm"</f>
        <v>218 p., 21 cm</v>
      </c>
      <c r="G907" s="1">
        <v>18</v>
      </c>
      <c r="H907">
        <v>2017</v>
      </c>
      <c r="I907" t="str">
        <f t="shared" si="34"/>
        <v>9: 300 - 399</v>
      </c>
      <c r="K907" t="str">
        <f>"LL - In"</f>
        <v>LL - In</v>
      </c>
      <c r="L907" s="1">
        <v>21</v>
      </c>
      <c r="M907" t="s">
        <v>855</v>
      </c>
      <c r="O907" t="s">
        <v>28</v>
      </c>
      <c r="P907">
        <v>0</v>
      </c>
      <c r="Q907">
        <v>0</v>
      </c>
      <c r="R907">
        <v>0</v>
      </c>
      <c r="S907" s="2">
        <v>43402</v>
      </c>
      <c r="T907" s="2">
        <v>43420</v>
      </c>
    </row>
    <row r="908" spans="1:22" x14ac:dyDescent="0.2">
      <c r="A908" t="str">
        <f>"332.024 CAM"</f>
        <v>332.024 CAM</v>
      </c>
      <c r="B908" t="str">
        <f>"From worry to wealthy: a woman's guide t"</f>
        <v>From worry to wealthy: a woman's guide t</v>
      </c>
      <c r="C908">
        <v>328321</v>
      </c>
      <c r="D908" t="str">
        <f>"Campbell, Chellie."</f>
        <v>Campbell, Chellie.</v>
      </c>
      <c r="F908" t="str">
        <f>"xxiv, 262 pages, 21 cm"</f>
        <v>xxiv, 262 pages, 21 cm</v>
      </c>
      <c r="G908" s="1">
        <v>15</v>
      </c>
      <c r="H908">
        <v>2015</v>
      </c>
      <c r="I908" t="str">
        <f t="shared" si="34"/>
        <v>9: 300 - 399</v>
      </c>
      <c r="K908" t="str">
        <f>"WB - In"</f>
        <v>WB - In</v>
      </c>
      <c r="L908" s="1">
        <v>22</v>
      </c>
      <c r="M908" t="s">
        <v>856</v>
      </c>
      <c r="O908" t="s">
        <v>28</v>
      </c>
      <c r="P908">
        <v>1</v>
      </c>
      <c r="Q908">
        <v>1</v>
      </c>
      <c r="R908">
        <v>8</v>
      </c>
      <c r="S908" s="2">
        <v>42185</v>
      </c>
      <c r="T908" s="2">
        <v>42205</v>
      </c>
      <c r="U908" s="2">
        <v>43017</v>
      </c>
      <c r="V908" s="2">
        <v>43155</v>
      </c>
    </row>
    <row r="909" spans="1:22" x14ac:dyDescent="0.2">
      <c r="A909" t="str">
        <f>"332.024 CAR"</f>
        <v>332.024 CAR</v>
      </c>
      <c r="B909" t="str">
        <f>"Don't sweat the small stuff about money:"</f>
        <v>Don't sweat the small stuff about money:</v>
      </c>
      <c r="C909">
        <v>356727</v>
      </c>
      <c r="D909" t="str">
        <f>"Carlson, Richard"</f>
        <v>Carlson, Richard</v>
      </c>
      <c r="F909" t="str">
        <f>"225 p., 17 cm"</f>
        <v>225 p., 17 cm</v>
      </c>
      <c r="G909" s="1">
        <v>19</v>
      </c>
      <c r="H909">
        <v>2001</v>
      </c>
      <c r="I909" t="str">
        <f t="shared" si="34"/>
        <v>9: 300 - 399</v>
      </c>
      <c r="K909" t="str">
        <f>"LL - In"</f>
        <v>LL - In</v>
      </c>
      <c r="L909" s="1">
        <v>21</v>
      </c>
      <c r="M909" t="s">
        <v>857</v>
      </c>
      <c r="O909" t="s">
        <v>28</v>
      </c>
      <c r="P909">
        <v>2</v>
      </c>
      <c r="Q909">
        <v>0</v>
      </c>
      <c r="R909">
        <v>2</v>
      </c>
      <c r="S909" s="2">
        <v>43683</v>
      </c>
      <c r="T909" s="2">
        <v>43685</v>
      </c>
      <c r="U909" s="2">
        <v>43765</v>
      </c>
    </row>
    <row r="910" spans="1:22" x14ac:dyDescent="0.2">
      <c r="A910" t="str">
        <f>"332.024 CHA"</f>
        <v>332.024 CHA</v>
      </c>
      <c r="B910" t="str">
        <f>"Money rules: the simple path to lifelong"</f>
        <v>Money rules: the simple path to lifelong</v>
      </c>
      <c r="C910">
        <v>307346</v>
      </c>
      <c r="D910" t="str">
        <f>"Chatzky, Jean Sherman"</f>
        <v>Chatzky, Jean Sherman</v>
      </c>
      <c r="F910" t="str">
        <f>"xiii, 114 p., 18 cm., ill."</f>
        <v>xiii, 114 p., 18 cm., ill.</v>
      </c>
      <c r="G910" s="1">
        <v>12</v>
      </c>
      <c r="H910">
        <v>2012</v>
      </c>
      <c r="I910" t="str">
        <f t="shared" si="34"/>
        <v>9: 300 - 399</v>
      </c>
      <c r="K910" t="str">
        <f>"LL - In"</f>
        <v>LL - In</v>
      </c>
      <c r="L910" s="1">
        <v>18</v>
      </c>
      <c r="M910" t="s">
        <v>858</v>
      </c>
      <c r="O910" t="s">
        <v>28</v>
      </c>
      <c r="P910">
        <v>3</v>
      </c>
      <c r="Q910">
        <v>2</v>
      </c>
      <c r="R910">
        <v>24</v>
      </c>
      <c r="S910" s="2">
        <v>41032</v>
      </c>
      <c r="T910" s="2">
        <v>41053</v>
      </c>
      <c r="U910" s="2">
        <v>43765</v>
      </c>
      <c r="V910" s="2">
        <v>43617</v>
      </c>
    </row>
    <row r="911" spans="1:22" x14ac:dyDescent="0.2">
      <c r="A911" t="str">
        <f>"332.024 CLO"</f>
        <v>332.024 CLO</v>
      </c>
      <c r="B911" t="str">
        <f>"Investing at level 3: higher returns wit"</f>
        <v>Investing at level 3: higher returns wit</v>
      </c>
      <c r="C911">
        <v>293379</v>
      </c>
      <c r="D911" t="str">
        <f>"Cloonan, James B."</f>
        <v>Cloonan, James B.</v>
      </c>
      <c r="F911" t="str">
        <f>"309 p."</f>
        <v>309 p.</v>
      </c>
      <c r="G911" s="1">
        <v>17</v>
      </c>
      <c r="H911">
        <v>2016</v>
      </c>
      <c r="I911" t="str">
        <f t="shared" si="34"/>
        <v>9: 300 - 399</v>
      </c>
      <c r="K911" t="str">
        <f>"WB - In"</f>
        <v>WB - In</v>
      </c>
      <c r="L911" s="1">
        <v>55</v>
      </c>
      <c r="M911" t="s">
        <v>859</v>
      </c>
      <c r="O911" t="s">
        <v>28</v>
      </c>
      <c r="P911">
        <v>7</v>
      </c>
      <c r="Q911">
        <v>4</v>
      </c>
      <c r="R911">
        <v>11</v>
      </c>
      <c r="S911" s="2">
        <v>42780</v>
      </c>
      <c r="T911" s="2">
        <v>42782</v>
      </c>
      <c r="U911" s="2">
        <v>43772</v>
      </c>
      <c r="V911" s="2">
        <v>43374</v>
      </c>
    </row>
    <row r="912" spans="1:22" x14ac:dyDescent="0.2">
      <c r="A912" t="str">
        <f>"332.024 COL"</f>
        <v>332.024 COL</v>
      </c>
      <c r="B912" t="str">
        <f>"simple path to wealth: your road map to "</f>
        <v xml:space="preserve">simple path to wealth: your road map to </v>
      </c>
      <c r="C912">
        <v>344951</v>
      </c>
      <c r="D912" t="str">
        <f>"Collins, J. L."</f>
        <v>Collins, J. L.</v>
      </c>
      <c r="F912" t="str">
        <f>"xi, 265 pages, 22 cm, illustrations"</f>
        <v>xi, 265 pages, 22 cm, illustrations</v>
      </c>
      <c r="G912" s="1">
        <v>17</v>
      </c>
      <c r="H912">
        <v>2016</v>
      </c>
      <c r="I912" t="str">
        <f t="shared" si="34"/>
        <v>9: 300 - 399</v>
      </c>
      <c r="K912" t="str">
        <f>"WB - Out"</f>
        <v>WB - Out</v>
      </c>
      <c r="L912" s="1">
        <v>21</v>
      </c>
      <c r="M912" t="s">
        <v>860</v>
      </c>
      <c r="O912" t="s">
        <v>28</v>
      </c>
      <c r="P912">
        <v>19</v>
      </c>
      <c r="Q912">
        <v>0</v>
      </c>
      <c r="R912">
        <v>19</v>
      </c>
      <c r="S912" s="2">
        <v>43073</v>
      </c>
      <c r="T912" s="2">
        <v>43076</v>
      </c>
      <c r="U912" s="2">
        <v>43858</v>
      </c>
    </row>
    <row r="913" spans="1:22" x14ac:dyDescent="0.2">
      <c r="A913" t="str">
        <f>"332.024 CRU"</f>
        <v>332.024 CRU</v>
      </c>
      <c r="B913" t="str">
        <f>"Love your life, not theirs: 7 money habi"</f>
        <v>Love your life, not theirs: 7 money habi</v>
      </c>
      <c r="C913">
        <v>338961</v>
      </c>
      <c r="D913" t="str">
        <f>"Cruze, Rachel."</f>
        <v>Cruze, Rachel.</v>
      </c>
      <c r="F913" t="str">
        <f>"xxi, 229 pages, 24 cm"</f>
        <v>xxi, 229 pages, 24 cm</v>
      </c>
      <c r="G913" s="1">
        <v>16</v>
      </c>
      <c r="H913">
        <v>2016</v>
      </c>
      <c r="I913" t="str">
        <f t="shared" si="34"/>
        <v>9: 300 - 399</v>
      </c>
      <c r="K913" t="str">
        <f>"WB - Out"</f>
        <v>WB - Out</v>
      </c>
      <c r="L913" s="1">
        <v>30</v>
      </c>
      <c r="M913" t="s">
        <v>861</v>
      </c>
      <c r="O913" t="s">
        <v>28</v>
      </c>
      <c r="P913">
        <v>10</v>
      </c>
      <c r="Q913">
        <v>2</v>
      </c>
      <c r="R913">
        <v>14</v>
      </c>
      <c r="S913" s="2">
        <v>42738</v>
      </c>
      <c r="T913" s="2">
        <v>42907</v>
      </c>
      <c r="U913" s="2">
        <v>43847</v>
      </c>
      <c r="V913" s="2">
        <v>43515</v>
      </c>
    </row>
    <row r="914" spans="1:22" x14ac:dyDescent="0.2">
      <c r="A914" t="str">
        <f>"332.024 CUL"</f>
        <v>332.024 CUL</v>
      </c>
      <c r="B914" t="str">
        <f>"single woman's guide to retirement"</f>
        <v>single woman's guide to retirement</v>
      </c>
      <c r="C914">
        <v>325856</v>
      </c>
      <c r="D914" t="str">
        <f>"Cullinane, Jan."</f>
        <v>Cullinane, Jan.</v>
      </c>
      <c r="F914" t="str">
        <f>"ix, 307 p., 23 cm"</f>
        <v>ix, 307 p., 23 cm</v>
      </c>
      <c r="G914" s="1">
        <v>15</v>
      </c>
      <c r="H914">
        <v>2012</v>
      </c>
      <c r="I914" t="str">
        <f t="shared" si="34"/>
        <v>9: 300 - 399</v>
      </c>
      <c r="K914" t="str">
        <f>"WB - In"</f>
        <v>WB - In</v>
      </c>
      <c r="L914" s="1">
        <v>24</v>
      </c>
      <c r="M914" t="s">
        <v>862</v>
      </c>
      <c r="O914" t="s">
        <v>28</v>
      </c>
      <c r="P914">
        <v>5</v>
      </c>
      <c r="Q914">
        <v>0</v>
      </c>
      <c r="R914">
        <v>11</v>
      </c>
      <c r="S914" s="2">
        <v>42040</v>
      </c>
      <c r="T914" s="2">
        <v>42143</v>
      </c>
      <c r="U914" s="2">
        <v>43801</v>
      </c>
    </row>
    <row r="915" spans="1:22" x14ac:dyDescent="0.2">
      <c r="A915" t="str">
        <f>"332.024 DAG"</f>
        <v>332.024 DAG</v>
      </c>
      <c r="B915" t="str">
        <f>"Rich like them: my door-to-door search f"</f>
        <v>Rich like them: my door-to-door search f</v>
      </c>
      <c r="C915">
        <v>318538</v>
      </c>
      <c r="D915" t="str">
        <f>"D'Agostino, Ryan."</f>
        <v>D'Agostino, Ryan.</v>
      </c>
      <c r="F915" t="str">
        <f>"247 p."</f>
        <v>247 p.</v>
      </c>
      <c r="G915" s="1">
        <v>13</v>
      </c>
      <c r="H915">
        <v>2009</v>
      </c>
      <c r="I915" t="str">
        <f t="shared" si="34"/>
        <v>9: 300 - 399</v>
      </c>
      <c r="K915" t="str">
        <f>"WB - In"</f>
        <v>WB - In</v>
      </c>
      <c r="L915" s="1">
        <v>31</v>
      </c>
      <c r="M915" t="s">
        <v>863</v>
      </c>
      <c r="O915" t="s">
        <v>28</v>
      </c>
      <c r="P915">
        <v>4</v>
      </c>
      <c r="Q915">
        <v>1</v>
      </c>
      <c r="R915">
        <v>8</v>
      </c>
      <c r="S915" s="2">
        <v>41617</v>
      </c>
      <c r="T915" s="2">
        <v>41620</v>
      </c>
      <c r="U915" s="2">
        <v>43611</v>
      </c>
      <c r="V915" s="2">
        <v>42987</v>
      </c>
    </row>
    <row r="916" spans="1:22" x14ac:dyDescent="0.2">
      <c r="A916" t="str">
        <f>"332.024 DAV"</f>
        <v>332.024 DAV</v>
      </c>
      <c r="B916" t="str">
        <f>"What your financial advisor isn't tellin"</f>
        <v>What your financial advisor isn't tellin</v>
      </c>
      <c r="C916">
        <v>334735</v>
      </c>
      <c r="D916" t="str">
        <f>"Davidson, Liz"</f>
        <v>Davidson, Liz</v>
      </c>
      <c r="F916" t="str">
        <f>"xx, 235 pages, 24 cm"</f>
        <v>xx, 235 pages, 24 cm</v>
      </c>
      <c r="G916" s="1">
        <v>16</v>
      </c>
      <c r="H916">
        <v>2016</v>
      </c>
      <c r="I916" t="str">
        <f t="shared" si="34"/>
        <v>9: 300 - 399</v>
      </c>
      <c r="K916" t="str">
        <f>"LL - In"</f>
        <v>LL - In</v>
      </c>
      <c r="L916" s="1">
        <v>32</v>
      </c>
      <c r="M916" t="s">
        <v>864</v>
      </c>
      <c r="O916" t="s">
        <v>28</v>
      </c>
      <c r="P916">
        <v>5</v>
      </c>
      <c r="Q916">
        <v>0</v>
      </c>
      <c r="R916">
        <v>13</v>
      </c>
      <c r="S916" s="2">
        <v>42486</v>
      </c>
      <c r="T916" s="2">
        <v>42977</v>
      </c>
      <c r="U916" s="2">
        <v>43739</v>
      </c>
      <c r="V916" s="2">
        <v>42724</v>
      </c>
    </row>
    <row r="917" spans="1:22" x14ac:dyDescent="0.2">
      <c r="A917" t="str">
        <f>"332.024 DAV"</f>
        <v>332.024 DAV</v>
      </c>
      <c r="B917" t="str">
        <f>"What your financial advisor isn't tellin"</f>
        <v>What your financial advisor isn't tellin</v>
      </c>
      <c r="C917">
        <v>338575</v>
      </c>
      <c r="D917" t="str">
        <f>"Davidson, Liz"</f>
        <v>Davidson, Liz</v>
      </c>
      <c r="F917" t="str">
        <f>"xx, 235 pages, 24 cm"</f>
        <v>xx, 235 pages, 24 cm</v>
      </c>
      <c r="G917" s="1">
        <v>16</v>
      </c>
      <c r="H917">
        <v>2016</v>
      </c>
      <c r="I917" t="str">
        <f t="shared" si="34"/>
        <v>9: 300 - 399</v>
      </c>
      <c r="K917" t="str">
        <f>"WB - In"</f>
        <v>WB - In</v>
      </c>
      <c r="L917" s="1">
        <v>32</v>
      </c>
      <c r="M917" t="s">
        <v>864</v>
      </c>
      <c r="O917" t="s">
        <v>28</v>
      </c>
      <c r="P917">
        <v>6</v>
      </c>
      <c r="Q917">
        <v>1</v>
      </c>
      <c r="R917">
        <v>8</v>
      </c>
      <c r="S917" s="2">
        <v>42702</v>
      </c>
      <c r="T917" s="2">
        <v>42706</v>
      </c>
      <c r="U917" s="2">
        <v>43786</v>
      </c>
      <c r="V917" s="2">
        <v>43374</v>
      </c>
    </row>
    <row r="918" spans="1:22" x14ac:dyDescent="0.2">
      <c r="A918" t="str">
        <f>"332.024 DEN"</f>
        <v>332.024 DEN</v>
      </c>
      <c r="B918" t="str">
        <f>"How to get rich: one of the world's grea"</f>
        <v>How to get rich: one of the world's grea</v>
      </c>
      <c r="C918">
        <v>305635</v>
      </c>
      <c r="D918" t="str">
        <f>"Dennis, Felix,"</f>
        <v>Dennis, Felix,</v>
      </c>
      <c r="F918" t="str">
        <f>"xxviii, 291 p., 22 cm"</f>
        <v>xxviii, 291 p., 22 cm</v>
      </c>
      <c r="G918" s="1">
        <v>18</v>
      </c>
      <c r="H918">
        <v>2009</v>
      </c>
      <c r="I918" t="str">
        <f t="shared" si="34"/>
        <v>9: 300 - 399</v>
      </c>
      <c r="K918" t="str">
        <f>"WB - In"</f>
        <v>WB - In</v>
      </c>
      <c r="L918" s="1">
        <v>22</v>
      </c>
      <c r="M918" t="s">
        <v>865</v>
      </c>
      <c r="O918" t="s">
        <v>28</v>
      </c>
      <c r="P918">
        <v>4</v>
      </c>
      <c r="Q918">
        <v>0</v>
      </c>
      <c r="R918">
        <v>4</v>
      </c>
      <c r="S918" s="2">
        <v>43167</v>
      </c>
      <c r="T918" s="2">
        <v>43172</v>
      </c>
      <c r="U918" s="2">
        <v>43217</v>
      </c>
    </row>
    <row r="919" spans="1:22" x14ac:dyDescent="0.2">
      <c r="A919" t="str">
        <f>"332.024 DUN"</f>
        <v>332.024 DUN</v>
      </c>
      <c r="B919" t="str">
        <f>"Happy money: the science of smarter spen"</f>
        <v>Happy money: the science of smarter spen</v>
      </c>
      <c r="C919">
        <v>298537</v>
      </c>
      <c r="D919" t="str">
        <f>"Dunn, Elizabeth,"</f>
        <v>Dunn, Elizabeth,</v>
      </c>
      <c r="F919" t="str">
        <f>"xix, 197 p., 22 cm."</f>
        <v>xix, 197 p., 22 cm.</v>
      </c>
      <c r="G919" s="1">
        <v>18</v>
      </c>
      <c r="H919">
        <v>2013</v>
      </c>
      <c r="I919" t="str">
        <f t="shared" si="34"/>
        <v>9: 300 - 399</v>
      </c>
      <c r="K919" t="str">
        <f>"WB - In"</f>
        <v>WB - In</v>
      </c>
      <c r="L919" s="1">
        <v>20</v>
      </c>
      <c r="M919" t="s">
        <v>866</v>
      </c>
      <c r="O919" t="s">
        <v>28</v>
      </c>
      <c r="P919">
        <v>1</v>
      </c>
      <c r="Q919">
        <v>0</v>
      </c>
      <c r="R919">
        <v>1</v>
      </c>
      <c r="S919" s="2">
        <v>43181</v>
      </c>
      <c r="T919" s="2">
        <v>43203</v>
      </c>
      <c r="U919" s="2">
        <v>43755</v>
      </c>
    </row>
    <row r="920" spans="1:22" x14ac:dyDescent="0.2">
      <c r="A920" t="str">
        <f>"332.024 EDE"</f>
        <v>332.024 EDE</v>
      </c>
      <c r="B920" t="str">
        <f>"truth about retirement plans and IRAs"</f>
        <v>truth about retirement plans and IRAs</v>
      </c>
      <c r="C920">
        <v>325861</v>
      </c>
      <c r="D920" t="str">
        <f>"Edelman, Ric"</f>
        <v>Edelman, Ric</v>
      </c>
      <c r="F920" t="str">
        <f>"xxiv, 313 pages, 23 cm, illustrations"</f>
        <v>xxiv, 313 pages, 23 cm, illustrations</v>
      </c>
      <c r="G920" s="1">
        <v>15</v>
      </c>
      <c r="H920">
        <v>2014</v>
      </c>
      <c r="I920" t="str">
        <f t="shared" si="34"/>
        <v>9: 300 - 399</v>
      </c>
      <c r="K920" t="str">
        <f>"WB - In"</f>
        <v>WB - In</v>
      </c>
      <c r="L920" s="1">
        <v>20</v>
      </c>
      <c r="M920" t="s">
        <v>867</v>
      </c>
      <c r="O920" t="s">
        <v>28</v>
      </c>
      <c r="P920">
        <v>10</v>
      </c>
      <c r="Q920">
        <v>3</v>
      </c>
      <c r="R920">
        <v>22</v>
      </c>
      <c r="S920" s="2">
        <v>42040</v>
      </c>
      <c r="T920" s="2">
        <v>42143</v>
      </c>
      <c r="U920" s="2">
        <v>43786</v>
      </c>
      <c r="V920" s="2">
        <v>43553</v>
      </c>
    </row>
    <row r="921" spans="1:22" x14ac:dyDescent="0.2">
      <c r="A921" t="str">
        <f>"332.024 FAG"</f>
        <v>332.024 FAG</v>
      </c>
      <c r="B921" t="str">
        <f>"financial diet: a total beginner's guide"</f>
        <v>financial diet: a total beginner's guide</v>
      </c>
      <c r="C921">
        <v>345555</v>
      </c>
      <c r="D921" t="str">
        <f>"Fagan, Chelsea"</f>
        <v>Fagan, Chelsea</v>
      </c>
      <c r="F921" t="str">
        <f>"196 pages, 22 cm, illustrations"</f>
        <v>196 pages, 22 cm, illustrations</v>
      </c>
      <c r="G921" s="1">
        <v>18</v>
      </c>
      <c r="H921">
        <v>2018</v>
      </c>
      <c r="I921" t="str">
        <f t="shared" si="34"/>
        <v>9: 300 - 399</v>
      </c>
      <c r="K921" t="str">
        <f>"LL - In"</f>
        <v>LL - In</v>
      </c>
      <c r="L921" s="1">
        <v>24</v>
      </c>
      <c r="M921" t="s">
        <v>868</v>
      </c>
      <c r="O921" t="s">
        <v>28</v>
      </c>
      <c r="P921">
        <v>10</v>
      </c>
      <c r="Q921">
        <v>2</v>
      </c>
      <c r="R921">
        <v>12</v>
      </c>
      <c r="S921" s="2">
        <v>43117</v>
      </c>
      <c r="T921" s="2">
        <v>43299</v>
      </c>
      <c r="U921" s="2">
        <v>43841</v>
      </c>
      <c r="V921" s="2">
        <v>43178</v>
      </c>
    </row>
    <row r="922" spans="1:22" x14ac:dyDescent="0.2">
      <c r="A922" t="str">
        <f>"332.024 FU"</f>
        <v>332.024 FU</v>
      </c>
      <c r="B922" t="str">
        <f>"Financial literacy course guidebook: fin"</f>
        <v>Financial literacy course guidebook: fin</v>
      </c>
      <c r="C922">
        <v>273371</v>
      </c>
      <c r="D922" t="str">
        <f>"Fullenkamp, Connel."</f>
        <v>Fullenkamp, Connel.</v>
      </c>
      <c r="E922" t="str">
        <f>"Great Courses series"</f>
        <v>Great Courses series</v>
      </c>
      <c r="F922" t="str">
        <f>"184 p."</f>
        <v>184 p.</v>
      </c>
      <c r="G922" s="1">
        <v>14</v>
      </c>
      <c r="H922">
        <v>2013</v>
      </c>
      <c r="I922" t="str">
        <f t="shared" si="34"/>
        <v>9: 300 - 399</v>
      </c>
      <c r="K922" t="str">
        <f>"WB - In"</f>
        <v>WB - In</v>
      </c>
      <c r="L922" s="1">
        <v>10</v>
      </c>
      <c r="O922" t="s">
        <v>28</v>
      </c>
      <c r="P922">
        <v>5</v>
      </c>
      <c r="Q922">
        <v>1</v>
      </c>
      <c r="R922">
        <v>10</v>
      </c>
      <c r="S922" s="2">
        <v>41757</v>
      </c>
      <c r="T922" s="2">
        <v>41774</v>
      </c>
      <c r="U922" s="2">
        <v>43562</v>
      </c>
      <c r="V922" s="2">
        <v>43353</v>
      </c>
    </row>
    <row r="923" spans="1:22" x14ac:dyDescent="0.2">
      <c r="A923" t="str">
        <f>"332.024 GAI"</f>
        <v>332.024 GAI</v>
      </c>
      <c r="B923" t="str">
        <f>"Earn, grow, give: simple steps to grow y"</f>
        <v>Earn, grow, give: simple steps to grow y</v>
      </c>
      <c r="C923">
        <v>256869</v>
      </c>
      <c r="D923" t="str">
        <f>"Gaines, Camille"</f>
        <v>Gaines, Camille</v>
      </c>
      <c r="F923" t="str">
        <f>"210 p."</f>
        <v>210 p.</v>
      </c>
      <c r="G923" s="1">
        <v>12</v>
      </c>
      <c r="H923">
        <v>2011</v>
      </c>
      <c r="I923" t="str">
        <f t="shared" si="34"/>
        <v>9: 300 - 399</v>
      </c>
      <c r="K923" t="str">
        <f>"WB - In"</f>
        <v>WB - In</v>
      </c>
      <c r="L923" s="1">
        <v>20</v>
      </c>
      <c r="M923" t="s">
        <v>869</v>
      </c>
      <c r="O923" t="s">
        <v>28</v>
      </c>
      <c r="P923">
        <v>3</v>
      </c>
      <c r="Q923">
        <v>1</v>
      </c>
      <c r="R923">
        <v>11</v>
      </c>
      <c r="S923" s="2">
        <v>41039</v>
      </c>
      <c r="T923" s="2">
        <v>41053</v>
      </c>
      <c r="U923" s="2">
        <v>43702</v>
      </c>
      <c r="V923" s="2">
        <v>42898</v>
      </c>
    </row>
    <row r="924" spans="1:22" x14ac:dyDescent="0.2">
      <c r="A924" t="str">
        <f>"332.024 GEB"</f>
        <v>332.024 GEB</v>
      </c>
      <c r="B924" t="str">
        <f>"Essential retirement planning for solo a"</f>
        <v>Essential retirement planning for solo a</v>
      </c>
      <c r="C924">
        <v>349699</v>
      </c>
      <c r="D924" t="str">
        <f>"Geber, Sara Zeff"</f>
        <v>Geber, Sara Zeff</v>
      </c>
      <c r="F924" t="str">
        <f>"321 pages, 23 cm, illustrations"</f>
        <v>321 pages, 23 cm, illustrations</v>
      </c>
      <c r="G924" s="1">
        <v>18</v>
      </c>
      <c r="H924">
        <v>2018</v>
      </c>
      <c r="I924" t="str">
        <f t="shared" si="34"/>
        <v>9: 300 - 399</v>
      </c>
      <c r="K924" t="str">
        <f>"WB - In"</f>
        <v>WB - In</v>
      </c>
      <c r="L924" s="1">
        <v>25</v>
      </c>
      <c r="M924" t="s">
        <v>870</v>
      </c>
      <c r="O924" t="s">
        <v>28</v>
      </c>
      <c r="P924">
        <v>1</v>
      </c>
      <c r="Q924">
        <v>0</v>
      </c>
      <c r="R924">
        <v>1</v>
      </c>
      <c r="S924" s="2">
        <v>43347</v>
      </c>
      <c r="T924" s="2">
        <v>43357</v>
      </c>
      <c r="U924" s="2">
        <v>43838</v>
      </c>
    </row>
    <row r="925" spans="1:22" x14ac:dyDescent="0.2">
      <c r="A925" t="str">
        <f>"332.024 GHI"</f>
        <v>332.024 GHI</v>
      </c>
      <c r="B925" t="str">
        <f>"How to retire with enough money: and how"</f>
        <v>How to retire with enough money: and how</v>
      </c>
      <c r="C925">
        <v>337894</v>
      </c>
      <c r="D925" t="str">
        <f>"Ghilarducci, Teresa"</f>
        <v>Ghilarducci, Teresa</v>
      </c>
      <c r="F925" t="str">
        <f>"128 pages, 19 cm, illustrations"</f>
        <v>128 pages, 19 cm, illustrations</v>
      </c>
      <c r="G925" s="1">
        <v>16</v>
      </c>
      <c r="H925">
        <v>2015</v>
      </c>
      <c r="I925" t="str">
        <f t="shared" si="34"/>
        <v>9: 300 - 399</v>
      </c>
      <c r="K925" t="str">
        <f>"LL - In"</f>
        <v>LL - In</v>
      </c>
      <c r="L925" s="1">
        <v>18</v>
      </c>
      <c r="M925" t="s">
        <v>871</v>
      </c>
      <c r="O925" t="s">
        <v>28</v>
      </c>
      <c r="P925">
        <v>7</v>
      </c>
      <c r="Q925">
        <v>0</v>
      </c>
      <c r="R925">
        <v>11</v>
      </c>
      <c r="S925" s="2">
        <v>42661</v>
      </c>
      <c r="T925" s="2">
        <v>42684</v>
      </c>
      <c r="U925" s="2">
        <v>43858</v>
      </c>
    </row>
    <row r="926" spans="1:22" x14ac:dyDescent="0.2">
      <c r="A926" t="str">
        <f>"332.024 GOD"</f>
        <v>332.024 GOD</v>
      </c>
      <c r="B926" t="str">
        <f>"Money doesn't grow on trees: a parent's "</f>
        <v xml:space="preserve">Money doesn't grow on trees: a parent's </v>
      </c>
      <c r="C926">
        <v>322959</v>
      </c>
      <c r="D926" t="str">
        <f>"Godfrey, Neale S."</f>
        <v>Godfrey, Neale S.</v>
      </c>
      <c r="F926" t="str">
        <f>"xiv, 176 p., 22 cm, ill."</f>
        <v>xiv, 176 p., 22 cm, ill.</v>
      </c>
      <c r="G926" s="1">
        <v>14</v>
      </c>
      <c r="H926">
        <v>2006</v>
      </c>
      <c r="I926" t="str">
        <f t="shared" si="34"/>
        <v>9: 300 - 399</v>
      </c>
      <c r="K926" t="str">
        <f>"LL - In"</f>
        <v>LL - In</v>
      </c>
      <c r="L926" s="1">
        <v>20</v>
      </c>
      <c r="M926" t="s">
        <v>872</v>
      </c>
      <c r="O926" t="s">
        <v>28</v>
      </c>
      <c r="P926">
        <v>0</v>
      </c>
      <c r="Q926">
        <v>1</v>
      </c>
      <c r="R926">
        <v>12</v>
      </c>
      <c r="S926" s="2">
        <v>41855</v>
      </c>
      <c r="T926" s="2">
        <v>41863</v>
      </c>
      <c r="U926" s="2">
        <v>42647</v>
      </c>
      <c r="V926" s="2">
        <v>42905</v>
      </c>
    </row>
    <row r="927" spans="1:22" x14ac:dyDescent="0.2">
      <c r="A927" t="str">
        <f>"332.024 GRA"</f>
        <v>332.024 GRA</v>
      </c>
      <c r="B927" t="str">
        <f>"100-year life: living and working in an "</f>
        <v xml:space="preserve">100-year life: living and working in an </v>
      </c>
      <c r="C927">
        <v>289088</v>
      </c>
      <c r="D927" t="str">
        <f>"Gratton, Lynda"</f>
        <v>Gratton, Lynda</v>
      </c>
      <c r="F927" t="str">
        <f>"264 pages, 25 cm, illustrations"</f>
        <v>264 pages, 25 cm, illustrations</v>
      </c>
      <c r="G927" s="1">
        <v>16</v>
      </c>
      <c r="H927">
        <v>2016</v>
      </c>
      <c r="I927" t="str">
        <f t="shared" si="34"/>
        <v>9: 300 - 399</v>
      </c>
      <c r="K927" t="str">
        <f>"WB - In"</f>
        <v>WB - In</v>
      </c>
      <c r="L927" s="1">
        <v>33</v>
      </c>
      <c r="M927" t="s">
        <v>873</v>
      </c>
      <c r="O927" t="s">
        <v>28</v>
      </c>
      <c r="P927">
        <v>3</v>
      </c>
      <c r="Q927">
        <v>0</v>
      </c>
      <c r="R927">
        <v>13</v>
      </c>
      <c r="S927" s="2">
        <v>42549</v>
      </c>
      <c r="T927" s="2">
        <v>42781</v>
      </c>
      <c r="U927" s="2">
        <v>43713</v>
      </c>
      <c r="V927" s="2">
        <v>42662</v>
      </c>
    </row>
    <row r="928" spans="1:22" x14ac:dyDescent="0.2">
      <c r="A928" t="str">
        <f>"332.024 GRA"</f>
        <v>332.024 GRA</v>
      </c>
      <c r="B928" t="str">
        <f>"DIY financial advisor: a simple solution"</f>
        <v>DIY financial advisor: a simple solution</v>
      </c>
      <c r="C928">
        <v>334341</v>
      </c>
      <c r="D928" t="str">
        <f>"Gray, Wesley R."</f>
        <v>Gray, Wesley R.</v>
      </c>
      <c r="E928" t="str">
        <f>"Wiley Finance series"</f>
        <v>Wiley Finance series</v>
      </c>
      <c r="F928" t="str">
        <f>"xiii, 207 pages, 24 cm, illustrations"</f>
        <v>xiii, 207 pages, 24 cm, illustrations</v>
      </c>
      <c r="G928" s="1">
        <v>16</v>
      </c>
      <c r="H928">
        <v>2015</v>
      </c>
      <c r="I928" t="str">
        <f t="shared" si="34"/>
        <v>9: 300 - 399</v>
      </c>
      <c r="K928" t="str">
        <f>"WB - In"</f>
        <v>WB - In</v>
      </c>
      <c r="L928" s="1">
        <v>40</v>
      </c>
      <c r="M928" t="s">
        <v>874</v>
      </c>
      <c r="O928" t="s">
        <v>28</v>
      </c>
      <c r="P928">
        <v>7</v>
      </c>
      <c r="Q928">
        <v>1</v>
      </c>
      <c r="R928">
        <v>15</v>
      </c>
      <c r="S928" s="2">
        <v>42465</v>
      </c>
      <c r="T928" s="2">
        <v>42474</v>
      </c>
      <c r="U928" s="2">
        <v>43838</v>
      </c>
      <c r="V928" s="2">
        <v>43430</v>
      </c>
    </row>
    <row r="929" spans="1:22" x14ac:dyDescent="0.2">
      <c r="A929" t="str">
        <f>"332.024 HAL"</f>
        <v>332.024 HAL</v>
      </c>
      <c r="B929" t="str">
        <f>"Millionaire teacher: the nine rules of w"</f>
        <v>Millionaire teacher: the nine rules of w</v>
      </c>
      <c r="C929">
        <v>253833</v>
      </c>
      <c r="D929" t="str">
        <f>"Hallam, Andrew."</f>
        <v>Hallam, Andrew.</v>
      </c>
      <c r="F929" t="str">
        <f>"184 p., 23 cm., ill. (mostly col.)"</f>
        <v>184 p., 23 cm., ill. (mostly col.)</v>
      </c>
      <c r="G929" s="1">
        <v>11</v>
      </c>
      <c r="H929">
        <v>2011</v>
      </c>
      <c r="I929" t="str">
        <f t="shared" si="34"/>
        <v>9: 300 - 399</v>
      </c>
      <c r="K929" t="str">
        <f>"LL - In"</f>
        <v>LL - In</v>
      </c>
      <c r="L929" s="1">
        <v>22</v>
      </c>
      <c r="M929" t="s">
        <v>875</v>
      </c>
      <c r="O929" t="s">
        <v>28</v>
      </c>
      <c r="P929">
        <v>7</v>
      </c>
      <c r="Q929">
        <v>1</v>
      </c>
      <c r="R929">
        <v>38</v>
      </c>
      <c r="S929" s="2">
        <v>40907</v>
      </c>
      <c r="T929" s="2">
        <v>41158</v>
      </c>
      <c r="U929" s="2">
        <v>43547</v>
      </c>
      <c r="V929" s="2">
        <v>43642</v>
      </c>
    </row>
    <row r="930" spans="1:22" x14ac:dyDescent="0.2">
      <c r="A930" t="str">
        <f>"332.024 HAR"</f>
        <v>332.024 HAR</v>
      </c>
      <c r="B930" t="str">
        <f>"debt escape plan: how to free yourself f"</f>
        <v>debt escape plan: how to free yourself f</v>
      </c>
      <c r="C930">
        <v>349018</v>
      </c>
      <c r="D930" t="str">
        <f>"Harzog, Beverly Blair"</f>
        <v>Harzog, Beverly Blair</v>
      </c>
      <c r="F930" t="str">
        <f>"281 pages, 21 cm"</f>
        <v>281 pages, 21 cm</v>
      </c>
      <c r="G930" s="1">
        <v>18</v>
      </c>
      <c r="H930">
        <v>2015</v>
      </c>
      <c r="I930" t="str">
        <f t="shared" si="34"/>
        <v>9: 300 - 399</v>
      </c>
      <c r="K930" t="str">
        <f>"LL - In"</f>
        <v>LL - In</v>
      </c>
      <c r="L930" s="1">
        <v>16</v>
      </c>
      <c r="M930" t="s">
        <v>876</v>
      </c>
      <c r="O930" t="s">
        <v>28</v>
      </c>
      <c r="P930">
        <v>4</v>
      </c>
      <c r="Q930">
        <v>0</v>
      </c>
      <c r="R930">
        <v>4</v>
      </c>
      <c r="S930" s="2">
        <v>43311</v>
      </c>
      <c r="T930" s="2">
        <v>43322</v>
      </c>
      <c r="U930" s="2">
        <v>43662</v>
      </c>
    </row>
    <row r="931" spans="1:22" x14ac:dyDescent="0.2">
      <c r="A931" t="str">
        <f>"332.024 HOG"</f>
        <v>332.024 HOG</v>
      </c>
      <c r="B931" t="str">
        <f>"Everyday millionaires: how ordinary peop"</f>
        <v>Everyday millionaires: how ordinary peop</v>
      </c>
      <c r="C931">
        <v>352251</v>
      </c>
      <c r="D931" t="str">
        <f>"Hogan, Chris."</f>
        <v>Hogan, Chris.</v>
      </c>
      <c r="F931" t="str">
        <f>"xxi, 250 pages, 24 cm"</f>
        <v>xxi, 250 pages, 24 cm</v>
      </c>
      <c r="G931" s="1">
        <v>19</v>
      </c>
      <c r="H931">
        <v>2019</v>
      </c>
      <c r="I931" t="str">
        <f t="shared" si="34"/>
        <v>9: 300 - 399</v>
      </c>
      <c r="K931" t="str">
        <f>"LL - In"</f>
        <v>LL - In</v>
      </c>
      <c r="L931" s="1">
        <v>30</v>
      </c>
      <c r="M931" t="s">
        <v>877</v>
      </c>
      <c r="O931" t="s">
        <v>28</v>
      </c>
      <c r="P931">
        <v>11</v>
      </c>
      <c r="Q931">
        <v>1</v>
      </c>
      <c r="R931">
        <v>12</v>
      </c>
      <c r="S931" s="2">
        <v>43479</v>
      </c>
      <c r="T931" s="2">
        <v>43684</v>
      </c>
      <c r="U931" s="2">
        <v>43773</v>
      </c>
      <c r="V931" s="2">
        <v>43523</v>
      </c>
    </row>
    <row r="932" spans="1:22" x14ac:dyDescent="0.2">
      <c r="A932" t="str">
        <f>"332.024 HOG"</f>
        <v>332.024 HOG</v>
      </c>
      <c r="B932" t="str">
        <f>"Retire inspired: it's not an age, it's a"</f>
        <v>Retire inspired: it's not an age, it's a</v>
      </c>
      <c r="C932">
        <v>333061</v>
      </c>
      <c r="D932" t="str">
        <f>"Hogan, Chris."</f>
        <v>Hogan, Chris.</v>
      </c>
      <c r="F932" t="str">
        <f>"xxviii, 260 pages, 24 cm"</f>
        <v>xxviii, 260 pages, 24 cm</v>
      </c>
      <c r="G932" s="1">
        <v>16</v>
      </c>
      <c r="H932">
        <v>2016</v>
      </c>
      <c r="I932" t="str">
        <f t="shared" si="34"/>
        <v>9: 300 - 399</v>
      </c>
      <c r="K932" t="str">
        <f>"WB - In"</f>
        <v>WB - In</v>
      </c>
      <c r="L932" s="1">
        <v>30</v>
      </c>
      <c r="M932" t="s">
        <v>878</v>
      </c>
      <c r="O932" t="s">
        <v>28</v>
      </c>
      <c r="P932">
        <v>5</v>
      </c>
      <c r="Q932">
        <v>0</v>
      </c>
      <c r="R932">
        <v>13</v>
      </c>
      <c r="S932" s="2">
        <v>42411</v>
      </c>
      <c r="T932" s="2">
        <v>42732</v>
      </c>
      <c r="U932" s="2">
        <v>43680</v>
      </c>
      <c r="V932" s="2">
        <v>42748</v>
      </c>
    </row>
    <row r="933" spans="1:22" x14ac:dyDescent="0.2">
      <c r="A933" t="str">
        <f>"332.024 HOW"</f>
        <v>332.024 HOW</v>
      </c>
      <c r="B933" t="str">
        <f>"Clark Howard's living large for the long"</f>
        <v>Clark Howard's living large for the long</v>
      </c>
      <c r="C933">
        <v>316165</v>
      </c>
      <c r="D933" t="str">
        <f>"Howard, Clark"</f>
        <v>Howard, Clark</v>
      </c>
      <c r="F933" t="str">
        <f>"321 pages, 24 cm"</f>
        <v>321 pages, 24 cm</v>
      </c>
      <c r="G933" s="1">
        <v>13</v>
      </c>
      <c r="H933">
        <v>2013</v>
      </c>
      <c r="I933" t="str">
        <f t="shared" si="34"/>
        <v>9: 300 - 399</v>
      </c>
      <c r="K933" t="str">
        <f>"LL - In"</f>
        <v>LL - In</v>
      </c>
      <c r="L933" s="1">
        <v>25</v>
      </c>
      <c r="M933" t="s">
        <v>879</v>
      </c>
      <c r="O933" t="s">
        <v>28</v>
      </c>
      <c r="P933">
        <v>1</v>
      </c>
      <c r="Q933">
        <v>0</v>
      </c>
      <c r="R933">
        <v>15</v>
      </c>
      <c r="S933" s="2">
        <v>41505</v>
      </c>
      <c r="T933" s="2">
        <v>41648</v>
      </c>
      <c r="U933" s="2">
        <v>42768</v>
      </c>
      <c r="V933" s="2">
        <v>42674</v>
      </c>
    </row>
    <row r="934" spans="1:22" x14ac:dyDescent="0.2">
      <c r="A934" t="str">
        <f>"332.024 HOW"</f>
        <v>332.024 HOW</v>
      </c>
      <c r="B934" t="str">
        <f>"Clark Howard's living large in lean time"</f>
        <v>Clark Howard's living large in lean time</v>
      </c>
      <c r="C934">
        <v>301949</v>
      </c>
      <c r="D934" t="str">
        <f>"Howard, Clark"</f>
        <v>Howard, Clark</v>
      </c>
      <c r="F934" t="str">
        <f>"258 p."</f>
        <v>258 p.</v>
      </c>
      <c r="G934" s="1">
        <v>11</v>
      </c>
      <c r="H934">
        <v>2011</v>
      </c>
      <c r="I934" t="str">
        <f t="shared" si="34"/>
        <v>9: 300 - 399</v>
      </c>
      <c r="K934" t="str">
        <f>"WB - In"</f>
        <v>WB - In</v>
      </c>
      <c r="L934" s="1">
        <v>23</v>
      </c>
      <c r="M934" t="s">
        <v>880</v>
      </c>
      <c r="O934" t="s">
        <v>28</v>
      </c>
      <c r="P934">
        <v>0</v>
      </c>
      <c r="Q934">
        <v>1</v>
      </c>
      <c r="R934">
        <v>36</v>
      </c>
      <c r="S934" s="2">
        <v>40757</v>
      </c>
      <c r="T934" s="2">
        <v>41283</v>
      </c>
      <c r="U934" s="2">
        <v>42576</v>
      </c>
      <c r="V934" s="2">
        <v>43073</v>
      </c>
    </row>
    <row r="935" spans="1:22" x14ac:dyDescent="0.2">
      <c r="A935" t="str">
        <f>"332.024 HUN"</f>
        <v>332.024 HUN</v>
      </c>
      <c r="B935" t="str">
        <f>"7 money rules for life: how to take cont"</f>
        <v>7 money rules for life: how to take cont</v>
      </c>
      <c r="C935">
        <v>304842</v>
      </c>
      <c r="D935" t="str">
        <f>"Hunt, Mary,"</f>
        <v>Hunt, Mary,</v>
      </c>
      <c r="F935" t="str">
        <f>"200 p"</f>
        <v>200 p</v>
      </c>
      <c r="G935" s="1">
        <v>11</v>
      </c>
      <c r="H935">
        <v>2012</v>
      </c>
      <c r="I935" t="str">
        <f t="shared" si="34"/>
        <v>9: 300 - 399</v>
      </c>
      <c r="K935" t="str">
        <f>"WB - In"</f>
        <v>WB - In</v>
      </c>
      <c r="L935" s="1">
        <v>23</v>
      </c>
      <c r="M935" t="s">
        <v>881</v>
      </c>
      <c r="O935" t="s">
        <v>28</v>
      </c>
      <c r="P935">
        <v>3</v>
      </c>
      <c r="Q935">
        <v>2</v>
      </c>
      <c r="R935">
        <v>17</v>
      </c>
      <c r="S935" s="2">
        <v>40906</v>
      </c>
      <c r="T935" s="2">
        <v>42020</v>
      </c>
      <c r="U935" s="2">
        <v>43702</v>
      </c>
      <c r="V935" s="2">
        <v>43430</v>
      </c>
    </row>
    <row r="936" spans="1:22" x14ac:dyDescent="0.2">
      <c r="A936" t="str">
        <f>"332.024 JAC"</f>
        <v>332.024 JAC</v>
      </c>
      <c r="B936" t="str">
        <f>"Beautiful money: the 4-week total wealth"</f>
        <v>Beautiful money: the 4-week total wealth</v>
      </c>
      <c r="C936">
        <v>339078</v>
      </c>
      <c r="D936" t="str">
        <f>"Jacobs, Leanne"</f>
        <v>Jacobs, Leanne</v>
      </c>
      <c r="F936" t="str">
        <f>"266 pages, 21 cm, illustrations"</f>
        <v>266 pages, 21 cm, illustrations</v>
      </c>
      <c r="G936" s="1">
        <v>17</v>
      </c>
      <c r="H936">
        <v>2017</v>
      </c>
      <c r="I936" t="str">
        <f t="shared" si="34"/>
        <v>9: 300 - 399</v>
      </c>
      <c r="K936" t="str">
        <f>"WB - In"</f>
        <v>WB - In</v>
      </c>
      <c r="L936" s="1">
        <v>21</v>
      </c>
      <c r="M936" t="s">
        <v>882</v>
      </c>
      <c r="O936" t="s">
        <v>28</v>
      </c>
      <c r="P936">
        <v>6</v>
      </c>
      <c r="Q936">
        <v>1</v>
      </c>
      <c r="R936">
        <v>7</v>
      </c>
      <c r="S936" s="2">
        <v>42754</v>
      </c>
      <c r="T936" s="2">
        <v>42907</v>
      </c>
      <c r="U936" s="2">
        <v>42899</v>
      </c>
      <c r="V936" s="2">
        <v>43704</v>
      </c>
    </row>
    <row r="937" spans="1:22" x14ac:dyDescent="0.2">
      <c r="A937" t="str">
        <f>"332.024 JAS"</f>
        <v>332.024 JAS</v>
      </c>
      <c r="B937" t="str">
        <f>"AARP Retirement Survival Guide: how to m"</f>
        <v>AARP Retirement Survival Guide: how to m</v>
      </c>
      <c r="C937">
        <v>138237</v>
      </c>
      <c r="D937" t="str">
        <f>"Jason, Julie."</f>
        <v>Jason, Julie.</v>
      </c>
      <c r="F937" t="str">
        <f>"340 p."</f>
        <v>340 p.</v>
      </c>
      <c r="G937" s="1">
        <v>9</v>
      </c>
      <c r="H937">
        <v>2009</v>
      </c>
      <c r="I937" t="str">
        <f t="shared" si="34"/>
        <v>9: 300 - 399</v>
      </c>
      <c r="K937" t="str">
        <f>"WB - In"</f>
        <v>WB - In</v>
      </c>
      <c r="L937" s="1">
        <v>20</v>
      </c>
      <c r="M937" t="s">
        <v>883</v>
      </c>
      <c r="O937" t="s">
        <v>28</v>
      </c>
      <c r="P937">
        <v>1</v>
      </c>
      <c r="Q937">
        <v>0</v>
      </c>
      <c r="R937">
        <v>22</v>
      </c>
      <c r="S937" s="2">
        <v>40032</v>
      </c>
      <c r="T937" s="2">
        <v>41053</v>
      </c>
      <c r="U937" s="2">
        <v>43452</v>
      </c>
      <c r="V937" s="2">
        <v>42305</v>
      </c>
    </row>
    <row r="938" spans="1:22" x14ac:dyDescent="0.2">
      <c r="A938" t="str">
        <f>"332.024 JON"</f>
        <v>332.024 JON</v>
      </c>
      <c r="B938" t="str">
        <f>"spender's guide to debt-free living: how"</f>
        <v>spender's guide to debt-free living: how</v>
      </c>
      <c r="C938">
        <v>335013</v>
      </c>
      <c r="D938" t="str">
        <f>"Jones, Anna Newell"</f>
        <v>Jones, Anna Newell</v>
      </c>
      <c r="F938" t="str">
        <f>"229 pages, 24 cm, illustrations"</f>
        <v>229 pages, 24 cm, illustrations</v>
      </c>
      <c r="G938" s="1">
        <v>16</v>
      </c>
      <c r="H938">
        <v>2016</v>
      </c>
      <c r="I938" t="str">
        <f t="shared" si="34"/>
        <v>9: 300 - 399</v>
      </c>
      <c r="K938" t="str">
        <f>"WB - Out"</f>
        <v>WB - Out</v>
      </c>
      <c r="L938" s="1">
        <v>22</v>
      </c>
      <c r="M938" t="s">
        <v>884</v>
      </c>
      <c r="O938" t="s">
        <v>28</v>
      </c>
      <c r="P938">
        <v>3</v>
      </c>
      <c r="Q938">
        <v>0</v>
      </c>
      <c r="R938">
        <v>9</v>
      </c>
      <c r="S938" s="2">
        <v>42500</v>
      </c>
      <c r="T938" s="2">
        <v>42654</v>
      </c>
      <c r="U938" s="2">
        <v>43837</v>
      </c>
    </row>
    <row r="939" spans="1:22" x14ac:dyDescent="0.2">
      <c r="A939" t="str">
        <f>"332.024 KAB"</f>
        <v>332.024 KAB</v>
      </c>
      <c r="B939" t="str">
        <f>"missing semester"</f>
        <v>missing semester</v>
      </c>
      <c r="C939">
        <v>269355</v>
      </c>
      <c r="D939" t="str">
        <f>"Kabala, Matt,"</f>
        <v>Kabala, Matt,</v>
      </c>
      <c r="F939" t="str">
        <f>"viii, 65 p., 23 cm, ill."</f>
        <v>viii, 65 p., 23 cm, ill.</v>
      </c>
      <c r="G939" s="1">
        <v>13</v>
      </c>
      <c r="H939">
        <v>2012</v>
      </c>
      <c r="I939" t="str">
        <f t="shared" si="34"/>
        <v>9: 300 - 399</v>
      </c>
      <c r="K939" t="str">
        <f>"WB - In"</f>
        <v>WB - In</v>
      </c>
      <c r="L939" s="1">
        <v>22</v>
      </c>
      <c r="M939" t="s">
        <v>885</v>
      </c>
      <c r="O939" t="s">
        <v>28</v>
      </c>
      <c r="P939">
        <v>2</v>
      </c>
      <c r="Q939">
        <v>2</v>
      </c>
      <c r="R939">
        <v>11</v>
      </c>
      <c r="S939" s="2">
        <v>41571</v>
      </c>
      <c r="T939" s="2">
        <v>41583</v>
      </c>
      <c r="U939" s="2">
        <v>43702</v>
      </c>
      <c r="V939" s="2">
        <v>43200</v>
      </c>
    </row>
    <row r="940" spans="1:22" x14ac:dyDescent="0.2">
      <c r="A940" t="str">
        <f t="shared" ref="A940:A945" si="35">"332.024 KIY"</f>
        <v>332.024 KIY</v>
      </c>
      <c r="B940" t="str">
        <f>"Rich dad's guide to investing: what the "</f>
        <v xml:space="preserve">Rich dad's guide to investing: what the </v>
      </c>
      <c r="C940">
        <v>325166</v>
      </c>
      <c r="D940" t="str">
        <f t="shared" ref="D940:D945" si="36">"Kiyosaki, Robert T."</f>
        <v>Kiyosaki, Robert T.</v>
      </c>
      <c r="E940" t="str">
        <f>"Rich Dad's Advisors series"</f>
        <v>Rich Dad's Advisors series</v>
      </c>
      <c r="F940" t="str">
        <f>"x, 406 p., 23 cm., ill."</f>
        <v>x, 406 p., 23 cm., ill.</v>
      </c>
      <c r="G940" s="1">
        <v>14</v>
      </c>
      <c r="H940">
        <v>2012</v>
      </c>
      <c r="I940" t="str">
        <f t="shared" si="34"/>
        <v>9: 300 - 399</v>
      </c>
      <c r="K940" t="str">
        <f>"WB - In"</f>
        <v>WB - In</v>
      </c>
      <c r="L940" s="1">
        <v>25</v>
      </c>
      <c r="M940" t="s">
        <v>886</v>
      </c>
      <c r="O940" t="s">
        <v>28</v>
      </c>
      <c r="P940">
        <v>14</v>
      </c>
      <c r="Q940">
        <v>2</v>
      </c>
      <c r="R940">
        <v>24</v>
      </c>
      <c r="S940" s="2">
        <v>41995</v>
      </c>
      <c r="T940" s="2">
        <v>42003</v>
      </c>
      <c r="U940" s="2">
        <v>43744</v>
      </c>
      <c r="V940" s="2">
        <v>43177</v>
      </c>
    </row>
    <row r="941" spans="1:22" x14ac:dyDescent="0.2">
      <c r="A941" t="str">
        <f t="shared" si="35"/>
        <v>332.024 KIY</v>
      </c>
      <c r="B941" t="str">
        <f>"Rich dad, poor dad: what the rich teach "</f>
        <v xml:space="preserve">Rich dad, poor dad: what the rich teach </v>
      </c>
      <c r="C941">
        <v>345502</v>
      </c>
      <c r="D941" t="str">
        <f t="shared" si="36"/>
        <v>Kiyosaki, Robert T.</v>
      </c>
      <c r="F941" t="str">
        <f>"xi, 294, xxvii, 7 pages, 23 cm, illustrations"</f>
        <v>xi, 294, xxvii, 7 pages, 23 cm, illustrations</v>
      </c>
      <c r="G941" s="1">
        <v>18</v>
      </c>
      <c r="H941">
        <v>2017</v>
      </c>
      <c r="I941" t="str">
        <f t="shared" si="34"/>
        <v>9: 300 - 399</v>
      </c>
      <c r="K941" t="str">
        <f>"LL - Out"</f>
        <v>LL - Out</v>
      </c>
      <c r="L941" s="1">
        <v>23</v>
      </c>
      <c r="M941" t="s">
        <v>887</v>
      </c>
      <c r="O941" t="s">
        <v>28</v>
      </c>
      <c r="P941">
        <v>15</v>
      </c>
      <c r="Q941">
        <v>0</v>
      </c>
      <c r="R941">
        <v>15</v>
      </c>
      <c r="S941" s="2">
        <v>43108</v>
      </c>
      <c r="T941" s="2">
        <v>43119</v>
      </c>
      <c r="U941" s="2">
        <v>43845</v>
      </c>
    </row>
    <row r="942" spans="1:22" x14ac:dyDescent="0.2">
      <c r="A942" t="str">
        <f t="shared" si="35"/>
        <v>332.024 KIY</v>
      </c>
      <c r="B942" t="str">
        <f>"Second chance: for your money, your life"</f>
        <v>Second chance: for your money, your life</v>
      </c>
      <c r="C942">
        <v>329517</v>
      </c>
      <c r="D942" t="str">
        <f t="shared" si="36"/>
        <v>Kiyosaki, Robert T.</v>
      </c>
      <c r="F942" t="str">
        <f>"xiii, 352 p., 23 cm, ill."</f>
        <v>xiii, 352 p., 23 cm, ill.</v>
      </c>
      <c r="G942" s="1">
        <v>15</v>
      </c>
      <c r="H942">
        <v>2015</v>
      </c>
      <c r="I942" t="str">
        <f t="shared" si="34"/>
        <v>9: 300 - 399</v>
      </c>
      <c r="K942" t="str">
        <f>"WB - Problem"</f>
        <v>WB - Problem</v>
      </c>
      <c r="L942" s="1">
        <v>23</v>
      </c>
      <c r="M942" t="s">
        <v>888</v>
      </c>
      <c r="O942" t="s">
        <v>28</v>
      </c>
      <c r="P942">
        <v>4</v>
      </c>
      <c r="Q942">
        <v>1</v>
      </c>
      <c r="R942">
        <v>15</v>
      </c>
      <c r="S942" s="2">
        <v>42241</v>
      </c>
      <c r="T942" s="2">
        <v>42429</v>
      </c>
      <c r="U942" s="2">
        <v>43719</v>
      </c>
      <c r="V942" s="2">
        <v>43667</v>
      </c>
    </row>
    <row r="943" spans="1:22" x14ac:dyDescent="0.2">
      <c r="A943" t="str">
        <f t="shared" si="35"/>
        <v>332.024 KIY</v>
      </c>
      <c r="B943" t="str">
        <f>"Unfair advantage: the power of financial"</f>
        <v>Unfair advantage: the power of financial</v>
      </c>
      <c r="C943">
        <v>149606</v>
      </c>
      <c r="D943" t="str">
        <f t="shared" si="36"/>
        <v>Kiyosaki, Robert T.</v>
      </c>
      <c r="E943" t="str">
        <f>"Rich Dad's Advisors series"</f>
        <v>Rich Dad's Advisors series</v>
      </c>
      <c r="F943" t="str">
        <f>"277 p., 23 cm., ill."</f>
        <v>277 p., 23 cm., ill.</v>
      </c>
      <c r="G943" s="1">
        <v>11</v>
      </c>
      <c r="H943">
        <v>2011</v>
      </c>
      <c r="I943" t="str">
        <f t="shared" si="34"/>
        <v>9: 300 - 399</v>
      </c>
      <c r="K943" t="str">
        <f>"WB - In"</f>
        <v>WB - In</v>
      </c>
      <c r="L943" s="1">
        <v>22</v>
      </c>
      <c r="M943" t="s">
        <v>889</v>
      </c>
      <c r="O943" t="s">
        <v>28</v>
      </c>
      <c r="P943">
        <v>8</v>
      </c>
      <c r="Q943">
        <v>3</v>
      </c>
      <c r="R943">
        <v>36</v>
      </c>
      <c r="S943" s="2">
        <v>40648</v>
      </c>
      <c r="T943" s="2">
        <v>41053</v>
      </c>
      <c r="U943" s="2">
        <v>43511</v>
      </c>
      <c r="V943" s="2">
        <v>43526</v>
      </c>
    </row>
    <row r="944" spans="1:22" x14ac:dyDescent="0.2">
      <c r="A944" t="str">
        <f t="shared" si="35"/>
        <v>332.024 KIY</v>
      </c>
      <c r="B944" t="str">
        <f>"Why ""A"" students work for ""C"" students: "</f>
        <v xml:space="preserve">Why "A" students work for "C" students: </v>
      </c>
      <c r="C944">
        <v>345473</v>
      </c>
      <c r="D944" t="str">
        <f t="shared" si="36"/>
        <v>Kiyosaki, Robert T.</v>
      </c>
      <c r="F944" t="str">
        <f>"453 p., 23 cm, ill."</f>
        <v>453 p., 23 cm, ill.</v>
      </c>
      <c r="G944" s="1">
        <v>18</v>
      </c>
      <c r="H944">
        <v>2013</v>
      </c>
      <c r="I944" t="str">
        <f t="shared" si="34"/>
        <v>9: 300 - 399</v>
      </c>
      <c r="K944" t="str">
        <f>"WB - Out"</f>
        <v>WB - Out</v>
      </c>
      <c r="L944" s="1">
        <v>22</v>
      </c>
      <c r="M944" t="s">
        <v>890</v>
      </c>
      <c r="O944" t="s">
        <v>28</v>
      </c>
      <c r="P944">
        <v>4</v>
      </c>
      <c r="Q944">
        <v>1</v>
      </c>
      <c r="R944">
        <v>5</v>
      </c>
      <c r="S944" s="2">
        <v>43103</v>
      </c>
      <c r="T944" s="2">
        <v>43186</v>
      </c>
      <c r="U944" s="2">
        <v>43841</v>
      </c>
      <c r="V944" s="2">
        <v>43667</v>
      </c>
    </row>
    <row r="945" spans="1:22" x14ac:dyDescent="0.2">
      <c r="A945" t="str">
        <f t="shared" si="35"/>
        <v>332.024 KIY</v>
      </c>
      <c r="B945" t="str">
        <f>"Why the rich are getting richer: what is"</f>
        <v>Why the rich are getting richer: what is</v>
      </c>
      <c r="C945">
        <v>345475</v>
      </c>
      <c r="D945" t="str">
        <f t="shared" si="36"/>
        <v>Kiyosaki, Robert T.</v>
      </c>
      <c r="F945" t="str">
        <f>"vii, 292 pages, 23 cm, illustrations"</f>
        <v>vii, 292 pages, 23 cm, illustrations</v>
      </c>
      <c r="G945" s="1">
        <v>18</v>
      </c>
      <c r="H945">
        <v>2017</v>
      </c>
      <c r="I945" t="str">
        <f t="shared" si="34"/>
        <v>9: 300 - 399</v>
      </c>
      <c r="K945" t="str">
        <f>"LL - In"</f>
        <v>LL - In</v>
      </c>
      <c r="L945" s="1">
        <v>23</v>
      </c>
      <c r="M945" t="s">
        <v>891</v>
      </c>
      <c r="O945" t="s">
        <v>28</v>
      </c>
      <c r="P945">
        <v>7</v>
      </c>
      <c r="Q945">
        <v>1</v>
      </c>
      <c r="R945">
        <v>8</v>
      </c>
      <c r="S945" s="2">
        <v>43103</v>
      </c>
      <c r="T945" s="2">
        <v>43137</v>
      </c>
      <c r="U945" s="2">
        <v>43812</v>
      </c>
      <c r="V945" s="2">
        <v>43526</v>
      </c>
    </row>
    <row r="946" spans="1:22" x14ac:dyDescent="0.2">
      <c r="A946" t="str">
        <f>"332.024 KOB"</f>
        <v>332.024 KOB</v>
      </c>
      <c r="B946" t="str">
        <f>"Make your kid a money genius (even if yo"</f>
        <v>Make your kid a money genius (even if yo</v>
      </c>
      <c r="C946">
        <v>339878</v>
      </c>
      <c r="D946" t="str">
        <f>"Kobliner, Beth,"</f>
        <v>Kobliner, Beth,</v>
      </c>
      <c r="F946" t="str">
        <f>"256 pages, 24 cm, illustrations"</f>
        <v>256 pages, 24 cm, illustrations</v>
      </c>
      <c r="G946" s="1">
        <v>17</v>
      </c>
      <c r="H946">
        <v>2017</v>
      </c>
      <c r="I946" t="str">
        <f t="shared" si="34"/>
        <v>9: 300 - 399</v>
      </c>
      <c r="K946" t="str">
        <f>"LL - In"</f>
        <v>LL - In</v>
      </c>
      <c r="L946" s="1">
        <v>25</v>
      </c>
      <c r="M946" t="s">
        <v>892</v>
      </c>
      <c r="O946" t="s">
        <v>28</v>
      </c>
      <c r="P946">
        <v>14</v>
      </c>
      <c r="Q946">
        <v>1</v>
      </c>
      <c r="R946">
        <v>15</v>
      </c>
      <c r="S946" s="2">
        <v>42789</v>
      </c>
      <c r="T946" s="2">
        <v>42801</v>
      </c>
      <c r="U946" s="2">
        <v>43767</v>
      </c>
      <c r="V946" s="2">
        <v>43704</v>
      </c>
    </row>
    <row r="947" spans="1:22" x14ac:dyDescent="0.2">
      <c r="A947" t="str">
        <f>"332.024 LAT"</f>
        <v>332.024 LAT</v>
      </c>
      <c r="B947" t="str">
        <f>"How to be a capitalist without any capit"</f>
        <v>How to be a capitalist without any capit</v>
      </c>
      <c r="C947">
        <v>353733</v>
      </c>
      <c r="D947" t="str">
        <f>"Latka, Nathan,"</f>
        <v>Latka, Nathan,</v>
      </c>
      <c r="F947" t="str">
        <f>"278 p., 24 cm, illustrations"</f>
        <v>278 p., 24 cm, illustrations</v>
      </c>
      <c r="G947" s="1">
        <v>19</v>
      </c>
      <c r="H947">
        <v>2019</v>
      </c>
      <c r="I947" t="str">
        <f t="shared" si="34"/>
        <v>9: 300 - 399</v>
      </c>
      <c r="K947" t="str">
        <f>"WB - In"</f>
        <v>WB - In</v>
      </c>
      <c r="L947" s="1">
        <v>32</v>
      </c>
      <c r="M947" t="s">
        <v>893</v>
      </c>
      <c r="O947" t="s">
        <v>28</v>
      </c>
      <c r="P947">
        <v>6</v>
      </c>
      <c r="Q947">
        <v>0</v>
      </c>
      <c r="R947">
        <v>6</v>
      </c>
      <c r="S947" s="2">
        <v>43549</v>
      </c>
      <c r="T947" s="2">
        <v>43772</v>
      </c>
      <c r="U947" s="2">
        <v>43800</v>
      </c>
    </row>
    <row r="948" spans="1:22" x14ac:dyDescent="0.2">
      <c r="A948" t="str">
        <f>"332.024 LEW"</f>
        <v>332.024 LEW</v>
      </c>
      <c r="B948" t="str">
        <f>"perpetual retirement income machine"</f>
        <v>perpetual retirement income machine</v>
      </c>
      <c r="C948">
        <v>402327</v>
      </c>
      <c r="D948" t="str">
        <f>"Lewit, Steve"</f>
        <v>Lewit, Steve</v>
      </c>
      <c r="F948" t="str">
        <f>"101 p."</f>
        <v>101 p.</v>
      </c>
      <c r="G948" s="1">
        <v>18</v>
      </c>
      <c r="H948">
        <v>2017</v>
      </c>
      <c r="I948" t="str">
        <f t="shared" si="34"/>
        <v>9: 300 - 399</v>
      </c>
      <c r="K948" t="str">
        <f>"LL - Out"</f>
        <v>LL - Out</v>
      </c>
      <c r="L948" s="1">
        <v>13</v>
      </c>
      <c r="M948" t="s">
        <v>894</v>
      </c>
      <c r="O948" t="s">
        <v>28</v>
      </c>
      <c r="P948">
        <v>4</v>
      </c>
      <c r="Q948">
        <v>0</v>
      </c>
      <c r="R948">
        <v>4</v>
      </c>
      <c r="S948" s="2">
        <v>43306</v>
      </c>
      <c r="T948" s="2">
        <v>43311</v>
      </c>
      <c r="U948" s="2">
        <v>43851</v>
      </c>
    </row>
    <row r="949" spans="1:22" x14ac:dyDescent="0.2">
      <c r="A949" t="str">
        <f>"332.024 LIE"</f>
        <v>332.024 LIE</v>
      </c>
      <c r="B949" t="str">
        <f>"opposite of spoiled: raising kids who ar"</f>
        <v>opposite of spoiled: raising kids who ar</v>
      </c>
      <c r="C949">
        <v>326108</v>
      </c>
      <c r="D949" t="str">
        <f>"Lieber, Ron"</f>
        <v>Lieber, Ron</v>
      </c>
      <c r="F949" t="str">
        <f>"xii, 240 pages, 24 cm"</f>
        <v>xii, 240 pages, 24 cm</v>
      </c>
      <c r="G949" s="1">
        <v>15</v>
      </c>
      <c r="H949">
        <v>2015</v>
      </c>
      <c r="I949" t="str">
        <f t="shared" si="34"/>
        <v>9: 300 - 399</v>
      </c>
      <c r="K949" t="str">
        <f>"LL - In"</f>
        <v>LL - In</v>
      </c>
      <c r="L949" s="1">
        <v>32</v>
      </c>
      <c r="M949" t="s">
        <v>895</v>
      </c>
      <c r="O949" t="s">
        <v>28</v>
      </c>
      <c r="P949">
        <v>7</v>
      </c>
      <c r="Q949">
        <v>2</v>
      </c>
      <c r="R949">
        <v>30</v>
      </c>
      <c r="S949" s="2">
        <v>42059</v>
      </c>
      <c r="T949" s="2">
        <v>42194</v>
      </c>
      <c r="U949" s="2">
        <v>43631</v>
      </c>
      <c r="V949" s="2">
        <v>43269</v>
      </c>
    </row>
    <row r="950" spans="1:22" x14ac:dyDescent="0.2">
      <c r="A950" t="str">
        <f>"332.024 LIE"</f>
        <v>332.024 LIE</v>
      </c>
      <c r="B950" t="str">
        <f>"opposite of spoiled: raising kids who ar"</f>
        <v>opposite of spoiled: raising kids who ar</v>
      </c>
      <c r="C950">
        <v>331092</v>
      </c>
      <c r="D950" t="str">
        <f>"Lieber, Ron"</f>
        <v>Lieber, Ron</v>
      </c>
      <c r="F950" t="str">
        <f>"xii, 240 pages, 24 cm"</f>
        <v>xii, 240 pages, 24 cm</v>
      </c>
      <c r="G950" s="1">
        <v>15</v>
      </c>
      <c r="H950">
        <v>2015</v>
      </c>
      <c r="I950" t="str">
        <f t="shared" si="34"/>
        <v>9: 300 - 399</v>
      </c>
      <c r="K950" t="str">
        <f>"WB - Out"</f>
        <v>WB - Out</v>
      </c>
      <c r="L950" s="1">
        <v>32</v>
      </c>
      <c r="M950" t="s">
        <v>895</v>
      </c>
      <c r="O950" t="s">
        <v>28</v>
      </c>
      <c r="P950">
        <v>6</v>
      </c>
      <c r="Q950">
        <v>0</v>
      </c>
      <c r="R950">
        <v>11</v>
      </c>
      <c r="S950" s="2">
        <v>42313</v>
      </c>
      <c r="T950" s="2">
        <v>42480</v>
      </c>
      <c r="U950" s="2">
        <v>43788</v>
      </c>
    </row>
    <row r="951" spans="1:22" x14ac:dyDescent="0.2">
      <c r="A951" t="str">
        <f>"332.024 LOW"</f>
        <v>332.024 LOW</v>
      </c>
      <c r="B951" t="str">
        <f>"Broke millennial: stop scraping by and g"</f>
        <v>Broke millennial: stop scraping by and g</v>
      </c>
      <c r="C951">
        <v>350955</v>
      </c>
      <c r="D951" t="str">
        <f>"Lowry, Erin"</f>
        <v>Lowry, Erin</v>
      </c>
      <c r="F951" t="str">
        <f>"275 pages, 21 cm"</f>
        <v>275 pages, 21 cm</v>
      </c>
      <c r="G951" s="1">
        <v>18</v>
      </c>
      <c r="H951">
        <v>2017</v>
      </c>
      <c r="I951" t="str">
        <f t="shared" si="34"/>
        <v>9: 300 - 399</v>
      </c>
      <c r="K951" t="str">
        <f>"WB - In"</f>
        <v>WB - In</v>
      </c>
      <c r="L951" s="1">
        <v>20</v>
      </c>
      <c r="M951" t="s">
        <v>896</v>
      </c>
      <c r="O951" t="s">
        <v>28</v>
      </c>
      <c r="P951">
        <v>7</v>
      </c>
      <c r="Q951">
        <v>0</v>
      </c>
      <c r="R951">
        <v>7</v>
      </c>
      <c r="S951" s="2">
        <v>43402</v>
      </c>
      <c r="T951" s="2">
        <v>43412</v>
      </c>
      <c r="U951" s="2">
        <v>43818</v>
      </c>
    </row>
    <row r="952" spans="1:22" x14ac:dyDescent="0.2">
      <c r="A952" t="str">
        <f>"332.024 LYN"</f>
        <v>332.024 LYN</v>
      </c>
      <c r="B952" t="str">
        <f>"Tapping into wealth: how emotional freed"</f>
        <v>Tapping into wealth: how emotional freed</v>
      </c>
      <c r="C952">
        <v>317396</v>
      </c>
      <c r="D952" t="str">
        <f>"Lynch, Margaret M."</f>
        <v>Lynch, Margaret M.</v>
      </c>
      <c r="F952" t="str">
        <f>"ix, 238 p., 24 cm, ill."</f>
        <v>ix, 238 p., 24 cm, ill.</v>
      </c>
      <c r="G952" s="1">
        <v>13</v>
      </c>
      <c r="H952">
        <v>2013</v>
      </c>
      <c r="I952" t="str">
        <f t="shared" si="34"/>
        <v>9: 300 - 399</v>
      </c>
      <c r="K952" t="str">
        <f>"WB - Out"</f>
        <v>WB - Out</v>
      </c>
      <c r="L952" s="1">
        <v>31</v>
      </c>
      <c r="M952" t="s">
        <v>897</v>
      </c>
      <c r="O952" t="s">
        <v>28</v>
      </c>
      <c r="P952">
        <v>4</v>
      </c>
      <c r="Q952">
        <v>0</v>
      </c>
      <c r="R952">
        <v>20</v>
      </c>
      <c r="S952" s="2">
        <v>41568</v>
      </c>
      <c r="T952" s="2">
        <v>41936</v>
      </c>
      <c r="U952" s="2">
        <v>43860</v>
      </c>
    </row>
    <row r="953" spans="1:22" x14ac:dyDescent="0.2">
      <c r="A953" t="str">
        <f>"332.024 MAU"</f>
        <v>332.024 MAU</v>
      </c>
      <c r="B953" t="str">
        <f>"Simple money: a no-nonsense guide to per"</f>
        <v>Simple money: a no-nonsense guide to per</v>
      </c>
      <c r="C953">
        <v>338965</v>
      </c>
      <c r="D953" t="str">
        <f>"Maurer, Tim"</f>
        <v>Maurer, Tim</v>
      </c>
      <c r="F953" t="str">
        <f>"284 pages, 22 cm, illustrations"</f>
        <v>284 pages, 22 cm, illustrations</v>
      </c>
      <c r="G953" s="1">
        <v>16</v>
      </c>
      <c r="H953">
        <v>2016</v>
      </c>
      <c r="I953" t="str">
        <f t="shared" si="34"/>
        <v>9: 300 - 399</v>
      </c>
      <c r="K953" t="str">
        <f>"WB - In"</f>
        <v>WB - In</v>
      </c>
      <c r="L953" s="1">
        <v>21</v>
      </c>
      <c r="M953" t="s">
        <v>898</v>
      </c>
      <c r="O953" t="s">
        <v>28</v>
      </c>
      <c r="P953">
        <v>8</v>
      </c>
      <c r="Q953">
        <v>2</v>
      </c>
      <c r="R953">
        <v>11</v>
      </c>
      <c r="S953" s="2">
        <v>42738</v>
      </c>
      <c r="T953" s="2">
        <v>42745</v>
      </c>
      <c r="U953" s="2">
        <v>43802</v>
      </c>
      <c r="V953" s="2">
        <v>43090</v>
      </c>
    </row>
    <row r="954" spans="1:22" x14ac:dyDescent="0.2">
      <c r="A954" t="str">
        <f>"332.024 MCI"</f>
        <v>332.024 MCI</v>
      </c>
      <c r="B954" t="str">
        <f>"snowball effect: using dividend &amp; intere"</f>
        <v>snowball effect: using dividend &amp; intere</v>
      </c>
      <c r="C954">
        <v>349750</v>
      </c>
      <c r="D954" t="str">
        <f>"McIntosh, Timothy J."</f>
        <v>McIntosh, Timothy J.</v>
      </c>
      <c r="F954" t="str">
        <f>"xiii, 243 pages, 23 cm, illustrations"</f>
        <v>xiii, 243 pages, 23 cm, illustrations</v>
      </c>
      <c r="G954" s="1">
        <v>18</v>
      </c>
      <c r="H954">
        <v>2016</v>
      </c>
      <c r="I954" t="str">
        <f t="shared" si="34"/>
        <v>9: 300 - 399</v>
      </c>
      <c r="K954" t="str">
        <f>"WB - In"</f>
        <v>WB - In</v>
      </c>
      <c r="L954" s="1">
        <v>27</v>
      </c>
      <c r="M954" t="s">
        <v>899</v>
      </c>
      <c r="O954" t="s">
        <v>28</v>
      </c>
      <c r="P954">
        <v>2</v>
      </c>
      <c r="Q954">
        <v>2</v>
      </c>
      <c r="R954">
        <v>4</v>
      </c>
      <c r="S954" s="2">
        <v>43348</v>
      </c>
      <c r="T954" s="2">
        <v>43412</v>
      </c>
      <c r="U954" s="2">
        <v>43784</v>
      </c>
      <c r="V954" s="2">
        <v>43531</v>
      </c>
    </row>
    <row r="955" spans="1:22" x14ac:dyDescent="0.2">
      <c r="A955" t="str">
        <f>"332.024 MCP"</f>
        <v>332.024 MCP</v>
      </c>
      <c r="B955" t="str">
        <f>"Retirement: Early Retirement Success Sec"</f>
        <v>Retirement: Early Retirement Success Sec</v>
      </c>
      <c r="C955">
        <v>283942</v>
      </c>
      <c r="D955" t="str">
        <f>"McPherson, Mick."</f>
        <v>McPherson, Mick.</v>
      </c>
      <c r="F955" t="str">
        <f>"44 p"</f>
        <v>44 p</v>
      </c>
      <c r="G955" s="1">
        <v>15</v>
      </c>
      <c r="H955">
        <v>2015</v>
      </c>
      <c r="I955" t="str">
        <f t="shared" si="34"/>
        <v>9: 300 - 399</v>
      </c>
      <c r="K955" t="str">
        <f>"WB - In"</f>
        <v>WB - In</v>
      </c>
      <c r="L955" s="1">
        <v>12</v>
      </c>
      <c r="M955" t="s">
        <v>900</v>
      </c>
      <c r="O955" t="s">
        <v>28</v>
      </c>
      <c r="P955">
        <v>1</v>
      </c>
      <c r="Q955">
        <v>3</v>
      </c>
      <c r="R955">
        <v>6</v>
      </c>
      <c r="S955" s="2">
        <v>42308</v>
      </c>
      <c r="T955" s="2">
        <v>43660</v>
      </c>
      <c r="U955" s="2">
        <v>42894</v>
      </c>
      <c r="V955" s="2">
        <v>43660</v>
      </c>
    </row>
    <row r="956" spans="1:22" x14ac:dyDescent="0.2">
      <c r="A956" t="str">
        <f>"332.024 NEL"</f>
        <v>332.024 NEL</v>
      </c>
      <c r="B956" t="str">
        <f>"What color is your parachute? for retire"</f>
        <v>What color is your parachute? for retire</v>
      </c>
      <c r="C956">
        <v>348287</v>
      </c>
      <c r="D956" t="str">
        <f>"Nelson, John E."</f>
        <v>Nelson, John E.</v>
      </c>
      <c r="F956" t="str">
        <f>"xiii, 274 p., 23 cm, ill."</f>
        <v>xiii, 274 p., 23 cm, ill.</v>
      </c>
      <c r="G956" s="1">
        <v>18</v>
      </c>
      <c r="H956">
        <v>2010</v>
      </c>
      <c r="I956" t="str">
        <f t="shared" si="34"/>
        <v>9: 300 - 399</v>
      </c>
      <c r="K956" t="str">
        <f>"WB - In"</f>
        <v>WB - In</v>
      </c>
      <c r="L956" s="1">
        <v>22</v>
      </c>
      <c r="M956" t="s">
        <v>901</v>
      </c>
      <c r="O956" t="s">
        <v>28</v>
      </c>
      <c r="P956">
        <v>2</v>
      </c>
      <c r="Q956">
        <v>0</v>
      </c>
      <c r="R956">
        <v>2</v>
      </c>
      <c r="S956" s="2">
        <v>43269</v>
      </c>
      <c r="T956" s="2">
        <v>43314</v>
      </c>
      <c r="U956" s="2">
        <v>43600</v>
      </c>
    </row>
    <row r="957" spans="1:22" x14ac:dyDescent="0.2">
      <c r="A957" t="str">
        <f>"332.024 OLE"</f>
        <v>332.024 OLE</v>
      </c>
      <c r="B957" t="str">
        <f>"index card: why personal finance doesn't"</f>
        <v>index card: why personal finance doesn't</v>
      </c>
      <c r="C957">
        <v>333408</v>
      </c>
      <c r="D957" t="str">
        <f>"Olen, Helaine"</f>
        <v>Olen, Helaine</v>
      </c>
      <c r="F957" t="str">
        <f>"245 pages, 19 cm, illustrations"</f>
        <v>245 pages, 19 cm, illustrations</v>
      </c>
      <c r="G957" s="1">
        <v>16</v>
      </c>
      <c r="H957">
        <v>2016</v>
      </c>
      <c r="I957" t="str">
        <f t="shared" si="34"/>
        <v>9: 300 - 399</v>
      </c>
      <c r="K957" t="str">
        <f>"LL - In"</f>
        <v>LL - In</v>
      </c>
      <c r="L957" s="1">
        <v>30</v>
      </c>
      <c r="M957" t="s">
        <v>902</v>
      </c>
      <c r="O957" t="s">
        <v>28</v>
      </c>
      <c r="P957">
        <v>7</v>
      </c>
      <c r="Q957">
        <v>4</v>
      </c>
      <c r="R957">
        <v>24</v>
      </c>
      <c r="S957" s="2">
        <v>42424</v>
      </c>
      <c r="T957" s="2">
        <v>42590</v>
      </c>
      <c r="U957" s="2">
        <v>43703</v>
      </c>
      <c r="V957" s="2">
        <v>43291</v>
      </c>
    </row>
    <row r="958" spans="1:22" x14ac:dyDescent="0.2">
      <c r="A958" t="str">
        <f>"332.024 OPD"</f>
        <v>332.024 OPD</v>
      </c>
      <c r="B958" t="str">
        <f>"Protecting your parents' money: the esse"</f>
        <v>Protecting your parents' money: the esse</v>
      </c>
      <c r="C958">
        <v>305186</v>
      </c>
      <c r="D958" t="str">
        <f>"Opdyke, Jeff D."</f>
        <v>Opdyke, Jeff D.</v>
      </c>
      <c r="F958" t="str">
        <f>"xiv, 271 p., 21 cm."</f>
        <v>xiv, 271 p., 21 cm.</v>
      </c>
      <c r="G958" s="1">
        <v>12</v>
      </c>
      <c r="H958">
        <v>2011</v>
      </c>
      <c r="I958" t="str">
        <f t="shared" si="34"/>
        <v>9: 300 - 399</v>
      </c>
      <c r="K958" t="str">
        <f>"LL - Out"</f>
        <v>LL - Out</v>
      </c>
      <c r="L958" s="1">
        <v>21</v>
      </c>
      <c r="M958" t="s">
        <v>903</v>
      </c>
      <c r="O958" t="s">
        <v>28</v>
      </c>
      <c r="P958">
        <v>2</v>
      </c>
      <c r="Q958">
        <v>0</v>
      </c>
      <c r="R958">
        <v>21</v>
      </c>
      <c r="S958" s="2">
        <v>40925</v>
      </c>
      <c r="T958" s="2">
        <v>41053</v>
      </c>
      <c r="U958" s="2">
        <v>43851</v>
      </c>
      <c r="V958" s="2">
        <v>41524</v>
      </c>
    </row>
    <row r="959" spans="1:22" x14ac:dyDescent="0.2">
      <c r="A959" t="str">
        <f>"332.024 ORM"</f>
        <v>332.024 ORM</v>
      </c>
      <c r="B959" t="str">
        <f>"money class: learn to create your new Am"</f>
        <v>money class: learn to create your new Am</v>
      </c>
      <c r="C959">
        <v>148616</v>
      </c>
      <c r="D959" t="str">
        <f>"Orman, Suze"</f>
        <v>Orman, Suze</v>
      </c>
      <c r="F959" t="str">
        <f>"281 p."</f>
        <v>281 p.</v>
      </c>
      <c r="G959" s="1">
        <v>11</v>
      </c>
      <c r="H959">
        <v>2011</v>
      </c>
      <c r="I959" t="str">
        <f t="shared" si="34"/>
        <v>9: 300 - 399</v>
      </c>
      <c r="K959" t="str">
        <f>"WB - In"</f>
        <v>WB - In</v>
      </c>
      <c r="L959" s="1">
        <v>31</v>
      </c>
      <c r="M959" t="s">
        <v>904</v>
      </c>
      <c r="O959" t="s">
        <v>28</v>
      </c>
      <c r="P959">
        <v>5</v>
      </c>
      <c r="Q959">
        <v>0</v>
      </c>
      <c r="R959">
        <v>32</v>
      </c>
      <c r="S959" s="2">
        <v>40606</v>
      </c>
      <c r="T959" s="2">
        <v>41053</v>
      </c>
      <c r="U959" s="2">
        <v>43758</v>
      </c>
      <c r="V959" s="2">
        <v>41920</v>
      </c>
    </row>
    <row r="960" spans="1:22" x14ac:dyDescent="0.2">
      <c r="A960" t="str">
        <f>"332.024 ORM"</f>
        <v>332.024 ORM</v>
      </c>
      <c r="B960" t="str">
        <f>"road to wealth: a comprehensive guide to"</f>
        <v>road to wealth: a comprehensive guide to</v>
      </c>
      <c r="C960">
        <v>326030</v>
      </c>
      <c r="D960" t="str">
        <f>"Orman, Suze"</f>
        <v>Orman, Suze</v>
      </c>
      <c r="F960" t="str">
        <f>"x, 596 p., 25 cm."</f>
        <v>x, 596 p., 25 cm.</v>
      </c>
      <c r="G960" s="1">
        <v>15</v>
      </c>
      <c r="H960">
        <v>2010</v>
      </c>
      <c r="I960" t="str">
        <f t="shared" si="34"/>
        <v>9: 300 - 399</v>
      </c>
      <c r="K960" t="str">
        <f>"WB - In"</f>
        <v>WB - In</v>
      </c>
      <c r="L960" s="1">
        <v>27</v>
      </c>
      <c r="M960" t="s">
        <v>905</v>
      </c>
      <c r="O960" t="s">
        <v>28</v>
      </c>
      <c r="P960">
        <v>4</v>
      </c>
      <c r="Q960">
        <v>1</v>
      </c>
      <c r="R960">
        <v>14</v>
      </c>
      <c r="S960" s="2">
        <v>42041</v>
      </c>
      <c r="T960" s="2">
        <v>42053</v>
      </c>
      <c r="U960" s="2">
        <v>43549</v>
      </c>
      <c r="V960" s="2">
        <v>43143</v>
      </c>
    </row>
    <row r="961" spans="1:22" x14ac:dyDescent="0.2">
      <c r="A961" t="str">
        <f>"332.024 ORM"</f>
        <v>332.024 ORM</v>
      </c>
      <c r="B961" t="str">
        <f>"Women &amp; money"</f>
        <v>Women &amp; money</v>
      </c>
      <c r="C961">
        <v>352283</v>
      </c>
      <c r="D961" t="str">
        <f>"Orman, Suze"</f>
        <v>Orman, Suze</v>
      </c>
      <c r="F961" t="str">
        <f>"xiii, 206 p., 22 cm"</f>
        <v>xiii, 206 p., 22 cm</v>
      </c>
      <c r="G961" s="1">
        <v>19</v>
      </c>
      <c r="H961">
        <v>2018</v>
      </c>
      <c r="I961" t="str">
        <f t="shared" si="34"/>
        <v>9: 300 - 399</v>
      </c>
      <c r="K961" t="str">
        <f>"LL - In"</f>
        <v>LL - In</v>
      </c>
      <c r="L961" s="1">
        <v>29</v>
      </c>
      <c r="M961" t="s">
        <v>906</v>
      </c>
      <c r="O961" t="s">
        <v>28</v>
      </c>
      <c r="P961">
        <v>4</v>
      </c>
      <c r="Q961">
        <v>0</v>
      </c>
      <c r="R961">
        <v>4</v>
      </c>
      <c r="S961" s="2">
        <v>43479</v>
      </c>
      <c r="T961" s="2">
        <v>43493</v>
      </c>
      <c r="U961" s="2">
        <v>43819</v>
      </c>
    </row>
    <row r="962" spans="1:22" x14ac:dyDescent="0.2">
      <c r="A962" t="str">
        <f>"332.024 OTT"</f>
        <v>332.024 OTT</v>
      </c>
      <c r="B962" t="str">
        <f>"Worth it-- not worth it?: simple and pro"</f>
        <v>Worth it-- not worth it?: simple and pro</v>
      </c>
      <c r="C962">
        <v>307428</v>
      </c>
      <c r="D962" t="str">
        <f>"Otter, Jack."</f>
        <v>Otter, Jack.</v>
      </c>
      <c r="F962" t="str">
        <f>"142 p."</f>
        <v>142 p.</v>
      </c>
      <c r="G962" s="1">
        <v>12</v>
      </c>
      <c r="H962">
        <v>2012</v>
      </c>
      <c r="I962" t="str">
        <f t="shared" si="34"/>
        <v>9: 300 - 399</v>
      </c>
      <c r="K962" t="str">
        <f>"LL - In"</f>
        <v>LL - In</v>
      </c>
      <c r="L962" s="1">
        <v>25</v>
      </c>
      <c r="M962" t="s">
        <v>907</v>
      </c>
      <c r="O962" t="s">
        <v>28</v>
      </c>
      <c r="P962">
        <v>6</v>
      </c>
      <c r="Q962">
        <v>1</v>
      </c>
      <c r="R962">
        <v>50</v>
      </c>
      <c r="S962" s="2">
        <v>41037</v>
      </c>
      <c r="T962" s="2">
        <v>41380</v>
      </c>
      <c r="U962" s="2">
        <v>43722</v>
      </c>
      <c r="V962" s="2">
        <v>43847</v>
      </c>
    </row>
    <row r="963" spans="1:22" x14ac:dyDescent="0.2">
      <c r="A963" t="str">
        <f>"332.024 OWE"</f>
        <v>332.024 OWE</v>
      </c>
      <c r="B963" t="str">
        <f>"first national bank of dad: the best way"</f>
        <v>first national bank of dad: the best way</v>
      </c>
      <c r="C963">
        <v>109230</v>
      </c>
      <c r="D963" t="str">
        <f>"Owen, David"</f>
        <v>Owen, David</v>
      </c>
      <c r="F963" t="str">
        <f>"190 p."</f>
        <v>190 p.</v>
      </c>
      <c r="G963" s="1">
        <v>3</v>
      </c>
      <c r="H963">
        <v>2003</v>
      </c>
      <c r="I963" t="str">
        <f t="shared" si="34"/>
        <v>9: 300 - 399</v>
      </c>
      <c r="K963" t="str">
        <f>"WB - In"</f>
        <v>WB - In</v>
      </c>
      <c r="L963" s="1">
        <v>25</v>
      </c>
      <c r="M963" t="s">
        <v>908</v>
      </c>
      <c r="O963" t="s">
        <v>28</v>
      </c>
      <c r="P963">
        <v>3</v>
      </c>
      <c r="Q963">
        <v>1</v>
      </c>
      <c r="R963">
        <v>56</v>
      </c>
      <c r="S963" s="2">
        <v>37630</v>
      </c>
      <c r="T963" s="2">
        <v>41053</v>
      </c>
      <c r="U963" s="2">
        <v>43602</v>
      </c>
      <c r="V963" s="2">
        <v>42845</v>
      </c>
    </row>
    <row r="964" spans="1:22" x14ac:dyDescent="0.2">
      <c r="A964" t="str">
        <f>"332.024 PAI"</f>
        <v>332.024 PAI</v>
      </c>
      <c r="B964" t="str">
        <f>"money saving mom's budget"</f>
        <v>money saving mom's budget</v>
      </c>
      <c r="C964">
        <v>278795</v>
      </c>
      <c r="D964" t="str">
        <f>"Paine, Crystal."</f>
        <v>Paine, Crystal.</v>
      </c>
      <c r="F964" t="str">
        <f>"183 p."</f>
        <v>183 p.</v>
      </c>
      <c r="G964" s="1">
        <v>14</v>
      </c>
      <c r="H964">
        <v>2012</v>
      </c>
      <c r="I964" t="str">
        <f t="shared" si="34"/>
        <v>9: 300 - 399</v>
      </c>
      <c r="K964" t="str">
        <f>"LL - In"</f>
        <v>LL - In</v>
      </c>
      <c r="L964" s="1">
        <v>19</v>
      </c>
      <c r="M964" t="s">
        <v>909</v>
      </c>
      <c r="O964" t="s">
        <v>28</v>
      </c>
      <c r="P964">
        <v>4</v>
      </c>
      <c r="Q964">
        <v>0</v>
      </c>
      <c r="R964">
        <v>12</v>
      </c>
      <c r="S964" s="2">
        <v>42002</v>
      </c>
      <c r="T964" s="2">
        <v>42010</v>
      </c>
      <c r="U964" s="2">
        <v>43625</v>
      </c>
      <c r="V964" s="2">
        <v>42445</v>
      </c>
    </row>
    <row r="965" spans="1:22" x14ac:dyDescent="0.2">
      <c r="A965" t="str">
        <f>"332.024 PAL"</f>
        <v>332.024 PAL</v>
      </c>
      <c r="B965" t="str">
        <f>"Smart mom, rich mom: how to build wealth"</f>
        <v>Smart mom, rich mom: how to build wealth</v>
      </c>
      <c r="C965">
        <v>342641</v>
      </c>
      <c r="D965" t="str">
        <f>"Palmer, Kimberly"</f>
        <v>Palmer, Kimberly</v>
      </c>
      <c r="F965" t="str">
        <f>"x, 246 pages, 23 cm"</f>
        <v>x, 246 pages, 23 cm</v>
      </c>
      <c r="G965" s="1">
        <v>17</v>
      </c>
      <c r="H965">
        <v>2016</v>
      </c>
      <c r="I965" t="str">
        <f t="shared" si="34"/>
        <v>9: 300 - 399</v>
      </c>
      <c r="K965" t="str">
        <f>"WB - Out"</f>
        <v>WB - Out</v>
      </c>
      <c r="L965" s="1">
        <v>20</v>
      </c>
      <c r="M965" t="s">
        <v>910</v>
      </c>
      <c r="O965" t="s">
        <v>28</v>
      </c>
      <c r="P965">
        <v>9</v>
      </c>
      <c r="Q965">
        <v>1</v>
      </c>
      <c r="R965">
        <v>10</v>
      </c>
      <c r="S965" s="2">
        <v>42940</v>
      </c>
      <c r="T965" s="2">
        <v>42950</v>
      </c>
      <c r="U965" s="2">
        <v>43844</v>
      </c>
      <c r="V965" s="2">
        <v>43698</v>
      </c>
    </row>
    <row r="966" spans="1:22" x14ac:dyDescent="0.2">
      <c r="A966" t="str">
        <f>"332.024 PAL"</f>
        <v>332.024 PAL</v>
      </c>
      <c r="B966" t="str">
        <f>"5 money conversations to have with your "</f>
        <v xml:space="preserve">5 money conversations to have with your </v>
      </c>
      <c r="C966">
        <v>328315</v>
      </c>
      <c r="D966" t="str">
        <f>"Palmer, Scott,"</f>
        <v>Palmer, Scott,</v>
      </c>
      <c r="F966" t="str">
        <f>"ix, 257 pages, 21 cm"</f>
        <v>ix, 257 pages, 21 cm</v>
      </c>
      <c r="G966" s="1">
        <v>15</v>
      </c>
      <c r="H966">
        <v>2014</v>
      </c>
      <c r="I966" t="str">
        <f t="shared" si="34"/>
        <v>9: 300 - 399</v>
      </c>
      <c r="K966" t="str">
        <f>"WB - In"</f>
        <v>WB - In</v>
      </c>
      <c r="L966" s="1">
        <v>18</v>
      </c>
      <c r="M966" t="s">
        <v>911</v>
      </c>
      <c r="O966" t="s">
        <v>28</v>
      </c>
      <c r="P966">
        <v>4</v>
      </c>
      <c r="Q966">
        <v>2</v>
      </c>
      <c r="R966">
        <v>14</v>
      </c>
      <c r="S966" s="2">
        <v>42185</v>
      </c>
      <c r="T966" s="2">
        <v>42205</v>
      </c>
      <c r="U966" s="2">
        <v>43738</v>
      </c>
      <c r="V966" s="2">
        <v>43330</v>
      </c>
    </row>
    <row r="967" spans="1:22" x14ac:dyDescent="0.2">
      <c r="A967" t="str">
        <f>"332.024 PAP"</f>
        <v>332.024 PAP</v>
      </c>
      <c r="B967" t="str">
        <f>"barefoot investor: the only money guide "</f>
        <v xml:space="preserve">barefoot investor: the only money guide </v>
      </c>
      <c r="C967">
        <v>348996</v>
      </c>
      <c r="D967" t="str">
        <f>"Pape, Scott,"</f>
        <v>Pape, Scott,</v>
      </c>
      <c r="F967" t="str">
        <f>"xxviii, 264 pages, 24 cm, illustrations"</f>
        <v>xxviii, 264 pages, 24 cm, illustrations</v>
      </c>
      <c r="G967" s="1">
        <v>18</v>
      </c>
      <c r="H967">
        <v>2017</v>
      </c>
      <c r="I967" t="str">
        <f t="shared" si="34"/>
        <v>9: 300 - 399</v>
      </c>
      <c r="K967" t="str">
        <f>"WB - In"</f>
        <v>WB - In</v>
      </c>
      <c r="L967" s="1">
        <v>28</v>
      </c>
      <c r="M967" t="s">
        <v>912</v>
      </c>
      <c r="O967" t="s">
        <v>28</v>
      </c>
      <c r="P967">
        <v>2</v>
      </c>
      <c r="Q967">
        <v>0</v>
      </c>
      <c r="R967">
        <v>2</v>
      </c>
      <c r="S967" s="2">
        <v>43311</v>
      </c>
      <c r="T967" s="2">
        <v>43322</v>
      </c>
      <c r="U967" s="2">
        <v>43744</v>
      </c>
    </row>
    <row r="968" spans="1:22" x14ac:dyDescent="0.2">
      <c r="A968" t="str">
        <f>"332.024 PHI"</f>
        <v>332.024 PHI</v>
      </c>
      <c r="B968" t="str">
        <f>"retirement rescue plan: retirement plann"</f>
        <v>retirement rescue plan: retirement plann</v>
      </c>
      <c r="C968">
        <v>290061</v>
      </c>
      <c r="D968" t="str">
        <f>"Phipps, Melissa"</f>
        <v>Phipps, Melissa</v>
      </c>
      <c r="F968" t="str">
        <f>"230 p."</f>
        <v>230 p.</v>
      </c>
      <c r="G968" s="1">
        <v>16</v>
      </c>
      <c r="H968">
        <v>2016</v>
      </c>
      <c r="I968" t="str">
        <f t="shared" ref="I968:I1031" si="37">"9: 300 - 399"</f>
        <v>9: 300 - 399</v>
      </c>
      <c r="K968" t="str">
        <f>"LL - In"</f>
        <v>LL - In</v>
      </c>
      <c r="L968" s="1">
        <v>22</v>
      </c>
      <c r="M968" t="s">
        <v>913</v>
      </c>
      <c r="O968" t="s">
        <v>28</v>
      </c>
      <c r="P968">
        <v>3</v>
      </c>
      <c r="Q968">
        <v>1</v>
      </c>
      <c r="R968">
        <v>4</v>
      </c>
      <c r="S968" s="2">
        <v>42607</v>
      </c>
      <c r="T968" s="2">
        <v>42632</v>
      </c>
      <c r="U968" s="2">
        <v>43623</v>
      </c>
      <c r="V968" s="2">
        <v>43623</v>
      </c>
    </row>
    <row r="969" spans="1:22" x14ac:dyDescent="0.2">
      <c r="A969" t="str">
        <f>"332.024 PIP"</f>
        <v>332.024 PIP</v>
      </c>
      <c r="B969" t="str">
        <f>"Can I retire?: how much money do you nee"</f>
        <v>Can I retire?: how much money do you nee</v>
      </c>
      <c r="C969">
        <v>349742</v>
      </c>
      <c r="D969" t="str">
        <f>"Piper, Mike"</f>
        <v>Piper, Mike</v>
      </c>
      <c r="G969" s="1">
        <v>18</v>
      </c>
      <c r="H969">
        <v>2018</v>
      </c>
      <c r="I969" t="str">
        <f t="shared" si="37"/>
        <v>9: 300 - 399</v>
      </c>
      <c r="K969" t="str">
        <f>"WB - In"</f>
        <v>WB - In</v>
      </c>
      <c r="L969" s="1">
        <v>20</v>
      </c>
      <c r="M969" t="s">
        <v>914</v>
      </c>
      <c r="O969" t="s">
        <v>28</v>
      </c>
      <c r="P969">
        <v>3</v>
      </c>
      <c r="Q969">
        <v>0</v>
      </c>
      <c r="R969">
        <v>3</v>
      </c>
      <c r="S969" s="2">
        <v>43348</v>
      </c>
      <c r="T969" s="2">
        <v>43357</v>
      </c>
      <c r="U969" s="2">
        <v>43681</v>
      </c>
    </row>
    <row r="970" spans="1:22" x14ac:dyDescent="0.2">
      <c r="A970" t="str">
        <f>"332.024 QUI"</f>
        <v>332.024 QUI</v>
      </c>
      <c r="B970" t="str">
        <f>"How to make your money last: the indispe"</f>
        <v>How to make your money last: the indispe</v>
      </c>
      <c r="C970">
        <v>332877</v>
      </c>
      <c r="D970" t="str">
        <f>"Quinn, Jane Bryant"</f>
        <v>Quinn, Jane Bryant</v>
      </c>
      <c r="F970" t="str">
        <f>"xv, 366 pages, 24 cm"</f>
        <v>xv, 366 pages, 24 cm</v>
      </c>
      <c r="G970" s="1">
        <v>16</v>
      </c>
      <c r="H970">
        <v>2016</v>
      </c>
      <c r="I970" t="str">
        <f t="shared" si="37"/>
        <v>9: 300 - 399</v>
      </c>
      <c r="K970" t="str">
        <f>"WB - In"</f>
        <v>WB - In</v>
      </c>
      <c r="L970" s="1">
        <v>33</v>
      </c>
      <c r="M970" t="s">
        <v>915</v>
      </c>
      <c r="O970" t="s">
        <v>28</v>
      </c>
      <c r="P970">
        <v>10</v>
      </c>
      <c r="Q970">
        <v>1</v>
      </c>
      <c r="R970">
        <v>24</v>
      </c>
      <c r="S970" s="2">
        <v>42408</v>
      </c>
      <c r="T970" s="2">
        <v>42660</v>
      </c>
      <c r="U970" s="2">
        <v>43602</v>
      </c>
      <c r="V970" s="2">
        <v>43704</v>
      </c>
    </row>
    <row r="971" spans="1:22" x14ac:dyDescent="0.2">
      <c r="A971" t="str">
        <f>"332.024 QUI"</f>
        <v>332.024 QUI</v>
      </c>
      <c r="B971" t="str">
        <f>"How to make your money last: the indispe"</f>
        <v>How to make your money last: the indispe</v>
      </c>
      <c r="C971">
        <v>350119</v>
      </c>
      <c r="D971" t="str">
        <f>"Quinn, Jane Bryant"</f>
        <v>Quinn, Jane Bryant</v>
      </c>
      <c r="F971" t="str">
        <f>"xvii, 366 pages, 22 cm"</f>
        <v>xvii, 366 pages, 22 cm</v>
      </c>
      <c r="G971" s="1">
        <v>18</v>
      </c>
      <c r="H971">
        <v>2017</v>
      </c>
      <c r="I971" t="str">
        <f t="shared" si="37"/>
        <v>9: 300 - 399</v>
      </c>
      <c r="K971" t="str">
        <f>"WB - Out"</f>
        <v>WB - Out</v>
      </c>
      <c r="L971" s="1">
        <v>22</v>
      </c>
      <c r="M971" t="s">
        <v>916</v>
      </c>
      <c r="O971" t="s">
        <v>28</v>
      </c>
      <c r="P971">
        <v>7</v>
      </c>
      <c r="Q971">
        <v>0</v>
      </c>
      <c r="R971">
        <v>7</v>
      </c>
      <c r="S971" s="2">
        <v>43364</v>
      </c>
      <c r="T971" s="2">
        <v>43375</v>
      </c>
      <c r="U971" s="2">
        <v>43847</v>
      </c>
    </row>
    <row r="972" spans="1:22" x14ac:dyDescent="0.2">
      <c r="A972" t="str">
        <f>"332.024 RAM"</f>
        <v>332.024 RAM</v>
      </c>
      <c r="B972" t="str">
        <f>"Smart money smart kids: raising the next"</f>
        <v>Smart money smart kids: raising the next</v>
      </c>
      <c r="C972">
        <v>321100</v>
      </c>
      <c r="D972" t="str">
        <f>"Ramsey, Dave"</f>
        <v>Ramsey, Dave</v>
      </c>
      <c r="F972" t="str">
        <f>"xiv, 251 pages, 24 cm, illustrations"</f>
        <v>xiv, 251 pages, 24 cm, illustrations</v>
      </c>
      <c r="G972" s="1">
        <v>14</v>
      </c>
      <c r="H972">
        <v>2014</v>
      </c>
      <c r="I972" t="str">
        <f t="shared" si="37"/>
        <v>9: 300 - 399</v>
      </c>
      <c r="K972" t="str">
        <f>"WB - In"</f>
        <v>WB - In</v>
      </c>
      <c r="L972" s="1">
        <v>30</v>
      </c>
      <c r="M972" t="s">
        <v>917</v>
      </c>
      <c r="O972" t="s">
        <v>28</v>
      </c>
      <c r="P972">
        <v>10</v>
      </c>
      <c r="Q972">
        <v>2</v>
      </c>
      <c r="R972">
        <v>31</v>
      </c>
      <c r="S972" s="2">
        <v>41760</v>
      </c>
      <c r="T972" s="2">
        <v>42138</v>
      </c>
      <c r="U972" s="2">
        <v>43669</v>
      </c>
      <c r="V972" s="2">
        <v>43704</v>
      </c>
    </row>
    <row r="973" spans="1:22" x14ac:dyDescent="0.2">
      <c r="A973" t="str">
        <f>"332.024 RAM"</f>
        <v>332.024 RAM</v>
      </c>
      <c r="B973" t="str">
        <f>"Smart money smart kids: raising the next"</f>
        <v>Smart money smart kids: raising the next</v>
      </c>
      <c r="C973">
        <v>321101</v>
      </c>
      <c r="D973" t="str">
        <f>"Ramsey, Dave"</f>
        <v>Ramsey, Dave</v>
      </c>
      <c r="F973" t="str">
        <f>"xiv, 251 pages, 24 cm, illustrations"</f>
        <v>xiv, 251 pages, 24 cm, illustrations</v>
      </c>
      <c r="G973" s="1">
        <v>14</v>
      </c>
      <c r="H973">
        <v>2014</v>
      </c>
      <c r="I973" t="str">
        <f t="shared" si="37"/>
        <v>9: 300 - 399</v>
      </c>
      <c r="K973" t="str">
        <f>"LL - In"</f>
        <v>LL - In</v>
      </c>
      <c r="L973" s="1">
        <v>30</v>
      </c>
      <c r="M973" t="s">
        <v>917</v>
      </c>
      <c r="O973" t="s">
        <v>28</v>
      </c>
      <c r="P973">
        <v>9</v>
      </c>
      <c r="Q973">
        <v>0</v>
      </c>
      <c r="R973">
        <v>34</v>
      </c>
      <c r="S973" s="2">
        <v>41760</v>
      </c>
      <c r="T973" s="2">
        <v>42257</v>
      </c>
      <c r="U973" s="2">
        <v>43767</v>
      </c>
      <c r="V973" s="2">
        <v>42467</v>
      </c>
    </row>
    <row r="974" spans="1:22" x14ac:dyDescent="0.2">
      <c r="A974" t="str">
        <f>"332.024 RAM"</f>
        <v>332.024 RAM</v>
      </c>
      <c r="B974" t="str">
        <f>"total money makeover: a proven plan for "</f>
        <v xml:space="preserve">total money makeover: a proven plan for </v>
      </c>
      <c r="C974">
        <v>213205</v>
      </c>
      <c r="D974" t="str">
        <f>"Ramsey, Dave"</f>
        <v>Ramsey, Dave</v>
      </c>
      <c r="F974" t="str">
        <f>"223 p., 24 cm., ill."</f>
        <v>223 p., 24 cm., ill.</v>
      </c>
      <c r="G974" s="1">
        <v>8</v>
      </c>
      <c r="H974">
        <v>2007</v>
      </c>
      <c r="I974" t="str">
        <f t="shared" si="37"/>
        <v>9: 300 - 399</v>
      </c>
      <c r="K974" t="str">
        <f>"WB - In"</f>
        <v>WB - In</v>
      </c>
      <c r="L974" s="1">
        <v>30</v>
      </c>
      <c r="M974" t="s">
        <v>918</v>
      </c>
      <c r="O974" t="s">
        <v>28</v>
      </c>
      <c r="P974">
        <v>12</v>
      </c>
      <c r="Q974">
        <v>3</v>
      </c>
      <c r="R974">
        <v>68</v>
      </c>
      <c r="S974" s="2">
        <v>39666</v>
      </c>
      <c r="T974" s="2">
        <v>41053</v>
      </c>
      <c r="U974" s="2">
        <v>43718</v>
      </c>
      <c r="V974" s="2">
        <v>43810</v>
      </c>
    </row>
    <row r="975" spans="1:22" x14ac:dyDescent="0.2">
      <c r="A975" t="str">
        <f>"332.024 RAM"</f>
        <v>332.024 RAM</v>
      </c>
      <c r="B975" t="str">
        <f>"total money makeover: a proven plan for "</f>
        <v xml:space="preserve">total money makeover: a proven plan for </v>
      </c>
      <c r="C975">
        <v>322191</v>
      </c>
      <c r="D975" t="str">
        <f>"Ramsey, Dave"</f>
        <v>Ramsey, Dave</v>
      </c>
      <c r="F975" t="str">
        <f>"xxvii, 237 pages, 25 cm, illustrations"</f>
        <v>xxvii, 237 pages, 25 cm, illustrations</v>
      </c>
      <c r="G975" s="1">
        <v>14</v>
      </c>
      <c r="H975">
        <v>2013</v>
      </c>
      <c r="I975" t="str">
        <f t="shared" si="37"/>
        <v>9: 300 - 399</v>
      </c>
      <c r="K975" t="str">
        <f>"WB - In"</f>
        <v>WB - In</v>
      </c>
      <c r="L975" s="1">
        <v>30</v>
      </c>
      <c r="M975" t="s">
        <v>919</v>
      </c>
      <c r="O975" t="s">
        <v>28</v>
      </c>
      <c r="P975">
        <v>18</v>
      </c>
      <c r="Q975">
        <v>1</v>
      </c>
      <c r="R975">
        <v>32</v>
      </c>
      <c r="S975" s="2">
        <v>41821</v>
      </c>
      <c r="T975" s="2">
        <v>41822</v>
      </c>
      <c r="U975" s="2">
        <v>43811</v>
      </c>
      <c r="V975" s="2">
        <v>43704</v>
      </c>
    </row>
    <row r="976" spans="1:22" x14ac:dyDescent="0.2">
      <c r="A976" t="str">
        <f>"332.024 RIC"</f>
        <v>332.024 RIC</v>
      </c>
      <c r="B976" t="str">
        <f>"behavior gap: simple ways to stop doing "</f>
        <v xml:space="preserve">behavior gap: simple ways to stop doing </v>
      </c>
      <c r="C976">
        <v>355550</v>
      </c>
      <c r="D976" t="str">
        <f>"Richards, Carl,"</f>
        <v>Richards, Carl,</v>
      </c>
      <c r="F976" t="str">
        <f>"xiv, 178 p., 22 cm, ill."</f>
        <v>xiv, 178 p., 22 cm, ill.</v>
      </c>
      <c r="G976" s="1">
        <v>19</v>
      </c>
      <c r="H976">
        <v>2012</v>
      </c>
      <c r="I976" t="str">
        <f t="shared" si="37"/>
        <v>9: 300 - 399</v>
      </c>
      <c r="K976" t="str">
        <f>"WB - In"</f>
        <v>WB - In</v>
      </c>
      <c r="L976" s="1">
        <v>31</v>
      </c>
      <c r="M976" t="s">
        <v>920</v>
      </c>
      <c r="O976" t="s">
        <v>28</v>
      </c>
      <c r="P976">
        <v>4</v>
      </c>
      <c r="Q976">
        <v>0</v>
      </c>
      <c r="R976">
        <v>4</v>
      </c>
      <c r="S976" s="2">
        <v>43633</v>
      </c>
      <c r="T976" s="2">
        <v>43838</v>
      </c>
      <c r="U976" s="2">
        <v>43791</v>
      </c>
    </row>
    <row r="977" spans="1:22" x14ac:dyDescent="0.2">
      <c r="A977" t="str">
        <f>"332.024 RIC"</f>
        <v>332.024 RIC</v>
      </c>
      <c r="B977" t="str">
        <f>"one-page financial plan: a simple way to"</f>
        <v>one-page financial plan: a simple way to</v>
      </c>
      <c r="C977">
        <v>331666</v>
      </c>
      <c r="D977" t="str">
        <f>"Richards, Carl,"</f>
        <v>Richards, Carl,</v>
      </c>
      <c r="F977" t="str">
        <f>"viii, 211 pages, 22 cm, illustrations"</f>
        <v>viii, 211 pages, 22 cm, illustrations</v>
      </c>
      <c r="G977" s="1">
        <v>15</v>
      </c>
      <c r="H977">
        <v>2015</v>
      </c>
      <c r="I977" t="str">
        <f t="shared" si="37"/>
        <v>9: 300 - 399</v>
      </c>
      <c r="K977" t="str">
        <f>"WB - Out"</f>
        <v>WB - Out</v>
      </c>
      <c r="L977" s="1">
        <v>30</v>
      </c>
      <c r="O977" t="s">
        <v>28</v>
      </c>
      <c r="P977">
        <v>6</v>
      </c>
      <c r="Q977">
        <v>1</v>
      </c>
      <c r="R977">
        <v>14</v>
      </c>
      <c r="S977" s="2">
        <v>42332</v>
      </c>
      <c r="T977" s="2">
        <v>42528</v>
      </c>
      <c r="U977" s="2">
        <v>43852</v>
      </c>
      <c r="V977" s="2">
        <v>43473</v>
      </c>
    </row>
    <row r="978" spans="1:22" x14ac:dyDescent="0.2">
      <c r="A978" t="str">
        <f>"332.024 ROB"</f>
        <v>332.024 ROB</v>
      </c>
      <c r="B978" t="str">
        <f>"Money: master the game : 7 simple steps "</f>
        <v xml:space="preserve">Money: master the game : 7 simple steps </v>
      </c>
      <c r="C978">
        <v>325160</v>
      </c>
      <c r="D978" t="str">
        <f>"Robbins, Anthony"</f>
        <v>Robbins, Anthony</v>
      </c>
      <c r="F978" t="str">
        <f>"xxviii, 656 pages, 24 cm, illustrations"</f>
        <v>xxviii, 656 pages, 24 cm, illustrations</v>
      </c>
      <c r="G978" s="1">
        <v>14</v>
      </c>
      <c r="H978">
        <v>2014</v>
      </c>
      <c r="I978" t="str">
        <f t="shared" si="37"/>
        <v>9: 300 - 399</v>
      </c>
      <c r="K978" t="str">
        <f>"LL - Problem"</f>
        <v>LL - Problem</v>
      </c>
      <c r="L978" s="1">
        <v>33</v>
      </c>
      <c r="M978" t="s">
        <v>921</v>
      </c>
      <c r="O978" t="s">
        <v>28</v>
      </c>
      <c r="P978">
        <v>15</v>
      </c>
      <c r="Q978">
        <v>1</v>
      </c>
      <c r="R978">
        <v>39</v>
      </c>
      <c r="S978" s="2">
        <v>41995</v>
      </c>
      <c r="T978" s="2">
        <v>42145</v>
      </c>
      <c r="U978" s="2">
        <v>43701</v>
      </c>
      <c r="V978" s="2">
        <v>43529</v>
      </c>
    </row>
    <row r="979" spans="1:22" x14ac:dyDescent="0.2">
      <c r="A979" t="str">
        <f>"332.024 ROB"</f>
        <v>332.024 ROB</v>
      </c>
      <c r="B979" t="str">
        <f>"Unshakeable: your financial freedom play"</f>
        <v>Unshakeable: your financial freedom play</v>
      </c>
      <c r="C979">
        <v>340217</v>
      </c>
      <c r="D979" t="str">
        <f>"Robbins, Anthony"</f>
        <v>Robbins, Anthony</v>
      </c>
      <c r="F979" t="str">
        <f>"xxiv, 231 pages, 24 cm, illustrations"</f>
        <v>xxiv, 231 pages, 24 cm, illustrations</v>
      </c>
      <c r="G979" s="1">
        <v>17</v>
      </c>
      <c r="H979">
        <v>2017</v>
      </c>
      <c r="I979" t="str">
        <f t="shared" si="37"/>
        <v>9: 300 - 399</v>
      </c>
      <c r="K979" t="str">
        <f>"WB - In"</f>
        <v>WB - In</v>
      </c>
      <c r="L979" s="1">
        <v>31</v>
      </c>
      <c r="M979" t="s">
        <v>922</v>
      </c>
      <c r="O979" t="s">
        <v>28</v>
      </c>
      <c r="P979">
        <v>14</v>
      </c>
      <c r="Q979">
        <v>0</v>
      </c>
      <c r="R979">
        <v>14</v>
      </c>
      <c r="S979" s="2">
        <v>42807</v>
      </c>
      <c r="T979" s="2">
        <v>43033</v>
      </c>
      <c r="U979" s="2">
        <v>43680</v>
      </c>
    </row>
    <row r="980" spans="1:22" x14ac:dyDescent="0.2">
      <c r="A980" t="str">
        <f>"332.024 ROB"</f>
        <v>332.024 ROB</v>
      </c>
      <c r="B980" t="str">
        <f>"new good life: living better than ever i"</f>
        <v>new good life: living better than ever i</v>
      </c>
      <c r="C980">
        <v>143205</v>
      </c>
      <c r="D980" t="str">
        <f>"Robbins, John"</f>
        <v>Robbins, John</v>
      </c>
      <c r="F980" t="str">
        <f>"283 p."</f>
        <v>283 p.</v>
      </c>
      <c r="G980" s="1">
        <v>10</v>
      </c>
      <c r="H980">
        <v>2010</v>
      </c>
      <c r="I980" t="str">
        <f t="shared" si="37"/>
        <v>9: 300 - 399</v>
      </c>
      <c r="K980" t="str">
        <f>"LL - In"</f>
        <v>LL - In</v>
      </c>
      <c r="L980" s="1">
        <v>31</v>
      </c>
      <c r="M980" t="s">
        <v>923</v>
      </c>
      <c r="O980" t="s">
        <v>28</v>
      </c>
      <c r="P980">
        <v>0</v>
      </c>
      <c r="Q980">
        <v>0</v>
      </c>
      <c r="R980">
        <v>24</v>
      </c>
      <c r="S980" s="2">
        <v>40330</v>
      </c>
      <c r="T980" s="2">
        <v>41053</v>
      </c>
      <c r="U980" s="2">
        <v>42631</v>
      </c>
    </row>
    <row r="981" spans="1:22" x14ac:dyDescent="0.2">
      <c r="A981" t="str">
        <f>"332.024 ROB"</f>
        <v>332.024 ROB</v>
      </c>
      <c r="B981" t="str">
        <f>"Your money or your life: 9 steps to tran"</f>
        <v>Your money or your life: 9 steps to tran</v>
      </c>
      <c r="C981">
        <v>348402</v>
      </c>
      <c r="D981" t="str">
        <f>"Robin, Vicki."</f>
        <v>Robin, Vicki.</v>
      </c>
      <c r="F981" t="str">
        <f>"xxxvii, 328 p., 20 cm., ill."</f>
        <v>xxxvii, 328 p., 20 cm., ill.</v>
      </c>
      <c r="G981" s="1">
        <v>18</v>
      </c>
      <c r="H981">
        <v>2008</v>
      </c>
      <c r="I981" t="str">
        <f t="shared" si="37"/>
        <v>9: 300 - 399</v>
      </c>
      <c r="K981" t="str">
        <f>"WB - In"</f>
        <v>WB - In</v>
      </c>
      <c r="L981" s="1">
        <v>22</v>
      </c>
      <c r="M981" t="s">
        <v>924</v>
      </c>
      <c r="O981" t="s">
        <v>28</v>
      </c>
      <c r="P981">
        <v>12</v>
      </c>
      <c r="Q981">
        <v>1</v>
      </c>
      <c r="R981">
        <v>13</v>
      </c>
      <c r="S981" s="2">
        <v>43276</v>
      </c>
      <c r="T981" s="2">
        <v>43279</v>
      </c>
      <c r="U981" s="2">
        <v>43844</v>
      </c>
      <c r="V981" s="2">
        <v>43711</v>
      </c>
    </row>
    <row r="982" spans="1:22" x14ac:dyDescent="0.2">
      <c r="A982" t="str">
        <f>"332.024 ROD"</f>
        <v>332.024 ROD</v>
      </c>
      <c r="B982" t="str">
        <f>"Don't retire broke: an indispensable gui"</f>
        <v>Don't retire broke: an indispensable gui</v>
      </c>
      <c r="C982">
        <v>294471</v>
      </c>
      <c r="D982" t="str">
        <f>"Rodgers, Rick"</f>
        <v>Rodgers, Rick</v>
      </c>
      <c r="F982" t="str">
        <f>"256 pages, 23 cm, illustrations"</f>
        <v>256 pages, 23 cm, illustrations</v>
      </c>
      <c r="G982" s="1">
        <v>17</v>
      </c>
      <c r="H982">
        <v>2017</v>
      </c>
      <c r="I982" t="str">
        <f t="shared" si="37"/>
        <v>9: 300 - 399</v>
      </c>
      <c r="K982" t="str">
        <f>"WB - In"</f>
        <v>WB - In</v>
      </c>
      <c r="L982" s="1">
        <v>23</v>
      </c>
      <c r="M982" t="s">
        <v>925</v>
      </c>
      <c r="O982" t="s">
        <v>28</v>
      </c>
      <c r="P982">
        <v>6</v>
      </c>
      <c r="Q982">
        <v>0</v>
      </c>
      <c r="R982">
        <v>6</v>
      </c>
      <c r="S982" s="2">
        <v>42837</v>
      </c>
      <c r="T982" s="2">
        <v>42842</v>
      </c>
      <c r="U982" s="2">
        <v>43702</v>
      </c>
    </row>
    <row r="983" spans="1:22" x14ac:dyDescent="0.2">
      <c r="A983" t="str">
        <f>"332.024 RYA"</f>
        <v>332.024 RYA</v>
      </c>
      <c r="B983" t="str">
        <f>"Retirement reinvention: make your next a"</f>
        <v>Retirement reinvention: make your next a</v>
      </c>
      <c r="C983">
        <v>350527</v>
      </c>
      <c r="D983" t="str">
        <f>"Ryan, Robin,"</f>
        <v>Ryan, Robin,</v>
      </c>
      <c r="F983" t="str">
        <f>"xiv, 284 pages, 20 cm"</f>
        <v>xiv, 284 pages, 20 cm</v>
      </c>
      <c r="G983" s="1">
        <v>18</v>
      </c>
      <c r="H983">
        <v>2018</v>
      </c>
      <c r="I983" t="str">
        <f t="shared" si="37"/>
        <v>9: 300 - 399</v>
      </c>
      <c r="K983" t="str">
        <f>"WB - In"</f>
        <v>WB - In</v>
      </c>
      <c r="L983" s="1">
        <v>21</v>
      </c>
      <c r="M983" t="s">
        <v>926</v>
      </c>
      <c r="O983" t="s">
        <v>28</v>
      </c>
      <c r="P983">
        <v>2</v>
      </c>
      <c r="Q983">
        <v>1</v>
      </c>
      <c r="R983">
        <v>3</v>
      </c>
      <c r="S983" s="2">
        <v>43383</v>
      </c>
      <c r="T983" s="2">
        <v>43398</v>
      </c>
      <c r="U983" s="2">
        <v>43666</v>
      </c>
      <c r="V983" s="2">
        <v>43525</v>
      </c>
    </row>
    <row r="984" spans="1:22" x14ac:dyDescent="0.2">
      <c r="A984" t="str">
        <f>"332.024 SCH"</f>
        <v>332.024 SCH</v>
      </c>
      <c r="B984" t="str">
        <f>"Modern investing: gambling in disguise"</f>
        <v>Modern investing: gambling in disguise</v>
      </c>
      <c r="C984">
        <v>296995</v>
      </c>
      <c r="D984" t="str">
        <f>"Schneider, David"</f>
        <v>Schneider, David</v>
      </c>
      <c r="F984" t="str">
        <f>"202 pp."</f>
        <v>202 pp.</v>
      </c>
      <c r="G984" s="1">
        <v>17</v>
      </c>
      <c r="H984">
        <v>2016</v>
      </c>
      <c r="I984" t="str">
        <f t="shared" si="37"/>
        <v>9: 300 - 399</v>
      </c>
      <c r="K984" t="str">
        <f>"WB - Problem"</f>
        <v>WB - Problem</v>
      </c>
      <c r="L984" s="1">
        <v>20</v>
      </c>
      <c r="M984" t="s">
        <v>927</v>
      </c>
      <c r="O984" t="s">
        <v>28</v>
      </c>
      <c r="P984">
        <v>4</v>
      </c>
      <c r="Q984">
        <v>4</v>
      </c>
      <c r="R984">
        <v>8</v>
      </c>
      <c r="S984" s="2">
        <v>42997</v>
      </c>
      <c r="T984" s="2">
        <v>43018</v>
      </c>
      <c r="U984" s="2">
        <v>43747</v>
      </c>
      <c r="V984" s="2">
        <v>43703</v>
      </c>
    </row>
    <row r="985" spans="1:22" x14ac:dyDescent="0.2">
      <c r="A985" t="str">
        <f>"332.024 SCH"</f>
        <v>332.024 SCH</v>
      </c>
      <c r="B985" t="str">
        <f>"This is the year I put my financial life"</f>
        <v>This is the year I put my financial life</v>
      </c>
      <c r="C985">
        <v>347499</v>
      </c>
      <c r="D985" t="str">
        <f>"Schwartz, John."</f>
        <v>Schwartz, John.</v>
      </c>
      <c r="F985" t="str">
        <f>"xvi, 304 page, 24 cm"</f>
        <v>xvi, 304 page, 24 cm</v>
      </c>
      <c r="G985" s="1">
        <v>18</v>
      </c>
      <c r="H985">
        <v>2018</v>
      </c>
      <c r="I985" t="str">
        <f t="shared" si="37"/>
        <v>9: 300 - 399</v>
      </c>
      <c r="K985" t="str">
        <f>"WB - In"</f>
        <v>WB - In</v>
      </c>
      <c r="L985" s="1">
        <v>32</v>
      </c>
      <c r="M985" t="s">
        <v>928</v>
      </c>
      <c r="O985" t="s">
        <v>28</v>
      </c>
      <c r="P985">
        <v>6</v>
      </c>
      <c r="Q985">
        <v>2</v>
      </c>
      <c r="R985">
        <v>8</v>
      </c>
      <c r="S985" s="2">
        <v>43221</v>
      </c>
      <c r="T985" s="2">
        <v>43411</v>
      </c>
      <c r="U985" s="2">
        <v>43679</v>
      </c>
      <c r="V985" s="2">
        <v>43407</v>
      </c>
    </row>
    <row r="986" spans="1:22" x14ac:dyDescent="0.2">
      <c r="A986" t="str">
        <f>"332.024 SET"</f>
        <v>332.024 SET</v>
      </c>
      <c r="B986" t="str">
        <f>"I will teach you to be rich: no guilt, n"</f>
        <v>I will teach you to be rich: no guilt, n</v>
      </c>
      <c r="C986">
        <v>355988</v>
      </c>
      <c r="D986" t="str">
        <f>"Sethi, Ramit"</f>
        <v>Sethi, Ramit</v>
      </c>
      <c r="F986" t="str">
        <f>"vii, 342 pages, 23 cm, illustrations"</f>
        <v>vii, 342 pages, 23 cm, illustrations</v>
      </c>
      <c r="G986" s="1">
        <v>19</v>
      </c>
      <c r="H986">
        <v>2019</v>
      </c>
      <c r="I986" t="str">
        <f t="shared" si="37"/>
        <v>9: 300 - 399</v>
      </c>
      <c r="K986" t="str">
        <f>"WB - In"</f>
        <v>WB - In</v>
      </c>
      <c r="L986" s="1">
        <v>21</v>
      </c>
      <c r="M986" t="s">
        <v>929</v>
      </c>
      <c r="O986" t="s">
        <v>28</v>
      </c>
      <c r="P986">
        <v>2</v>
      </c>
      <c r="Q986">
        <v>0</v>
      </c>
      <c r="R986">
        <v>2</v>
      </c>
      <c r="S986" s="2">
        <v>43647</v>
      </c>
      <c r="T986" s="2">
        <v>43668</v>
      </c>
      <c r="U986" s="2">
        <v>43806</v>
      </c>
    </row>
    <row r="987" spans="1:22" x14ac:dyDescent="0.2">
      <c r="A987" t="str">
        <f>"332.024 SLE"</f>
        <v>332.024 SLE</v>
      </c>
      <c r="B987" t="str">
        <f>"IRAs, 401(k)s &amp; other retirement plans: "</f>
        <v xml:space="preserve">IRAs, 401(k)s &amp; other retirement plans: </v>
      </c>
      <c r="C987">
        <v>281722</v>
      </c>
      <c r="D987" t="str">
        <f>"Slesnick, Twila"</f>
        <v>Slesnick, Twila</v>
      </c>
      <c r="F987" t="str">
        <f>"372 p., 23 cm., ill., forms"</f>
        <v>372 p., 23 cm., ill., forms</v>
      </c>
      <c r="G987" s="1">
        <v>15</v>
      </c>
      <c r="H987">
        <v>2015</v>
      </c>
      <c r="I987" t="str">
        <f t="shared" si="37"/>
        <v>9: 300 - 399</v>
      </c>
      <c r="K987" t="str">
        <f>"LL - In"</f>
        <v>LL - In</v>
      </c>
      <c r="L987" s="1">
        <v>40</v>
      </c>
      <c r="M987" t="s">
        <v>930</v>
      </c>
      <c r="O987" t="s">
        <v>28</v>
      </c>
      <c r="P987">
        <v>6</v>
      </c>
      <c r="Q987">
        <v>1</v>
      </c>
      <c r="R987">
        <v>15</v>
      </c>
      <c r="S987" s="2">
        <v>42194</v>
      </c>
      <c r="T987" s="2">
        <v>42195</v>
      </c>
      <c r="U987" s="2">
        <v>43288</v>
      </c>
      <c r="V987" s="2">
        <v>43302</v>
      </c>
    </row>
    <row r="988" spans="1:22" x14ac:dyDescent="0.2">
      <c r="A988" t="str">
        <f>"332.024 SLE"</f>
        <v>332.024 SLE</v>
      </c>
      <c r="B988" t="str">
        <f>"IRAs, 401(k)s &amp; other retirement plans: "</f>
        <v xml:space="preserve">IRAs, 401(k)s &amp; other retirement plans: </v>
      </c>
      <c r="C988">
        <v>352980</v>
      </c>
      <c r="D988" t="str">
        <f>"Slesnick, Twila"</f>
        <v>Slesnick, Twila</v>
      </c>
      <c r="F988" t="str">
        <f>"395 pages, 23 cm, forms"</f>
        <v>395 pages, 23 cm, forms</v>
      </c>
      <c r="G988" s="1">
        <v>19</v>
      </c>
      <c r="H988">
        <v>2017</v>
      </c>
      <c r="I988" t="str">
        <f t="shared" si="37"/>
        <v>9: 300 - 399</v>
      </c>
      <c r="K988" t="str">
        <f>"WB - Out"</f>
        <v>WB - Out</v>
      </c>
      <c r="L988" s="1">
        <v>40</v>
      </c>
      <c r="M988" t="s">
        <v>931</v>
      </c>
      <c r="O988" t="s">
        <v>28</v>
      </c>
      <c r="P988">
        <v>1</v>
      </c>
      <c r="Q988">
        <v>0</v>
      </c>
      <c r="R988">
        <v>1</v>
      </c>
      <c r="S988" s="2">
        <v>43515</v>
      </c>
      <c r="T988" s="2">
        <v>43542</v>
      </c>
      <c r="U988" s="2">
        <v>43838</v>
      </c>
    </row>
    <row r="989" spans="1:22" x14ac:dyDescent="0.2">
      <c r="A989" t="str">
        <f>"332.024 SMI"</f>
        <v>332.024 SMI</v>
      </c>
      <c r="B989" t="str">
        <f>"Purposeful retirement: how to bring happ"</f>
        <v>Purposeful retirement: how to bring happ</v>
      </c>
      <c r="C989">
        <v>358340</v>
      </c>
      <c r="D989" t="str">
        <f>"Smith, Hyrum W."</f>
        <v>Smith, Hyrum W.</v>
      </c>
      <c r="F989" t="str">
        <f>"210 pages, 23 cm"</f>
        <v>210 pages, 23 cm</v>
      </c>
      <c r="G989" s="1">
        <v>19</v>
      </c>
      <c r="H989">
        <v>2017</v>
      </c>
      <c r="I989" t="str">
        <f t="shared" si="37"/>
        <v>9: 300 - 399</v>
      </c>
      <c r="K989" t="str">
        <f>"WB - In"</f>
        <v>WB - In</v>
      </c>
      <c r="L989" s="1">
        <v>24</v>
      </c>
      <c r="M989" t="s">
        <v>932</v>
      </c>
      <c r="O989" t="s">
        <v>28</v>
      </c>
      <c r="P989">
        <v>0</v>
      </c>
      <c r="Q989">
        <v>0</v>
      </c>
      <c r="R989">
        <v>0</v>
      </c>
      <c r="S989" s="2">
        <v>43749</v>
      </c>
      <c r="T989" s="2">
        <v>43819</v>
      </c>
    </row>
    <row r="990" spans="1:22" x14ac:dyDescent="0.2">
      <c r="A990" t="str">
        <f>"332.024 SMI"</f>
        <v>332.024 SMI</v>
      </c>
      <c r="B990" t="str">
        <f>"Finding your financial path: a guide for"</f>
        <v>Finding your financial path: a guide for</v>
      </c>
      <c r="C990">
        <v>294265</v>
      </c>
      <c r="D990" t="str">
        <f>"Smith, Stuart Vick"</f>
        <v>Smith, Stuart Vick</v>
      </c>
      <c r="F990" t="str">
        <f>"164 p."</f>
        <v>164 p.</v>
      </c>
      <c r="G990">
        <v>17</v>
      </c>
      <c r="H990">
        <v>2016</v>
      </c>
      <c r="I990" t="str">
        <f t="shared" si="37"/>
        <v>9: 300 - 399</v>
      </c>
      <c r="K990" t="str">
        <f>"WB - In"</f>
        <v>WB - In</v>
      </c>
      <c r="L990" s="1">
        <v>20</v>
      </c>
      <c r="O990" t="s">
        <v>28</v>
      </c>
      <c r="P990">
        <v>5</v>
      </c>
      <c r="Q990">
        <v>0</v>
      </c>
      <c r="R990">
        <v>5</v>
      </c>
      <c r="S990" s="2">
        <v>42817</v>
      </c>
      <c r="T990" s="2">
        <v>42829</v>
      </c>
      <c r="U990" s="2">
        <v>43724</v>
      </c>
    </row>
    <row r="991" spans="1:22" x14ac:dyDescent="0.2">
      <c r="A991" t="str">
        <f>"332.024 SOF"</f>
        <v>332.024 SOF</v>
      </c>
      <c r="B991" t="str">
        <f>"wealthy gardener: life lessons on prospe"</f>
        <v>wealthy gardener: life lessons on prospe</v>
      </c>
      <c r="C991">
        <v>355611</v>
      </c>
      <c r="D991" t="str">
        <f>"Soforic, John S."</f>
        <v>Soforic, John S.</v>
      </c>
      <c r="F991" t="str">
        <f>"407 p."</f>
        <v>407 p.</v>
      </c>
      <c r="G991" s="1">
        <v>19</v>
      </c>
      <c r="H991">
        <v>2018</v>
      </c>
      <c r="I991" t="str">
        <f t="shared" si="37"/>
        <v>9: 300 - 399</v>
      </c>
      <c r="K991" t="str">
        <f>"WB - In"</f>
        <v>WB - In</v>
      </c>
      <c r="L991" s="1">
        <v>30</v>
      </c>
      <c r="M991" t="s">
        <v>933</v>
      </c>
      <c r="O991" t="s">
        <v>28</v>
      </c>
      <c r="P991">
        <v>0</v>
      </c>
      <c r="Q991">
        <v>1</v>
      </c>
      <c r="R991">
        <v>1</v>
      </c>
      <c r="S991" s="2">
        <v>43633</v>
      </c>
      <c r="T991" s="2">
        <v>43640</v>
      </c>
      <c r="V991" s="2">
        <v>43661</v>
      </c>
    </row>
    <row r="992" spans="1:22" x14ac:dyDescent="0.2">
      <c r="A992" t="str">
        <f>"332.024 SOL"</f>
        <v>332.024 SOL</v>
      </c>
      <c r="B992" t="str">
        <f>"smartest money book you'll ever read: ev"</f>
        <v>smartest money book you'll ever read: ev</v>
      </c>
      <c r="C992">
        <v>304885</v>
      </c>
      <c r="D992" t="str">
        <f>"Solin, Daniel R"</f>
        <v>Solin, Daniel R</v>
      </c>
      <c r="F992" t="str">
        <f>"290 p."</f>
        <v>290 p.</v>
      </c>
      <c r="G992" s="1">
        <v>11</v>
      </c>
      <c r="H992">
        <v>2011</v>
      </c>
      <c r="I992" t="str">
        <f t="shared" si="37"/>
        <v>9: 300 - 399</v>
      </c>
      <c r="K992" t="str">
        <f>"WB - In"</f>
        <v>WB - In</v>
      </c>
      <c r="L992" s="1">
        <v>30</v>
      </c>
      <c r="M992" t="s">
        <v>934</v>
      </c>
      <c r="O992" t="s">
        <v>28</v>
      </c>
      <c r="P992">
        <v>5</v>
      </c>
      <c r="Q992">
        <v>0</v>
      </c>
      <c r="R992">
        <v>42</v>
      </c>
      <c r="S992" s="2">
        <v>40906</v>
      </c>
      <c r="T992" s="2">
        <v>41185</v>
      </c>
      <c r="U992" s="2">
        <v>43738</v>
      </c>
    </row>
    <row r="993" spans="1:22" x14ac:dyDescent="0.2">
      <c r="A993" t="str">
        <f>"332.024 SPO"</f>
        <v>332.024 SPO</v>
      </c>
      <c r="B993" t="str">
        <f>"No one ever told us that: money and life"</f>
        <v>No one ever told us that: money and life</v>
      </c>
      <c r="C993">
        <v>307102</v>
      </c>
      <c r="D993" t="str">
        <f>"Spooner, John D."</f>
        <v>Spooner, John D.</v>
      </c>
      <c r="F993" t="str">
        <f>"231 p."</f>
        <v>231 p.</v>
      </c>
      <c r="G993" s="1">
        <v>12</v>
      </c>
      <c r="H993">
        <v>2012</v>
      </c>
      <c r="I993" t="str">
        <f t="shared" si="37"/>
        <v>9: 300 - 399</v>
      </c>
      <c r="K993" t="str">
        <f>"LL - In"</f>
        <v>LL - In</v>
      </c>
      <c r="L993" s="1">
        <v>31</v>
      </c>
      <c r="M993" t="s">
        <v>935</v>
      </c>
      <c r="O993" t="s">
        <v>28</v>
      </c>
      <c r="P993">
        <v>5</v>
      </c>
      <c r="Q993">
        <v>1</v>
      </c>
      <c r="R993">
        <v>28</v>
      </c>
      <c r="S993" s="2">
        <v>41024</v>
      </c>
      <c r="T993" s="2">
        <v>41332</v>
      </c>
      <c r="U993" s="2">
        <v>43626</v>
      </c>
      <c r="V993" s="2">
        <v>43246</v>
      </c>
    </row>
    <row r="994" spans="1:22" x14ac:dyDescent="0.2">
      <c r="A994" t="str">
        <f>"332.024 STA"</f>
        <v>332.024 STA</v>
      </c>
      <c r="B994" t="str">
        <f>"millionaire next door: the surprising se"</f>
        <v>millionaire next door: the surprising se</v>
      </c>
      <c r="C994">
        <v>342761</v>
      </c>
      <c r="D994" t="str">
        <f>"Stanley, Thomas J."</f>
        <v>Stanley, Thomas J.</v>
      </c>
      <c r="F994" t="str">
        <f>"xiv, 258 pages, 24 cm"</f>
        <v>xiv, 258 pages, 24 cm</v>
      </c>
      <c r="G994" s="1">
        <v>17</v>
      </c>
      <c r="H994">
        <v>2016</v>
      </c>
      <c r="I994" t="str">
        <f t="shared" si="37"/>
        <v>9: 300 - 399</v>
      </c>
      <c r="K994" t="str">
        <f>"WB - In"</f>
        <v>WB - In</v>
      </c>
      <c r="L994" s="1">
        <v>28</v>
      </c>
      <c r="M994" t="s">
        <v>936</v>
      </c>
      <c r="O994" t="s">
        <v>28</v>
      </c>
      <c r="P994">
        <v>8</v>
      </c>
      <c r="Q994">
        <v>2</v>
      </c>
      <c r="R994">
        <v>10</v>
      </c>
      <c r="S994" s="2">
        <v>42947</v>
      </c>
      <c r="T994" s="2">
        <v>42961</v>
      </c>
      <c r="U994" s="2">
        <v>43806</v>
      </c>
      <c r="V994" s="2">
        <v>43468</v>
      </c>
    </row>
    <row r="995" spans="1:22" x14ac:dyDescent="0.2">
      <c r="A995" t="str">
        <f>"332.024 STO"</f>
        <v>332.024 STO</v>
      </c>
      <c r="B995" t="str">
        <f>"millionaire map: the ultimate guide to c"</f>
        <v>millionaire map: the ultimate guide to c</v>
      </c>
      <c r="C995">
        <v>318252</v>
      </c>
      <c r="D995" t="str">
        <f>"Stovall, Jim"</f>
        <v>Stovall, Jim</v>
      </c>
      <c r="F995" t="str">
        <f>"157 p., 23 cm"</f>
        <v>157 p., 23 cm</v>
      </c>
      <c r="G995" s="1">
        <v>13</v>
      </c>
      <c r="H995">
        <v>2013</v>
      </c>
      <c r="I995" t="str">
        <f t="shared" si="37"/>
        <v>9: 300 - 399</v>
      </c>
      <c r="K995" t="str">
        <f>"WB - In"</f>
        <v>WB - In</v>
      </c>
      <c r="L995" s="1">
        <v>25</v>
      </c>
      <c r="M995" t="s">
        <v>937</v>
      </c>
      <c r="O995" t="s">
        <v>28</v>
      </c>
      <c r="P995">
        <v>4</v>
      </c>
      <c r="Q995">
        <v>1</v>
      </c>
      <c r="R995">
        <v>15</v>
      </c>
      <c r="S995" s="2">
        <v>41610</v>
      </c>
      <c r="T995" s="2">
        <v>41787</v>
      </c>
      <c r="U995" s="2">
        <v>43442</v>
      </c>
      <c r="V995" s="2">
        <v>43817</v>
      </c>
    </row>
    <row r="996" spans="1:22" x14ac:dyDescent="0.2">
      <c r="A996" t="str">
        <f>"332.024 SUL"</f>
        <v>332.024 SUL</v>
      </c>
      <c r="B996" t="str">
        <f>"thin green line: the money secrets of th"</f>
        <v>thin green line: the money secrets of th</v>
      </c>
      <c r="C996">
        <v>328508</v>
      </c>
      <c r="D996" t="str">
        <f>"Sullivan, Paul,"</f>
        <v>Sullivan, Paul,</v>
      </c>
      <c r="F996" t="str">
        <f>"viii, 243 pages, 24 cm"</f>
        <v>viii, 243 pages, 24 cm</v>
      </c>
      <c r="G996" s="1">
        <v>15</v>
      </c>
      <c r="H996">
        <v>2015</v>
      </c>
      <c r="I996" t="str">
        <f t="shared" si="37"/>
        <v>9: 300 - 399</v>
      </c>
      <c r="K996" t="str">
        <f>"WB - In"</f>
        <v>WB - In</v>
      </c>
      <c r="L996" s="1">
        <v>32</v>
      </c>
      <c r="M996" t="s">
        <v>938</v>
      </c>
      <c r="O996" t="s">
        <v>28</v>
      </c>
      <c r="P996">
        <v>8</v>
      </c>
      <c r="Q996">
        <v>1</v>
      </c>
      <c r="R996">
        <v>16</v>
      </c>
      <c r="S996" s="2">
        <v>42192</v>
      </c>
      <c r="T996" s="2">
        <v>42374</v>
      </c>
      <c r="U996" s="2">
        <v>43442</v>
      </c>
      <c r="V996" s="2">
        <v>43140</v>
      </c>
    </row>
    <row r="997" spans="1:22" x14ac:dyDescent="0.2">
      <c r="A997" t="str">
        <f>"332.024 TAY"</f>
        <v>332.024 TAY</v>
      </c>
      <c r="B997" t="str">
        <f>"couple's retirement puzzle: 10 must-have"</f>
        <v>couple's retirement puzzle: 10 must-have</v>
      </c>
      <c r="C997">
        <v>355097</v>
      </c>
      <c r="D997" t="str">
        <f>"Taylor, Roberta K.,"</f>
        <v>Taylor, Roberta K.,</v>
      </c>
      <c r="F997" t="str">
        <f>"xlv, 322 pages, 22 cm"</f>
        <v>xlv, 322 pages, 22 cm</v>
      </c>
      <c r="G997" s="1">
        <v>19</v>
      </c>
      <c r="H997">
        <v>2014</v>
      </c>
      <c r="I997" t="str">
        <f t="shared" si="37"/>
        <v>9: 300 - 399</v>
      </c>
      <c r="K997" t="str">
        <f>"LL - In"</f>
        <v>LL - In</v>
      </c>
      <c r="L997" s="1">
        <v>25</v>
      </c>
      <c r="M997" t="s">
        <v>939</v>
      </c>
      <c r="O997" t="s">
        <v>28</v>
      </c>
      <c r="P997">
        <v>2</v>
      </c>
      <c r="Q997">
        <v>0</v>
      </c>
      <c r="R997">
        <v>2</v>
      </c>
      <c r="S997" s="2">
        <v>43613</v>
      </c>
      <c r="T997" s="2">
        <v>43619</v>
      </c>
      <c r="U997" s="2">
        <v>43836</v>
      </c>
    </row>
    <row r="998" spans="1:22" x14ac:dyDescent="0.2">
      <c r="A998" t="str">
        <f>"332.024 TES"</f>
        <v>332.024 TES</v>
      </c>
      <c r="B998" t="str">
        <f>"art of money: a life-changing guide to f"</f>
        <v>art of money: a life-changing guide to f</v>
      </c>
      <c r="C998">
        <v>355743</v>
      </c>
      <c r="D998" t="str">
        <f>"Tessler, Bari"</f>
        <v>Tessler, Bari</v>
      </c>
      <c r="F998" t="str">
        <f>"292 pages, 24 cm"</f>
        <v>292 pages, 24 cm</v>
      </c>
      <c r="G998" s="1">
        <v>19</v>
      </c>
      <c r="H998">
        <v>2016</v>
      </c>
      <c r="I998" t="str">
        <f t="shared" si="37"/>
        <v>9: 300 - 399</v>
      </c>
      <c r="K998" t="str">
        <f>"WB - In"</f>
        <v>WB - In</v>
      </c>
      <c r="L998" s="1">
        <v>22</v>
      </c>
      <c r="M998" t="s">
        <v>940</v>
      </c>
      <c r="O998" t="s">
        <v>28</v>
      </c>
      <c r="P998">
        <v>2</v>
      </c>
      <c r="Q998">
        <v>0</v>
      </c>
      <c r="R998">
        <v>2</v>
      </c>
      <c r="S998" s="2">
        <v>43640</v>
      </c>
      <c r="T998" s="2">
        <v>43657</v>
      </c>
      <c r="U998" s="2">
        <v>43818</v>
      </c>
    </row>
    <row r="999" spans="1:22" x14ac:dyDescent="0.2">
      <c r="A999" t="str">
        <f>"332.024 TOB"</f>
        <v>332.024 TOB</v>
      </c>
      <c r="B999" t="str">
        <f>"only investment guide you'll ever need"</f>
        <v>only investment guide you'll ever need</v>
      </c>
      <c r="C999">
        <v>335002</v>
      </c>
      <c r="D999" t="str">
        <f>"Tobias, Andrew P."</f>
        <v>Tobias, Andrew P.</v>
      </c>
      <c r="F999" t="str">
        <f>"xxi, 296 pages, 21 cm, illustrations"</f>
        <v>xxi, 296 pages, 21 cm, illustrations</v>
      </c>
      <c r="G999" s="1">
        <v>16</v>
      </c>
      <c r="H999">
        <v>2016</v>
      </c>
      <c r="I999" t="str">
        <f t="shared" si="37"/>
        <v>9: 300 - 399</v>
      </c>
      <c r="K999" t="str">
        <f>"WB - Out"</f>
        <v>WB - Out</v>
      </c>
      <c r="L999" s="1">
        <v>21</v>
      </c>
      <c r="M999" t="s">
        <v>941</v>
      </c>
      <c r="O999" t="s">
        <v>28</v>
      </c>
      <c r="P999">
        <v>9</v>
      </c>
      <c r="Q999">
        <v>5</v>
      </c>
      <c r="R999">
        <v>19</v>
      </c>
      <c r="S999" s="2">
        <v>42500</v>
      </c>
      <c r="T999" s="2">
        <v>42514</v>
      </c>
      <c r="U999" s="2">
        <v>43838</v>
      </c>
      <c r="V999" s="2">
        <v>43374</v>
      </c>
    </row>
    <row r="1000" spans="1:22" x14ac:dyDescent="0.2">
      <c r="A1000" t="str">
        <f>"332.024 TOB"</f>
        <v>332.024 TOB</v>
      </c>
      <c r="B1000" t="str">
        <f>"only investment guide you'll ever need"</f>
        <v>only investment guide you'll ever need</v>
      </c>
      <c r="C1000">
        <v>339227</v>
      </c>
      <c r="D1000" t="str">
        <f>"Tobias, Andrew P."</f>
        <v>Tobias, Andrew P.</v>
      </c>
      <c r="F1000" t="str">
        <f>"xxi, 296 pages, 21 cm, illustrations"</f>
        <v>xxi, 296 pages, 21 cm, illustrations</v>
      </c>
      <c r="G1000" s="1">
        <v>17</v>
      </c>
      <c r="H1000">
        <v>2016</v>
      </c>
      <c r="I1000" t="str">
        <f t="shared" si="37"/>
        <v>9: 300 - 399</v>
      </c>
      <c r="K1000" t="str">
        <f>"WB - Problem"</f>
        <v>WB - Problem</v>
      </c>
      <c r="L1000" s="1">
        <v>21</v>
      </c>
      <c r="M1000" t="s">
        <v>941</v>
      </c>
      <c r="O1000" t="s">
        <v>28</v>
      </c>
      <c r="P1000">
        <v>9</v>
      </c>
      <c r="Q1000">
        <v>1</v>
      </c>
      <c r="R1000">
        <v>11</v>
      </c>
      <c r="S1000" s="2">
        <v>42755</v>
      </c>
      <c r="T1000" s="2">
        <v>42761</v>
      </c>
      <c r="U1000" s="2">
        <v>43600</v>
      </c>
      <c r="V1000" s="2">
        <v>42885</v>
      </c>
    </row>
    <row r="1001" spans="1:22" x14ac:dyDescent="0.2">
      <c r="A1001" t="str">
        <f>"332.024 TWI"</f>
        <v>332.024 TWI</v>
      </c>
      <c r="B1001" t="str">
        <f>"soul of money: reclaiming the wealth of "</f>
        <v xml:space="preserve">soul of money: reclaiming the wealth of </v>
      </c>
      <c r="C1001">
        <v>341761</v>
      </c>
      <c r="D1001" t="str">
        <f>"Twist, Lynne"</f>
        <v>Twist, Lynne</v>
      </c>
      <c r="F1001" t="str">
        <f>"xxxi, 299 pages, 22 cm"</f>
        <v>xxxi, 299 pages, 22 cm</v>
      </c>
      <c r="G1001" s="1">
        <v>17</v>
      </c>
      <c r="H1001">
        <v>2017</v>
      </c>
      <c r="I1001" t="str">
        <f t="shared" si="37"/>
        <v>9: 300 - 399</v>
      </c>
      <c r="K1001" t="str">
        <f>"LL - In"</f>
        <v>LL - In</v>
      </c>
      <c r="L1001" s="1">
        <v>24</v>
      </c>
      <c r="M1001" t="s">
        <v>942</v>
      </c>
      <c r="O1001" t="s">
        <v>28</v>
      </c>
      <c r="P1001">
        <v>13</v>
      </c>
      <c r="Q1001">
        <v>0</v>
      </c>
      <c r="R1001">
        <v>13</v>
      </c>
      <c r="S1001" s="2">
        <v>42891</v>
      </c>
      <c r="T1001" s="2">
        <v>43165</v>
      </c>
      <c r="U1001" s="2">
        <v>43790</v>
      </c>
    </row>
    <row r="1002" spans="1:22" x14ac:dyDescent="0.2">
      <c r="A1002" t="str">
        <f>"332.024 TYS"</f>
        <v>332.024 TYS</v>
      </c>
      <c r="B1002" t="str">
        <f>"Investing for dummies"</f>
        <v>Investing for dummies</v>
      </c>
      <c r="C1002">
        <v>330270</v>
      </c>
      <c r="D1002" t="str">
        <f>"Tyson, Eric"</f>
        <v>Tyson, Eric</v>
      </c>
      <c r="E1002" t="str">
        <f>"For Dummies series (0)"</f>
        <v>For Dummies series (0)</v>
      </c>
      <c r="F1002" t="str">
        <f>"xviii, 404 p., 24 cm, ill."</f>
        <v>xviii, 404 p., 24 cm, ill.</v>
      </c>
      <c r="G1002" s="1">
        <v>15</v>
      </c>
      <c r="H1002">
        <v>2014</v>
      </c>
      <c r="I1002" t="str">
        <f t="shared" si="37"/>
        <v>9: 300 - 399</v>
      </c>
      <c r="K1002" t="str">
        <f>"WB - In"</f>
        <v>WB - In</v>
      </c>
      <c r="L1002" s="1">
        <v>28</v>
      </c>
      <c r="M1002" t="s">
        <v>943</v>
      </c>
      <c r="O1002" t="s">
        <v>28</v>
      </c>
      <c r="P1002">
        <v>17</v>
      </c>
      <c r="Q1002">
        <v>1</v>
      </c>
      <c r="R1002">
        <v>32</v>
      </c>
      <c r="S1002" s="2">
        <v>42279</v>
      </c>
      <c r="T1002" s="2">
        <v>42290</v>
      </c>
      <c r="U1002" s="2">
        <v>43771</v>
      </c>
      <c r="V1002" s="2">
        <v>43390</v>
      </c>
    </row>
    <row r="1003" spans="1:22" x14ac:dyDescent="0.2">
      <c r="A1003" t="str">
        <f>"332.024 TYS"</f>
        <v>332.024 TYS</v>
      </c>
      <c r="B1003" t="str">
        <f>"Personal finance after 50 for dummies"</f>
        <v>Personal finance after 50 for dummies</v>
      </c>
      <c r="C1003">
        <v>331997</v>
      </c>
      <c r="D1003" t="str">
        <f>"Tyson, Eric"</f>
        <v>Tyson, Eric</v>
      </c>
      <c r="E1003" t="str">
        <f>"For Dummies series"</f>
        <v>For Dummies series</v>
      </c>
      <c r="F1003" t="str">
        <f>"xix, 447 pages, 24 cm, illustrations"</f>
        <v>xix, 447 pages, 24 cm, illustrations</v>
      </c>
      <c r="G1003" s="1">
        <v>15</v>
      </c>
      <c r="H1003">
        <v>2016</v>
      </c>
      <c r="I1003" t="str">
        <f t="shared" si="37"/>
        <v>9: 300 - 399</v>
      </c>
      <c r="K1003" t="str">
        <f>"WB - Out"</f>
        <v>WB - Out</v>
      </c>
      <c r="L1003" s="1">
        <v>28</v>
      </c>
      <c r="M1003" t="s">
        <v>944</v>
      </c>
      <c r="O1003" t="s">
        <v>28</v>
      </c>
      <c r="P1003">
        <v>12</v>
      </c>
      <c r="Q1003">
        <v>2</v>
      </c>
      <c r="R1003">
        <v>20</v>
      </c>
      <c r="S1003" s="2">
        <v>42359</v>
      </c>
      <c r="T1003" s="2">
        <v>42633</v>
      </c>
      <c r="U1003" s="2">
        <v>43856</v>
      </c>
      <c r="V1003" s="2">
        <v>43668</v>
      </c>
    </row>
    <row r="1004" spans="1:22" x14ac:dyDescent="0.2">
      <c r="A1004" t="str">
        <f>"332.024 TYS"</f>
        <v>332.024 TYS</v>
      </c>
      <c r="B1004" t="str">
        <f>"Personal finance for dummies"</f>
        <v>Personal finance for dummies</v>
      </c>
      <c r="C1004">
        <v>357912</v>
      </c>
      <c r="D1004" t="str">
        <f>"Tyson, Eric"</f>
        <v>Tyson, Eric</v>
      </c>
      <c r="E1004" t="str">
        <f>"For Dummies series (0)"</f>
        <v>For Dummies series (0)</v>
      </c>
      <c r="F1004" t="str">
        <f>"xix, 468 pages, 24 cm, illustrations"</f>
        <v>xix, 468 pages, 24 cm, illustrations</v>
      </c>
      <c r="G1004" s="1">
        <v>19</v>
      </c>
      <c r="H1004">
        <v>2019</v>
      </c>
      <c r="I1004" t="str">
        <f t="shared" si="37"/>
        <v>9: 300 - 399</v>
      </c>
      <c r="K1004" t="str">
        <f>"WB - Out"</f>
        <v>WB - Out</v>
      </c>
      <c r="L1004" s="1">
        <v>30</v>
      </c>
      <c r="M1004" t="s">
        <v>945</v>
      </c>
      <c r="O1004" t="s">
        <v>28</v>
      </c>
      <c r="P1004">
        <v>2</v>
      </c>
      <c r="Q1004">
        <v>0</v>
      </c>
      <c r="R1004">
        <v>2</v>
      </c>
      <c r="S1004" s="2">
        <v>43733</v>
      </c>
      <c r="T1004" s="2">
        <v>43766</v>
      </c>
      <c r="U1004" s="2">
        <v>43829</v>
      </c>
    </row>
    <row r="1005" spans="1:22" x14ac:dyDescent="0.2">
      <c r="A1005" t="str">
        <f>"332.024 VET"</f>
        <v>332.024 VET</v>
      </c>
      <c r="B1005" t="str">
        <f>"essential retirement guide: a contrarian"</f>
        <v>essential retirement guide: a contrarian</v>
      </c>
      <c r="C1005">
        <v>334306</v>
      </c>
      <c r="D1005" t="str">
        <f>"Vettese, Fred"</f>
        <v>Vettese, Fred</v>
      </c>
      <c r="F1005" t="str">
        <f>"xviii, 270 pages, 24 cm, illustrations, charts"</f>
        <v>xviii, 270 pages, 24 cm, illustrations, charts</v>
      </c>
      <c r="G1005" s="1">
        <v>16</v>
      </c>
      <c r="H1005">
        <v>2016</v>
      </c>
      <c r="I1005" t="str">
        <f t="shared" si="37"/>
        <v>9: 300 - 399</v>
      </c>
      <c r="K1005" t="str">
        <f>"LL - In"</f>
        <v>LL - In</v>
      </c>
      <c r="L1005" s="1">
        <v>32</v>
      </c>
      <c r="M1005" t="s">
        <v>946</v>
      </c>
      <c r="O1005" t="s">
        <v>28</v>
      </c>
      <c r="P1005">
        <v>2</v>
      </c>
      <c r="Q1005">
        <v>0</v>
      </c>
      <c r="R1005">
        <v>8</v>
      </c>
      <c r="S1005" s="2">
        <v>42465</v>
      </c>
      <c r="T1005" s="2">
        <v>43733</v>
      </c>
      <c r="U1005" s="2">
        <v>43746</v>
      </c>
      <c r="V1005" s="2">
        <v>42502</v>
      </c>
    </row>
    <row r="1006" spans="1:22" x14ac:dyDescent="0.2">
      <c r="A1006" t="str">
        <f>"332.024 VON"</f>
        <v>332.024 VON</v>
      </c>
      <c r="B1006" t="str">
        <f>"Financially fearless: the LearnVest guid"</f>
        <v>Financially fearless: the LearnVest guid</v>
      </c>
      <c r="C1006">
        <v>318808</v>
      </c>
      <c r="D1006" t="str">
        <f>"Von Tobel, Alexa."</f>
        <v>Von Tobel, Alexa.</v>
      </c>
      <c r="F1006" t="str">
        <f>"324 p."</f>
        <v>324 p.</v>
      </c>
      <c r="G1006" s="1">
        <v>13</v>
      </c>
      <c r="H1006">
        <v>2013</v>
      </c>
      <c r="I1006" t="str">
        <f t="shared" si="37"/>
        <v>9: 300 - 399</v>
      </c>
      <c r="K1006" t="str">
        <f>"WB - In"</f>
        <v>WB - In</v>
      </c>
      <c r="L1006" s="1">
        <v>25</v>
      </c>
      <c r="M1006" t="s">
        <v>947</v>
      </c>
      <c r="O1006" t="s">
        <v>28</v>
      </c>
      <c r="P1006">
        <v>1</v>
      </c>
      <c r="Q1006">
        <v>0</v>
      </c>
      <c r="R1006">
        <v>7</v>
      </c>
      <c r="S1006" s="2">
        <v>41648</v>
      </c>
      <c r="T1006" s="2">
        <v>41716</v>
      </c>
      <c r="U1006" s="2">
        <v>43140</v>
      </c>
    </row>
    <row r="1007" spans="1:22" x14ac:dyDescent="0.2">
      <c r="A1007" t="str">
        <f>"332.024 WHI"</f>
        <v>332.024 WHI</v>
      </c>
      <c r="B1007" t="str">
        <f>"55, underemployed, and faking normal: yo"</f>
        <v>55, underemployed, and faking normal: yo</v>
      </c>
      <c r="C1007">
        <v>352238</v>
      </c>
      <c r="D1007" t="str">
        <f>"White, Elizabeth"</f>
        <v>White, Elizabeth</v>
      </c>
      <c r="F1007" t="str">
        <f>"263 pages, 22 cm"</f>
        <v>263 pages, 22 cm</v>
      </c>
      <c r="G1007" s="1">
        <v>19</v>
      </c>
      <c r="H1007">
        <v>2019</v>
      </c>
      <c r="I1007" t="str">
        <f t="shared" si="37"/>
        <v>9: 300 - 399</v>
      </c>
      <c r="K1007" t="str">
        <f>"LL - In"</f>
        <v>LL - In</v>
      </c>
      <c r="L1007" s="1">
        <v>31</v>
      </c>
      <c r="M1007" t="s">
        <v>948</v>
      </c>
      <c r="O1007" t="s">
        <v>28</v>
      </c>
      <c r="P1007">
        <v>7</v>
      </c>
      <c r="Q1007">
        <v>0</v>
      </c>
      <c r="R1007">
        <v>7</v>
      </c>
      <c r="S1007" s="2">
        <v>43479</v>
      </c>
      <c r="T1007" s="2">
        <v>43649</v>
      </c>
      <c r="U1007" s="2">
        <v>43687</v>
      </c>
    </row>
    <row r="1008" spans="1:22" x14ac:dyDescent="0.2">
      <c r="A1008" t="str">
        <f>"332.024 WIE"</f>
        <v>332.024 WIE</v>
      </c>
      <c r="B1008" t="str">
        <f>"Aftershock: protect yourself and profit "</f>
        <v xml:space="preserve">Aftershock: protect yourself and profit </v>
      </c>
      <c r="C1008">
        <v>273454</v>
      </c>
      <c r="D1008" t="str">
        <f>"Wiedemer, David."</f>
        <v>Wiedemer, David.</v>
      </c>
      <c r="F1008" t="str">
        <f>"368 p."</f>
        <v>368 p.</v>
      </c>
      <c r="G1008" s="1">
        <v>14</v>
      </c>
      <c r="H1008">
        <v>2014</v>
      </c>
      <c r="I1008" t="str">
        <f t="shared" si="37"/>
        <v>9: 300 - 399</v>
      </c>
      <c r="K1008" t="str">
        <f>"LL - In"</f>
        <v>LL - In</v>
      </c>
      <c r="L1008" s="1">
        <v>32</v>
      </c>
      <c r="M1008" t="s">
        <v>949</v>
      </c>
      <c r="O1008" t="s">
        <v>28</v>
      </c>
      <c r="P1008">
        <v>1</v>
      </c>
      <c r="Q1008">
        <v>0</v>
      </c>
      <c r="R1008">
        <v>20</v>
      </c>
      <c r="S1008" s="2">
        <v>41764</v>
      </c>
      <c r="T1008" s="2">
        <v>42072</v>
      </c>
      <c r="U1008" s="2">
        <v>43281</v>
      </c>
    </row>
    <row r="1009" spans="1:22" x14ac:dyDescent="0.2">
      <c r="A1009" t="str">
        <f>"332.024 WIN"</f>
        <v>332.024 WIN</v>
      </c>
      <c r="B1009" t="str">
        <f>"You're broke because you want to be: how"</f>
        <v>You're broke because you want to be: how</v>
      </c>
      <c r="C1009">
        <v>325645</v>
      </c>
      <c r="D1009" t="str">
        <f>"Winget, Larry."</f>
        <v>Winget, Larry.</v>
      </c>
      <c r="F1009" t="str">
        <f>"204 p., 21 cm"</f>
        <v>204 p., 21 cm</v>
      </c>
      <c r="G1009" s="1">
        <v>15</v>
      </c>
      <c r="H1009">
        <v>2009</v>
      </c>
      <c r="I1009" t="str">
        <f t="shared" si="37"/>
        <v>9: 300 - 399</v>
      </c>
      <c r="K1009" t="str">
        <f>"LL - In"</f>
        <v>LL - In</v>
      </c>
      <c r="L1009" s="1">
        <v>20</v>
      </c>
      <c r="M1009" t="s">
        <v>950</v>
      </c>
      <c r="O1009" t="s">
        <v>28</v>
      </c>
      <c r="P1009">
        <v>2</v>
      </c>
      <c r="Q1009">
        <v>0</v>
      </c>
      <c r="R1009">
        <v>5</v>
      </c>
      <c r="S1009" s="2">
        <v>42024</v>
      </c>
      <c r="T1009" s="2">
        <v>42033</v>
      </c>
      <c r="U1009" s="2">
        <v>43482</v>
      </c>
    </row>
    <row r="1010" spans="1:22" x14ac:dyDescent="0.2">
      <c r="A1010" t="str">
        <f>"332.024 YEL"</f>
        <v>332.024 YEL</v>
      </c>
      <c r="B1010" t="str">
        <f>"bank on yourself revolution: fire your b"</f>
        <v>bank on yourself revolution: fire your b</v>
      </c>
      <c r="C1010">
        <v>326352</v>
      </c>
      <c r="D1010" t="str">
        <f>"Yellen, Pamela G."</f>
        <v>Yellen, Pamela G.</v>
      </c>
      <c r="F1010" t="str">
        <f>"xix, 279 pages, 24 cm, illustrations"</f>
        <v>xix, 279 pages, 24 cm, illustrations</v>
      </c>
      <c r="G1010" s="1">
        <v>15</v>
      </c>
      <c r="H1010">
        <v>2014</v>
      </c>
      <c r="I1010" t="str">
        <f t="shared" si="37"/>
        <v>9: 300 - 399</v>
      </c>
      <c r="K1010" t="str">
        <f>"WB - In"</f>
        <v>WB - In</v>
      </c>
      <c r="L1010" s="1">
        <v>31</v>
      </c>
      <c r="M1010" t="s">
        <v>951</v>
      </c>
      <c r="O1010" t="s">
        <v>28</v>
      </c>
      <c r="P1010">
        <v>3</v>
      </c>
      <c r="Q1010">
        <v>0</v>
      </c>
      <c r="R1010">
        <v>14</v>
      </c>
      <c r="S1010" s="2">
        <v>42072</v>
      </c>
      <c r="T1010" s="2">
        <v>42284</v>
      </c>
      <c r="U1010" s="2">
        <v>43600</v>
      </c>
      <c r="V1010" s="2">
        <v>42284</v>
      </c>
    </row>
    <row r="1011" spans="1:22" x14ac:dyDescent="0.2">
      <c r="A1011" t="str">
        <f>"332.024 ZIT"</f>
        <v>332.024 ZIT</v>
      </c>
      <c r="B1011" t="str">
        <f>"wealth elite: a groundbreaking study of "</f>
        <v xml:space="preserve">wealth elite: a groundbreaking study of </v>
      </c>
      <c r="C1011">
        <v>408282</v>
      </c>
      <c r="D1011" t="str">
        <f>"Zitelmann, Rainer"</f>
        <v>Zitelmann, Rainer</v>
      </c>
      <c r="F1011" t="str">
        <f>"396 p."</f>
        <v>396 p.</v>
      </c>
      <c r="G1011" s="1">
        <v>19</v>
      </c>
      <c r="H1011">
        <v>2019</v>
      </c>
      <c r="I1011" t="str">
        <f t="shared" si="37"/>
        <v>9: 300 - 399</v>
      </c>
      <c r="K1011" t="str">
        <f>"LL - Out"</f>
        <v>LL - Out</v>
      </c>
      <c r="L1011" s="1">
        <v>30</v>
      </c>
      <c r="M1011" t="s">
        <v>952</v>
      </c>
      <c r="O1011" t="s">
        <v>28</v>
      </c>
      <c r="P1011">
        <v>5</v>
      </c>
      <c r="Q1011">
        <v>0</v>
      </c>
      <c r="R1011">
        <v>5</v>
      </c>
      <c r="S1011" s="2">
        <v>43766</v>
      </c>
      <c r="T1011" s="2">
        <v>43769</v>
      </c>
      <c r="U1011" s="2">
        <v>43830</v>
      </c>
    </row>
    <row r="1012" spans="1:22" x14ac:dyDescent="0.2">
      <c r="A1012" t="str">
        <f>"332.1 BOO"</f>
        <v>332.1 BOO</v>
      </c>
      <c r="B1012" t="str">
        <f>"Fed up: an insider's take on why the Fed"</f>
        <v>Fed up: an insider's take on why the Fed</v>
      </c>
      <c r="C1012">
        <v>340430</v>
      </c>
      <c r="D1012" t="str">
        <f>"Booth, Danielle DiMartino"</f>
        <v>Booth, Danielle DiMartino</v>
      </c>
      <c r="F1012" t="str">
        <f>"viii, 326 pages, 24 cm"</f>
        <v>viii, 326 pages, 24 cm</v>
      </c>
      <c r="G1012" s="1">
        <v>17</v>
      </c>
      <c r="H1012">
        <v>2017</v>
      </c>
      <c r="I1012" t="str">
        <f t="shared" si="37"/>
        <v>9: 300 - 399</v>
      </c>
      <c r="K1012" t="str">
        <f>"WB - Out"</f>
        <v>WB - Out</v>
      </c>
      <c r="L1012" s="1">
        <v>33</v>
      </c>
      <c r="M1012" t="s">
        <v>953</v>
      </c>
      <c r="O1012" t="s">
        <v>28</v>
      </c>
      <c r="P1012">
        <v>10</v>
      </c>
      <c r="Q1012">
        <v>0</v>
      </c>
      <c r="R1012">
        <v>10</v>
      </c>
      <c r="S1012" s="2">
        <v>42821</v>
      </c>
      <c r="T1012" s="2">
        <v>42998</v>
      </c>
      <c r="U1012" s="2">
        <v>43828</v>
      </c>
    </row>
    <row r="1013" spans="1:22" x14ac:dyDescent="0.2">
      <c r="A1013" t="str">
        <f>"332.1 CON"</f>
        <v>332.1 CON</v>
      </c>
      <c r="B1013" t="str">
        <f>"power and independence of the Federal Re"</f>
        <v>power and independence of the Federal Re</v>
      </c>
      <c r="C1013">
        <v>335006</v>
      </c>
      <c r="D1013" t="str">
        <f>"Conti-Brown, Peter,"</f>
        <v>Conti-Brown, Peter,</v>
      </c>
      <c r="F1013" t="str">
        <f>"xiv, 347 pages, 24 cm, illustrations"</f>
        <v>xiv, 347 pages, 24 cm, illustrations</v>
      </c>
      <c r="G1013" s="1">
        <v>16</v>
      </c>
      <c r="H1013">
        <v>2016</v>
      </c>
      <c r="I1013" t="str">
        <f t="shared" si="37"/>
        <v>9: 300 - 399</v>
      </c>
      <c r="K1013" t="str">
        <f>"WB - In"</f>
        <v>WB - In</v>
      </c>
      <c r="L1013" s="1">
        <v>40</v>
      </c>
      <c r="M1013" t="s">
        <v>954</v>
      </c>
      <c r="O1013" t="s">
        <v>28</v>
      </c>
      <c r="P1013">
        <v>3</v>
      </c>
      <c r="Q1013">
        <v>1</v>
      </c>
      <c r="R1013">
        <v>10</v>
      </c>
      <c r="S1013" s="2">
        <v>42500</v>
      </c>
      <c r="T1013" s="2">
        <v>42691</v>
      </c>
      <c r="U1013" s="2">
        <v>42987</v>
      </c>
      <c r="V1013" s="2">
        <v>43070</v>
      </c>
    </row>
    <row r="1014" spans="1:22" x14ac:dyDescent="0.2">
      <c r="A1014" t="str">
        <f>"332.1 ELE"</f>
        <v>332.1 ELE</v>
      </c>
      <c r="B1014" t="str">
        <f>"only game in town: central banks, instab"</f>
        <v>only game in town: central banks, instab</v>
      </c>
      <c r="C1014">
        <v>333821</v>
      </c>
      <c r="D1014" t="str">
        <f>"El-Erian, Mohamed A.,"</f>
        <v>El-Erian, Mohamed A.,</v>
      </c>
      <c r="F1014" t="str">
        <f>"xxi, 296 pages, 25 cm, illustrations"</f>
        <v>xxi, 296 pages, 25 cm, illustrations</v>
      </c>
      <c r="G1014" s="1">
        <v>16</v>
      </c>
      <c r="H1014">
        <v>2016</v>
      </c>
      <c r="I1014" t="str">
        <f t="shared" si="37"/>
        <v>9: 300 - 399</v>
      </c>
      <c r="K1014" t="str">
        <f>"WB - In"</f>
        <v>WB - In</v>
      </c>
      <c r="L1014" s="1">
        <v>33</v>
      </c>
      <c r="M1014" t="s">
        <v>955</v>
      </c>
      <c r="O1014" t="s">
        <v>28</v>
      </c>
      <c r="P1014">
        <v>2</v>
      </c>
      <c r="Q1014">
        <v>0</v>
      </c>
      <c r="R1014">
        <v>12</v>
      </c>
      <c r="S1014" s="2">
        <v>42443</v>
      </c>
      <c r="T1014" s="2">
        <v>42678</v>
      </c>
      <c r="U1014" s="2">
        <v>43275</v>
      </c>
    </row>
    <row r="1015" spans="1:22" x14ac:dyDescent="0.2">
      <c r="A1015" t="str">
        <f>"332.1 FRE"</f>
        <v>332.1 FRE</v>
      </c>
      <c r="B1015" t="str">
        <f>"Borrowed time: Citi, moral hazard, and t"</f>
        <v>Borrowed time: Citi, moral hazard, and t</v>
      </c>
      <c r="C1015">
        <v>349845</v>
      </c>
      <c r="D1015" t="str">
        <f>"Freeman, James"</f>
        <v>Freeman, James</v>
      </c>
      <c r="F1015" t="str">
        <f>"308 p."</f>
        <v>308 p.</v>
      </c>
      <c r="G1015" s="1">
        <v>18</v>
      </c>
      <c r="H1015">
        <v>2018</v>
      </c>
      <c r="I1015" t="str">
        <f t="shared" si="37"/>
        <v>9: 300 - 399</v>
      </c>
      <c r="K1015" t="str">
        <f>"LL - In"</f>
        <v>LL - In</v>
      </c>
      <c r="L1015" s="1">
        <v>40</v>
      </c>
      <c r="M1015" t="s">
        <v>956</v>
      </c>
      <c r="O1015" t="s">
        <v>28</v>
      </c>
      <c r="P1015">
        <v>3</v>
      </c>
      <c r="Q1015">
        <v>0</v>
      </c>
      <c r="R1015">
        <v>3</v>
      </c>
      <c r="S1015" s="2">
        <v>43354</v>
      </c>
      <c r="T1015" s="2">
        <v>43549</v>
      </c>
      <c r="U1015" s="2">
        <v>43564</v>
      </c>
    </row>
    <row r="1016" spans="1:22" x14ac:dyDescent="0.2">
      <c r="A1016" t="str">
        <f>"332.1 MOU"</f>
        <v>332.1 MOU</v>
      </c>
      <c r="B1016" t="str">
        <f>"business blockchain: promise, practice, "</f>
        <v xml:space="preserve">business blockchain: promise, practice, </v>
      </c>
      <c r="C1016">
        <v>347025</v>
      </c>
      <c r="D1016" t="str">
        <f>"Mougayar, William"</f>
        <v>Mougayar, William</v>
      </c>
      <c r="F1016" t="str">
        <f>"xxv, 180 pages, 22 cm, illustrations"</f>
        <v>xxv, 180 pages, 22 cm, illustrations</v>
      </c>
      <c r="G1016" s="1">
        <v>18</v>
      </c>
      <c r="H1016">
        <v>2016</v>
      </c>
      <c r="I1016" t="str">
        <f t="shared" si="37"/>
        <v>9: 300 - 399</v>
      </c>
      <c r="K1016" t="str">
        <f>"WB - In"</f>
        <v>WB - In</v>
      </c>
      <c r="L1016" s="1">
        <v>33</v>
      </c>
      <c r="M1016" t="s">
        <v>957</v>
      </c>
      <c r="O1016" t="s">
        <v>28</v>
      </c>
      <c r="P1016">
        <v>10</v>
      </c>
      <c r="Q1016">
        <v>1</v>
      </c>
      <c r="R1016">
        <v>11</v>
      </c>
      <c r="S1016" s="2">
        <v>43192</v>
      </c>
      <c r="T1016" s="2">
        <v>43397</v>
      </c>
      <c r="U1016" s="2">
        <v>43615</v>
      </c>
      <c r="V1016" s="2">
        <v>43764</v>
      </c>
    </row>
    <row r="1017" spans="1:22" x14ac:dyDescent="0.2">
      <c r="A1017" t="str">
        <f>"332.1 PRI"</f>
        <v>332.1 PRI</v>
      </c>
      <c r="B1017" t="str">
        <f>"Collusion: how central bankers rigged th"</f>
        <v>Collusion: how central bankers rigged th</v>
      </c>
      <c r="C1017">
        <v>352108</v>
      </c>
      <c r="D1017" t="str">
        <f>"Prins, Nomi"</f>
        <v>Prins, Nomi</v>
      </c>
      <c r="F1017" t="str">
        <f>"xix, 358 pages, 25 cm"</f>
        <v>xix, 358 pages, 25 cm</v>
      </c>
      <c r="G1017" s="1">
        <v>19</v>
      </c>
      <c r="H1017">
        <v>2018</v>
      </c>
      <c r="I1017" t="str">
        <f t="shared" si="37"/>
        <v>9: 300 - 399</v>
      </c>
      <c r="K1017" t="str">
        <f>"LL - In"</f>
        <v>LL - In</v>
      </c>
      <c r="L1017" s="1">
        <v>33</v>
      </c>
      <c r="M1017" t="s">
        <v>958</v>
      </c>
      <c r="O1017" t="s">
        <v>28</v>
      </c>
      <c r="P1017">
        <v>6</v>
      </c>
      <c r="Q1017">
        <v>0</v>
      </c>
      <c r="R1017">
        <v>6</v>
      </c>
      <c r="S1017" s="2">
        <v>43468</v>
      </c>
      <c r="T1017" s="2">
        <v>43663</v>
      </c>
      <c r="U1017" s="2">
        <v>43793</v>
      </c>
    </row>
    <row r="1018" spans="1:22" x14ac:dyDescent="0.2">
      <c r="A1018" t="str">
        <f>"332.1 SER"</f>
        <v>332.1 SER</v>
      </c>
      <c r="B1018" t="str">
        <f>"unbanking of America: how the new middle"</f>
        <v>unbanking of America: how the new middle</v>
      </c>
      <c r="C1018">
        <v>343419</v>
      </c>
      <c r="D1018" t="str">
        <f>"Servon, Lisa J."</f>
        <v>Servon, Lisa J.</v>
      </c>
      <c r="F1018" t="str">
        <f>"xix, 250 pages, 24 cm"</f>
        <v>xix, 250 pages, 24 cm</v>
      </c>
      <c r="G1018" s="1">
        <v>17</v>
      </c>
      <c r="H1018">
        <v>2017</v>
      </c>
      <c r="I1018" t="str">
        <f t="shared" si="37"/>
        <v>9: 300 - 399</v>
      </c>
      <c r="K1018" t="str">
        <f>"WB - In"</f>
        <v>WB - In</v>
      </c>
      <c r="L1018" s="1">
        <v>32</v>
      </c>
      <c r="M1018" t="s">
        <v>959</v>
      </c>
      <c r="O1018" t="s">
        <v>28</v>
      </c>
      <c r="P1018">
        <v>7</v>
      </c>
      <c r="Q1018">
        <v>1</v>
      </c>
      <c r="R1018">
        <v>8</v>
      </c>
      <c r="S1018" s="2">
        <v>42984</v>
      </c>
      <c r="T1018" s="2">
        <v>43201</v>
      </c>
      <c r="U1018" s="2">
        <v>43222</v>
      </c>
      <c r="V1018" s="2">
        <v>43704</v>
      </c>
    </row>
    <row r="1019" spans="1:22" x14ac:dyDescent="0.2">
      <c r="A1019" t="str">
        <f>"332.1 TAM"</f>
        <v>332.1 TAM</v>
      </c>
      <c r="B1019" t="str">
        <f>"Who needs the Fed?: what Taylor Swift, U"</f>
        <v>Who needs the Fed?: what Taylor Swift, U</v>
      </c>
      <c r="C1019">
        <v>337089</v>
      </c>
      <c r="D1019" t="str">
        <f>"Tamny, John"</f>
        <v>Tamny, John</v>
      </c>
      <c r="F1019" t="str">
        <f>"xviii, 202 pages, 24 cm"</f>
        <v>xviii, 202 pages, 24 cm</v>
      </c>
      <c r="G1019" s="1">
        <v>16</v>
      </c>
      <c r="H1019">
        <v>2016</v>
      </c>
      <c r="I1019" t="str">
        <f t="shared" si="37"/>
        <v>9: 300 - 399</v>
      </c>
      <c r="K1019" t="str">
        <f>"LL - In"</f>
        <v>LL - In</v>
      </c>
      <c r="L1019" s="1">
        <v>31</v>
      </c>
      <c r="M1019" t="s">
        <v>960</v>
      </c>
      <c r="O1019" t="s">
        <v>28</v>
      </c>
      <c r="P1019">
        <v>3</v>
      </c>
      <c r="Q1019">
        <v>1</v>
      </c>
      <c r="R1019">
        <v>12</v>
      </c>
      <c r="S1019" s="2">
        <v>42607</v>
      </c>
      <c r="T1019" s="2">
        <v>42844</v>
      </c>
      <c r="U1019" s="2">
        <v>42833</v>
      </c>
      <c r="V1019" s="2">
        <v>42844</v>
      </c>
    </row>
    <row r="1020" spans="1:22" x14ac:dyDescent="0.2">
      <c r="A1020" t="str">
        <f>"332.1 TAP"</f>
        <v>332.1 TAP</v>
      </c>
      <c r="B1020" t="str">
        <f>"Blockchain revolution: how the technolog"</f>
        <v>Blockchain revolution: how the technolog</v>
      </c>
      <c r="C1020">
        <v>335765</v>
      </c>
      <c r="D1020" t="str">
        <f>"Tapscott, Don,"</f>
        <v>Tapscott, Don,</v>
      </c>
      <c r="F1020" t="str">
        <f>"xx, 348 pages, 24 cm, illustrations"</f>
        <v>xx, 348 pages, 24 cm, illustrations</v>
      </c>
      <c r="G1020" s="1">
        <v>16</v>
      </c>
      <c r="H1020">
        <v>2016</v>
      </c>
      <c r="I1020" t="str">
        <f t="shared" si="37"/>
        <v>9: 300 - 399</v>
      </c>
      <c r="K1020" t="str">
        <f>"WB - In"</f>
        <v>WB - In</v>
      </c>
      <c r="L1020" s="1">
        <v>35</v>
      </c>
      <c r="M1020" t="s">
        <v>961</v>
      </c>
      <c r="O1020" t="s">
        <v>28</v>
      </c>
      <c r="P1020">
        <v>14</v>
      </c>
      <c r="Q1020">
        <v>0</v>
      </c>
      <c r="R1020">
        <v>20</v>
      </c>
      <c r="S1020" s="2">
        <v>42541</v>
      </c>
      <c r="T1020" s="2">
        <v>42686</v>
      </c>
      <c r="U1020" s="2">
        <v>43615</v>
      </c>
    </row>
    <row r="1021" spans="1:22" x14ac:dyDescent="0.2">
      <c r="A1021" t="str">
        <f>"332.1 YUN"</f>
        <v>332.1 YUN</v>
      </c>
      <c r="B1021" t="str">
        <f>"Banker to the poor: micro-lending and th"</f>
        <v>Banker to the poor: micro-lending and th</v>
      </c>
      <c r="C1021">
        <v>286190</v>
      </c>
      <c r="D1021" t="str">
        <f>"Yunus, Muhammad"</f>
        <v>Yunus, Muhammad</v>
      </c>
      <c r="F1021" t="str">
        <f>"273 p., 21 cm, ill."</f>
        <v>273 p., 21 cm, ill.</v>
      </c>
      <c r="G1021" s="1">
        <v>16</v>
      </c>
      <c r="H1021">
        <v>2003</v>
      </c>
      <c r="I1021" t="str">
        <f t="shared" si="37"/>
        <v>9: 300 - 399</v>
      </c>
      <c r="K1021" t="str">
        <f>"WB - In"</f>
        <v>WB - In</v>
      </c>
      <c r="L1021" s="1">
        <v>21</v>
      </c>
      <c r="M1021" t="s">
        <v>962</v>
      </c>
      <c r="O1021" t="s">
        <v>28</v>
      </c>
      <c r="P1021">
        <v>3</v>
      </c>
      <c r="Q1021">
        <v>1</v>
      </c>
      <c r="R1021">
        <v>6</v>
      </c>
      <c r="S1021" s="2">
        <v>42416</v>
      </c>
      <c r="T1021" s="2">
        <v>42423</v>
      </c>
      <c r="U1021" s="2">
        <v>43417</v>
      </c>
      <c r="V1021" s="2">
        <v>43417</v>
      </c>
    </row>
    <row r="1022" spans="1:22" x14ac:dyDescent="0.2">
      <c r="A1022" t="str">
        <f>"332.4 ANT"</f>
        <v>332.4 ANT</v>
      </c>
      <c r="B1022" t="str">
        <f>"Mastering bitcoin: programming the open "</f>
        <v xml:space="preserve">Mastering bitcoin: programming the open </v>
      </c>
      <c r="C1022">
        <v>347543</v>
      </c>
      <c r="D1022" t="str">
        <f>"Antonopoulos, Andreas M."</f>
        <v>Antonopoulos, Andreas M.</v>
      </c>
      <c r="F1022" t="str">
        <f>"xxii, 371 pages, 24 cm, illustrations"</f>
        <v>xxii, 371 pages, 24 cm, illustrations</v>
      </c>
      <c r="G1022" s="1">
        <v>18</v>
      </c>
      <c r="H1022">
        <v>2017</v>
      </c>
      <c r="I1022" t="str">
        <f t="shared" si="37"/>
        <v>9: 300 - 399</v>
      </c>
      <c r="K1022" t="str">
        <f>"WB - In"</f>
        <v>WB - In</v>
      </c>
      <c r="L1022" s="1">
        <v>40</v>
      </c>
      <c r="M1022" t="s">
        <v>963</v>
      </c>
      <c r="O1022" t="s">
        <v>28</v>
      </c>
      <c r="P1022">
        <v>0</v>
      </c>
      <c r="Q1022">
        <v>0</v>
      </c>
      <c r="R1022">
        <v>0</v>
      </c>
      <c r="S1022" s="2">
        <v>43227</v>
      </c>
      <c r="T1022" s="2">
        <v>43269</v>
      </c>
    </row>
    <row r="1023" spans="1:22" x14ac:dyDescent="0.2">
      <c r="A1023" t="str">
        <f>"332.4 LED"</f>
        <v>332.4 LED</v>
      </c>
      <c r="B1023" t="str">
        <f>"One nation under gold: how one precious "</f>
        <v xml:space="preserve">One nation under gold: how one precious </v>
      </c>
      <c r="C1023">
        <v>341966</v>
      </c>
      <c r="D1023" t="str">
        <f>"Ledbetter, James"</f>
        <v>Ledbetter, James</v>
      </c>
      <c r="F1023" t="str">
        <f>"xvii, 380 pages, 25 cm, illustrations"</f>
        <v>xvii, 380 pages, 25 cm, illustrations</v>
      </c>
      <c r="G1023" s="1">
        <v>17</v>
      </c>
      <c r="H1023">
        <v>2017</v>
      </c>
      <c r="I1023" t="str">
        <f t="shared" si="37"/>
        <v>9: 300 - 399</v>
      </c>
      <c r="K1023" t="str">
        <f>"LL - In"</f>
        <v>LL - In</v>
      </c>
      <c r="L1023" s="1">
        <v>34</v>
      </c>
      <c r="M1023" t="s">
        <v>964</v>
      </c>
      <c r="O1023" t="s">
        <v>28</v>
      </c>
      <c r="P1023">
        <v>4</v>
      </c>
      <c r="Q1023">
        <v>0</v>
      </c>
      <c r="R1023">
        <v>4</v>
      </c>
      <c r="S1023" s="2">
        <v>42905</v>
      </c>
      <c r="T1023" s="2">
        <v>43015</v>
      </c>
      <c r="U1023" s="2">
        <v>42968</v>
      </c>
    </row>
    <row r="1024" spans="1:22" x14ac:dyDescent="0.2">
      <c r="A1024" t="str">
        <f>"332.4 MAR"</f>
        <v>332.4 MAR</v>
      </c>
      <c r="B1024" t="str">
        <f>"Money: the unauthorized biography"</f>
        <v>Money: the unauthorized biography</v>
      </c>
      <c r="C1024">
        <v>320190</v>
      </c>
      <c r="D1024" t="str">
        <f>"Martin, Felix,"</f>
        <v>Martin, Felix,</v>
      </c>
      <c r="F1024" t="str">
        <f>"273 p."</f>
        <v>273 p.</v>
      </c>
      <c r="G1024" s="1">
        <v>14</v>
      </c>
      <c r="H1024">
        <v>2014</v>
      </c>
      <c r="I1024" t="str">
        <f t="shared" si="37"/>
        <v>9: 300 - 399</v>
      </c>
      <c r="K1024" t="str">
        <f>"WB - In"</f>
        <v>WB - In</v>
      </c>
      <c r="L1024" s="1">
        <v>33</v>
      </c>
      <c r="M1024" t="s">
        <v>965</v>
      </c>
      <c r="O1024" t="s">
        <v>28</v>
      </c>
      <c r="P1024">
        <v>1</v>
      </c>
      <c r="Q1024">
        <v>0</v>
      </c>
      <c r="R1024">
        <v>17</v>
      </c>
      <c r="S1024" s="2">
        <v>41702</v>
      </c>
      <c r="T1024" s="2">
        <v>42039</v>
      </c>
      <c r="U1024" s="2">
        <v>43772</v>
      </c>
      <c r="V1024" s="2">
        <v>42710</v>
      </c>
    </row>
    <row r="1025" spans="1:22" x14ac:dyDescent="0.2">
      <c r="A1025" t="str">
        <f>"332.4 MEZ"</f>
        <v>332.4 MEZ</v>
      </c>
      <c r="B1025" t="str">
        <f>"Bitcoin billionaires: a true story of ge"</f>
        <v>Bitcoin billionaires: a true story of ge</v>
      </c>
      <c r="C1025">
        <v>355220</v>
      </c>
      <c r="D1025" t="str">
        <f>"Mezrich, Ben"</f>
        <v>Mezrich, Ben</v>
      </c>
      <c r="F1025" t="str">
        <f>"x, 276 pages, 25 cm"</f>
        <v>x, 276 pages, 25 cm</v>
      </c>
      <c r="G1025" s="1">
        <v>19</v>
      </c>
      <c r="H1025">
        <v>2019</v>
      </c>
      <c r="I1025" t="str">
        <f t="shared" si="37"/>
        <v>9: 300 - 399</v>
      </c>
      <c r="K1025" t="str">
        <f>"LL - In"</f>
        <v>LL - In</v>
      </c>
      <c r="L1025" s="1">
        <v>33</v>
      </c>
      <c r="M1025" t="s">
        <v>966</v>
      </c>
      <c r="O1025" t="s">
        <v>28</v>
      </c>
      <c r="P1025">
        <v>7</v>
      </c>
      <c r="Q1025">
        <v>0</v>
      </c>
      <c r="R1025">
        <v>7</v>
      </c>
      <c r="S1025" s="2">
        <v>43620</v>
      </c>
      <c r="T1025" s="2">
        <v>43793</v>
      </c>
      <c r="U1025" s="2">
        <v>43832</v>
      </c>
    </row>
    <row r="1026" spans="1:22" x14ac:dyDescent="0.2">
      <c r="A1026" t="str">
        <f>"332.4 OLS"</f>
        <v>332.4 OLS</v>
      </c>
      <c r="B1026" t="str">
        <f>"cash-free society: whether we like it or"</f>
        <v>cash-free society: whether we like it or</v>
      </c>
      <c r="C1026">
        <v>356181</v>
      </c>
      <c r="D1026" t="str">
        <f>"Olsen, Kai A."</f>
        <v>Olsen, Kai A.</v>
      </c>
      <c r="F1026" t="str">
        <f>"viii, 156 pages, 24 cm"</f>
        <v>viii, 156 pages, 24 cm</v>
      </c>
      <c r="G1026" s="1">
        <v>19</v>
      </c>
      <c r="H1026">
        <v>2018</v>
      </c>
      <c r="I1026" t="str">
        <f t="shared" si="37"/>
        <v>9: 300 - 399</v>
      </c>
      <c r="K1026" t="str">
        <f>"WB - In"</f>
        <v>WB - In</v>
      </c>
      <c r="L1026" s="1">
        <v>35</v>
      </c>
      <c r="M1026" t="s">
        <v>967</v>
      </c>
      <c r="O1026" t="s">
        <v>28</v>
      </c>
      <c r="P1026">
        <v>0</v>
      </c>
      <c r="Q1026">
        <v>0</v>
      </c>
      <c r="R1026">
        <v>0</v>
      </c>
      <c r="S1026" s="2">
        <v>43655</v>
      </c>
      <c r="T1026" s="2">
        <v>43776</v>
      </c>
    </row>
    <row r="1027" spans="1:22" x14ac:dyDescent="0.2">
      <c r="A1027" t="str">
        <f>"332.4 POP"</f>
        <v>332.4 POP</v>
      </c>
      <c r="B1027" t="str">
        <f>"Digital gold: bitcoin and the inside sto"</f>
        <v>Digital gold: bitcoin and the inside sto</v>
      </c>
      <c r="C1027">
        <v>288970</v>
      </c>
      <c r="D1027" t="str">
        <f>"Popper, Nathaniel"</f>
        <v>Popper, Nathaniel</v>
      </c>
      <c r="F1027" t="str">
        <f>"xv, 398 pages, 24 cm"</f>
        <v>xv, 398 pages, 24 cm</v>
      </c>
      <c r="G1027" s="1">
        <v>16</v>
      </c>
      <c r="H1027">
        <v>2015</v>
      </c>
      <c r="I1027" t="str">
        <f t="shared" si="37"/>
        <v>9: 300 - 399</v>
      </c>
      <c r="K1027" t="str">
        <f>"WB - In"</f>
        <v>WB - In</v>
      </c>
      <c r="L1027" s="1">
        <v>21</v>
      </c>
      <c r="M1027" t="s">
        <v>968</v>
      </c>
      <c r="O1027" t="s">
        <v>28</v>
      </c>
      <c r="P1027">
        <v>5</v>
      </c>
      <c r="Q1027">
        <v>0</v>
      </c>
      <c r="R1027">
        <v>7</v>
      </c>
      <c r="S1027" s="2">
        <v>42544</v>
      </c>
      <c r="T1027" s="2">
        <v>42558</v>
      </c>
      <c r="U1027" s="2">
        <v>43204</v>
      </c>
    </row>
    <row r="1028" spans="1:22" x14ac:dyDescent="0.2">
      <c r="A1028" t="str">
        <f>"332.4 RIC"</f>
        <v>332.4 RIC</v>
      </c>
      <c r="B1028" t="str">
        <f>"death of money: the coming collapse of t"</f>
        <v>death of money: the coming collapse of t</v>
      </c>
      <c r="C1028">
        <v>320743</v>
      </c>
      <c r="D1028" t="str">
        <f>"Rickards, James."</f>
        <v>Rickards, James.</v>
      </c>
      <c r="F1028" t="str">
        <f>"356 pages, 24 cm"</f>
        <v>356 pages, 24 cm</v>
      </c>
      <c r="G1028" s="1">
        <v>14</v>
      </c>
      <c r="H1028">
        <v>2014</v>
      </c>
      <c r="I1028" t="str">
        <f t="shared" si="37"/>
        <v>9: 300 - 399</v>
      </c>
      <c r="K1028" t="str">
        <f>"WB - In"</f>
        <v>WB - In</v>
      </c>
      <c r="L1028" s="1">
        <v>34</v>
      </c>
      <c r="M1028" t="s">
        <v>969</v>
      </c>
      <c r="O1028" t="s">
        <v>28</v>
      </c>
      <c r="P1028">
        <v>1</v>
      </c>
      <c r="Q1028">
        <v>1</v>
      </c>
      <c r="R1028">
        <v>22</v>
      </c>
      <c r="S1028" s="2">
        <v>41736</v>
      </c>
      <c r="T1028" s="2">
        <v>42107</v>
      </c>
      <c r="U1028" s="2">
        <v>43097</v>
      </c>
      <c r="V1028" s="2">
        <v>43685</v>
      </c>
    </row>
    <row r="1029" spans="1:22" x14ac:dyDescent="0.2">
      <c r="A1029" t="str">
        <f>"332.4 ROG"</f>
        <v>332.4 ROG</v>
      </c>
      <c r="B1029" t="str">
        <f>"curse of cash"</f>
        <v>curse of cash</v>
      </c>
      <c r="C1029">
        <v>296719</v>
      </c>
      <c r="D1029" t="str">
        <f>"Rogoff, Kenneth S."</f>
        <v>Rogoff, Kenneth S.</v>
      </c>
      <c r="F1029" t="str">
        <f>"x, 303 pages, 21 cm, illustrations"</f>
        <v>x, 303 pages, 21 cm, illustrations</v>
      </c>
      <c r="G1029" s="1">
        <v>17</v>
      </c>
      <c r="H1029">
        <v>2017</v>
      </c>
      <c r="I1029" t="str">
        <f t="shared" si="37"/>
        <v>9: 300 - 399</v>
      </c>
      <c r="K1029" t="str">
        <f>"LL - In"</f>
        <v>LL - In</v>
      </c>
      <c r="L1029" s="1">
        <v>0</v>
      </c>
      <c r="M1029" t="s">
        <v>970</v>
      </c>
      <c r="O1029" t="s">
        <v>28</v>
      </c>
      <c r="P1029">
        <v>5</v>
      </c>
      <c r="Q1029">
        <v>3</v>
      </c>
      <c r="R1029">
        <v>8</v>
      </c>
      <c r="S1029" s="2">
        <v>42974</v>
      </c>
      <c r="T1029" s="2">
        <v>43153</v>
      </c>
      <c r="U1029" s="2">
        <v>43143</v>
      </c>
      <c r="V1029" s="2">
        <v>43128</v>
      </c>
    </row>
    <row r="1030" spans="1:22" x14ac:dyDescent="0.2">
      <c r="A1030" t="str">
        <f>"332.4 VIG"</f>
        <v>332.4 VIG</v>
      </c>
      <c r="B1030" t="str">
        <f>"Cryptocurrency: how to make a lot of mon"</f>
        <v>Cryptocurrency: how to make a lot of mon</v>
      </c>
      <c r="C1030">
        <v>299911</v>
      </c>
      <c r="D1030" t="str">
        <f>"Johnson, Andrew"</f>
        <v>Johnson, Andrew</v>
      </c>
      <c r="F1030" t="str">
        <f>"187 p."</f>
        <v>187 p.</v>
      </c>
      <c r="G1030" s="1">
        <v>18</v>
      </c>
      <c r="H1030">
        <v>2017</v>
      </c>
      <c r="I1030" t="str">
        <f t="shared" si="37"/>
        <v>9: 300 - 399</v>
      </c>
      <c r="K1030" t="str">
        <f>"WB - In"</f>
        <v>WB - In</v>
      </c>
      <c r="L1030" s="1">
        <v>30</v>
      </c>
      <c r="M1030" t="s">
        <v>971</v>
      </c>
      <c r="O1030" t="s">
        <v>28</v>
      </c>
      <c r="P1030">
        <v>3</v>
      </c>
      <c r="Q1030">
        <v>0</v>
      </c>
      <c r="R1030">
        <v>3</v>
      </c>
      <c r="S1030" s="2">
        <v>43145</v>
      </c>
      <c r="T1030" s="2">
        <v>43152</v>
      </c>
      <c r="U1030" s="2">
        <v>43298</v>
      </c>
    </row>
    <row r="1031" spans="1:22" x14ac:dyDescent="0.2">
      <c r="A1031" t="str">
        <f>"332.42 VIG"</f>
        <v>332.42 VIG</v>
      </c>
      <c r="B1031" t="str">
        <f>"age of cryptocurrency: how bitcoin and d"</f>
        <v>age of cryptocurrency: how bitcoin and d</v>
      </c>
      <c r="C1031">
        <v>326075</v>
      </c>
      <c r="D1031" t="str">
        <f>"Vigna, Paul."</f>
        <v>Vigna, Paul.</v>
      </c>
      <c r="F1031" t="str">
        <f>"357 pages, 25 cm, illustrations"</f>
        <v>357 pages, 25 cm, illustrations</v>
      </c>
      <c r="G1031" s="1">
        <v>15</v>
      </c>
      <c r="H1031">
        <v>2015</v>
      </c>
      <c r="I1031" t="str">
        <f t="shared" si="37"/>
        <v>9: 300 - 399</v>
      </c>
      <c r="K1031" t="str">
        <f>"WB - In"</f>
        <v>WB - In</v>
      </c>
      <c r="L1031" s="1">
        <v>33</v>
      </c>
      <c r="M1031" t="s">
        <v>972</v>
      </c>
      <c r="O1031" t="s">
        <v>28</v>
      </c>
      <c r="P1031">
        <v>5</v>
      </c>
      <c r="Q1031">
        <v>0</v>
      </c>
      <c r="R1031">
        <v>14</v>
      </c>
      <c r="S1031" s="2">
        <v>42059</v>
      </c>
      <c r="T1031" s="2">
        <v>42166</v>
      </c>
      <c r="U1031" s="2">
        <v>43271</v>
      </c>
    </row>
    <row r="1032" spans="1:22" x14ac:dyDescent="0.2">
      <c r="A1032" t="str">
        <f>"332.6 BEN"</f>
        <v>332.6 BEN</v>
      </c>
      <c r="B1032" t="str">
        <f>"30-minute stock trader: the stress-free "</f>
        <v xml:space="preserve">30-minute stock trader: the stress-free </v>
      </c>
      <c r="C1032">
        <v>401185</v>
      </c>
      <c r="D1032" t="str">
        <f>"Bensdorp, Laurens"</f>
        <v>Bensdorp, Laurens</v>
      </c>
      <c r="F1032" t="str">
        <f>"188 p."</f>
        <v>188 p.</v>
      </c>
      <c r="G1032" s="1">
        <v>18</v>
      </c>
      <c r="H1032">
        <v>2017</v>
      </c>
      <c r="I1032" t="str">
        <f t="shared" ref="I1032:I1095" si="38">"9: 300 - 399"</f>
        <v>9: 300 - 399</v>
      </c>
      <c r="K1032" t="str">
        <f>"LL - In"</f>
        <v>LL - In</v>
      </c>
      <c r="L1032" s="1">
        <v>30</v>
      </c>
      <c r="M1032" t="s">
        <v>973</v>
      </c>
      <c r="O1032" t="s">
        <v>28</v>
      </c>
      <c r="P1032">
        <v>7</v>
      </c>
      <c r="Q1032">
        <v>0</v>
      </c>
      <c r="R1032">
        <v>7</v>
      </c>
      <c r="S1032" s="2">
        <v>43307</v>
      </c>
      <c r="T1032" s="2">
        <v>43322</v>
      </c>
      <c r="U1032" s="2">
        <v>43765</v>
      </c>
    </row>
    <row r="1033" spans="1:22" x14ac:dyDescent="0.2">
      <c r="A1033" t="str">
        <f>"332.6 BER"</f>
        <v>332.6 BER</v>
      </c>
      <c r="B1033" t="str">
        <f>"four pillars of investing: lessons for b"</f>
        <v>four pillars of investing: lessons for b</v>
      </c>
      <c r="C1033">
        <v>334430</v>
      </c>
      <c r="D1033" t="str">
        <f>"Bernstein, William J"</f>
        <v>Bernstein, William J</v>
      </c>
      <c r="F1033" t="str">
        <f>"xiv, 331 p., 24 cm, ill."</f>
        <v>xiv, 331 p., 24 cm, ill.</v>
      </c>
      <c r="G1033" s="1">
        <v>16</v>
      </c>
      <c r="H1033">
        <v>2010</v>
      </c>
      <c r="I1033" t="str">
        <f t="shared" si="38"/>
        <v>9: 300 - 399</v>
      </c>
      <c r="K1033" t="str">
        <f>"WB - In"</f>
        <v>WB - In</v>
      </c>
      <c r="L1033" s="1">
        <v>35</v>
      </c>
      <c r="M1033" t="s">
        <v>974</v>
      </c>
      <c r="O1033" t="s">
        <v>28</v>
      </c>
      <c r="P1033">
        <v>5</v>
      </c>
      <c r="Q1033">
        <v>2</v>
      </c>
      <c r="R1033">
        <v>12</v>
      </c>
      <c r="S1033" s="2">
        <v>42471</v>
      </c>
      <c r="T1033" s="2">
        <v>42475</v>
      </c>
      <c r="U1033" s="2">
        <v>43508</v>
      </c>
      <c r="V1033" s="2">
        <v>43679</v>
      </c>
    </row>
    <row r="1034" spans="1:22" x14ac:dyDescent="0.2">
      <c r="A1034" t="str">
        <f>"332.6 BER"</f>
        <v>332.6 BER</v>
      </c>
      <c r="B1034" t="str">
        <f>"intelligent asset allocator: how to buil"</f>
        <v>intelligent asset allocator: how to buil</v>
      </c>
      <c r="C1034">
        <v>348914</v>
      </c>
      <c r="D1034" t="str">
        <f>"Bernstein, William J"</f>
        <v>Bernstein, William J</v>
      </c>
      <c r="F1034" t="str">
        <f>"pages cm"</f>
        <v>pages cm</v>
      </c>
      <c r="G1034" s="1">
        <v>18</v>
      </c>
      <c r="H1034">
        <v>2017</v>
      </c>
      <c r="I1034" t="str">
        <f t="shared" si="38"/>
        <v>9: 300 - 399</v>
      </c>
      <c r="K1034" t="str">
        <f>"WB - Out"</f>
        <v>WB - Out</v>
      </c>
      <c r="L1034" s="1">
        <v>27</v>
      </c>
      <c r="M1034" t="s">
        <v>975</v>
      </c>
      <c r="O1034" t="s">
        <v>28</v>
      </c>
      <c r="P1034">
        <v>8</v>
      </c>
      <c r="Q1034">
        <v>0</v>
      </c>
      <c r="R1034">
        <v>8</v>
      </c>
      <c r="S1034" s="2">
        <v>43304</v>
      </c>
      <c r="T1034" s="2">
        <v>43307</v>
      </c>
      <c r="U1034" s="2">
        <v>43842</v>
      </c>
    </row>
    <row r="1035" spans="1:22" x14ac:dyDescent="0.2">
      <c r="A1035" t="str">
        <f>"332.6 BOG"</f>
        <v>332.6 BOG</v>
      </c>
      <c r="B1035" t="str">
        <f>"John Bogle on investing: the first 50 ye"</f>
        <v>John Bogle on investing: the first 50 ye</v>
      </c>
      <c r="C1035">
        <v>338958</v>
      </c>
      <c r="D1035" t="str">
        <f>"Bogle, John C."</f>
        <v>Bogle, John C.</v>
      </c>
      <c r="F1035" t="str">
        <f>"xliv, 456 pages, 24 cm, illustrations"</f>
        <v>xliv, 456 pages, 24 cm, illustrations</v>
      </c>
      <c r="G1035" s="1">
        <v>16</v>
      </c>
      <c r="H1035">
        <v>2015</v>
      </c>
      <c r="I1035" t="str">
        <f t="shared" si="38"/>
        <v>9: 300 - 399</v>
      </c>
      <c r="K1035" t="str">
        <f>"WB - In"</f>
        <v>WB - In</v>
      </c>
      <c r="L1035" s="1">
        <v>35</v>
      </c>
      <c r="M1035" t="s">
        <v>976</v>
      </c>
      <c r="O1035" t="s">
        <v>28</v>
      </c>
      <c r="P1035">
        <v>9</v>
      </c>
      <c r="Q1035">
        <v>0</v>
      </c>
      <c r="R1035">
        <v>9</v>
      </c>
      <c r="S1035" s="2">
        <v>42738</v>
      </c>
      <c r="T1035" s="2">
        <v>42740</v>
      </c>
      <c r="U1035" s="2">
        <v>43622</v>
      </c>
    </row>
    <row r="1036" spans="1:22" x14ac:dyDescent="0.2">
      <c r="A1036" t="str">
        <f>"332.6 BUF"</f>
        <v>332.6 BUF</v>
      </c>
      <c r="B1036" t="str">
        <f>"Buffettology: the previously unexplained"</f>
        <v>Buffettology: the previously unexplained</v>
      </c>
      <c r="C1036">
        <v>73026</v>
      </c>
      <c r="D1036" t="str">
        <f>"Buffett, Mary"</f>
        <v>Buffett, Mary</v>
      </c>
      <c r="F1036" t="str">
        <f>"320 p."</f>
        <v>320 p.</v>
      </c>
      <c r="G1036" s="1">
        <v>98</v>
      </c>
      <c r="H1036">
        <v>1997</v>
      </c>
      <c r="I1036" t="str">
        <f t="shared" si="38"/>
        <v>9: 300 - 399</v>
      </c>
      <c r="K1036" t="str">
        <f>"WB - In"</f>
        <v>WB - In</v>
      </c>
      <c r="L1036" s="1">
        <v>32</v>
      </c>
      <c r="M1036" t="s">
        <v>977</v>
      </c>
      <c r="O1036" t="s">
        <v>28</v>
      </c>
      <c r="P1036">
        <v>6</v>
      </c>
      <c r="Q1036">
        <v>2</v>
      </c>
      <c r="R1036">
        <v>76</v>
      </c>
      <c r="S1036" s="2">
        <v>36409</v>
      </c>
      <c r="T1036" s="2">
        <v>41053</v>
      </c>
      <c r="U1036" s="2">
        <v>43648</v>
      </c>
      <c r="V1036" s="2">
        <v>43291</v>
      </c>
    </row>
    <row r="1037" spans="1:22" x14ac:dyDescent="0.2">
      <c r="A1037" t="str">
        <f>"332.6 BUF"</f>
        <v>332.6 BUF</v>
      </c>
      <c r="B1037" t="str">
        <f>"Warren Buffett stock portfolio: Warren B"</f>
        <v>Warren Buffett stock portfolio: Warren B</v>
      </c>
      <c r="C1037">
        <v>253471</v>
      </c>
      <c r="D1037" t="str">
        <f>"Buffett, Mary"</f>
        <v>Buffett, Mary</v>
      </c>
      <c r="F1037" t="str">
        <f>"xii, 225 p., 20 cm."</f>
        <v>xii, 225 p., 20 cm.</v>
      </c>
      <c r="G1037" s="1">
        <v>11</v>
      </c>
      <c r="H1037">
        <v>2011</v>
      </c>
      <c r="I1037" t="str">
        <f t="shared" si="38"/>
        <v>9: 300 - 399</v>
      </c>
      <c r="K1037" t="str">
        <f>"WB - In"</f>
        <v>WB - In</v>
      </c>
      <c r="L1037" s="1">
        <v>30</v>
      </c>
      <c r="M1037" t="s">
        <v>978</v>
      </c>
      <c r="O1037" t="s">
        <v>28</v>
      </c>
      <c r="P1037">
        <v>6</v>
      </c>
      <c r="Q1037">
        <v>2</v>
      </c>
      <c r="R1037">
        <v>38</v>
      </c>
      <c r="S1037" s="2">
        <v>40886</v>
      </c>
      <c r="T1037" s="2">
        <v>42101</v>
      </c>
      <c r="U1037" s="2">
        <v>43776</v>
      </c>
      <c r="V1037" s="2">
        <v>43149</v>
      </c>
    </row>
    <row r="1038" spans="1:22" x14ac:dyDescent="0.2">
      <c r="A1038" t="str">
        <f>"332.6 BUF"</f>
        <v>332.6 BUF</v>
      </c>
      <c r="B1038" t="str">
        <f>"Warren Buffett way"</f>
        <v>Warren Buffett way</v>
      </c>
      <c r="C1038">
        <v>323811</v>
      </c>
      <c r="D1038" t="str">
        <f>"Hagstrom, Robert G."</f>
        <v>Hagstrom, Robert G.</v>
      </c>
      <c r="F1038" t="str">
        <f>"xxxvii, 281 pages, 24 cm"</f>
        <v>xxxvii, 281 pages, 24 cm</v>
      </c>
      <c r="G1038" s="1">
        <v>14</v>
      </c>
      <c r="H1038">
        <v>2014</v>
      </c>
      <c r="I1038" t="str">
        <f t="shared" si="38"/>
        <v>9: 300 - 399</v>
      </c>
      <c r="K1038" t="str">
        <f>"WB - In"</f>
        <v>WB - In</v>
      </c>
      <c r="L1038" s="1">
        <v>35</v>
      </c>
      <c r="M1038" t="s">
        <v>979</v>
      </c>
      <c r="O1038" t="s">
        <v>28</v>
      </c>
      <c r="P1038">
        <v>12</v>
      </c>
      <c r="Q1038">
        <v>0</v>
      </c>
      <c r="R1038">
        <v>21</v>
      </c>
      <c r="S1038" s="2">
        <v>41911</v>
      </c>
      <c r="T1038" s="2">
        <v>41912</v>
      </c>
      <c r="U1038" s="2">
        <v>43776</v>
      </c>
    </row>
    <row r="1039" spans="1:22" x14ac:dyDescent="0.2">
      <c r="A1039" t="str">
        <f>"332.6 CAG"</f>
        <v>332.6 CAG</v>
      </c>
      <c r="B1039" t="str">
        <f>"Investing 101: from stocks and bonds to "</f>
        <v xml:space="preserve">Investing 101: from stocks and bonds to </v>
      </c>
      <c r="C1039">
        <v>353588</v>
      </c>
      <c r="D1039" t="str">
        <f>"Cagan, Michele"</f>
        <v>Cagan, Michele</v>
      </c>
      <c r="F1039" t="str">
        <f>"254 pages, 19 cm, color illustrations"</f>
        <v>254 pages, 19 cm, color illustrations</v>
      </c>
      <c r="G1039" s="1">
        <v>19</v>
      </c>
      <c r="H1039">
        <v>2016</v>
      </c>
      <c r="I1039" t="str">
        <f t="shared" si="38"/>
        <v>9: 300 - 399</v>
      </c>
      <c r="K1039" t="str">
        <f>"WB - Out"</f>
        <v>WB - Out</v>
      </c>
      <c r="L1039" s="1">
        <v>21</v>
      </c>
      <c r="M1039" t="s">
        <v>980</v>
      </c>
      <c r="O1039" t="s">
        <v>28</v>
      </c>
      <c r="P1039">
        <v>4</v>
      </c>
      <c r="Q1039">
        <v>0</v>
      </c>
      <c r="R1039">
        <v>4</v>
      </c>
      <c r="S1039" s="2">
        <v>43542</v>
      </c>
      <c r="T1039" s="2">
        <v>43570</v>
      </c>
      <c r="U1039" s="2">
        <v>43852</v>
      </c>
    </row>
    <row r="1040" spans="1:22" x14ac:dyDescent="0.2">
      <c r="A1040" t="str">
        <f>"332.6 COH"</f>
        <v>332.6 COH</v>
      </c>
      <c r="B1040" t="str">
        <f>"Money and power: how Goldman Sachs came "</f>
        <v xml:space="preserve">Money and power: how Goldman Sachs came </v>
      </c>
      <c r="C1040">
        <v>300169</v>
      </c>
      <c r="D1040" t="str">
        <f>"Cohan, William D"</f>
        <v>Cohan, William D</v>
      </c>
      <c r="F1040" t="str">
        <f>"x, 658 p., 24 cm."</f>
        <v>x, 658 p., 24 cm.</v>
      </c>
      <c r="G1040" s="1">
        <v>11</v>
      </c>
      <c r="H1040">
        <v>2011</v>
      </c>
      <c r="I1040" t="str">
        <f t="shared" si="38"/>
        <v>9: 300 - 399</v>
      </c>
      <c r="K1040" t="str">
        <f t="shared" ref="K1040:K1046" si="39">"WB - In"</f>
        <v>WB - In</v>
      </c>
      <c r="L1040" s="1">
        <v>36</v>
      </c>
      <c r="M1040" t="s">
        <v>981</v>
      </c>
      <c r="O1040" t="s">
        <v>28</v>
      </c>
      <c r="P1040">
        <v>1</v>
      </c>
      <c r="Q1040">
        <v>2</v>
      </c>
      <c r="R1040">
        <v>17</v>
      </c>
      <c r="S1040" s="2">
        <v>40673</v>
      </c>
      <c r="T1040" s="2">
        <v>41053</v>
      </c>
      <c r="U1040" s="2">
        <v>43613</v>
      </c>
      <c r="V1040" s="2">
        <v>43704</v>
      </c>
    </row>
    <row r="1041" spans="1:22" x14ac:dyDescent="0.2">
      <c r="A1041" t="str">
        <f>"332.6 COV"</f>
        <v>332.6 COV</v>
      </c>
      <c r="B1041" t="str">
        <f>"little book of trading: trend following "</f>
        <v xml:space="preserve">little book of trading: trend following </v>
      </c>
      <c r="C1041">
        <v>325640</v>
      </c>
      <c r="D1041" t="str">
        <f>"Covel, Michael."</f>
        <v>Covel, Michael.</v>
      </c>
      <c r="F1041" t="str">
        <f>"xxv, 210 p., 19 cm, ill."</f>
        <v>xxv, 210 p., 19 cm, ill.</v>
      </c>
      <c r="G1041" s="1">
        <v>15</v>
      </c>
      <c r="H1041">
        <v>2011</v>
      </c>
      <c r="I1041" t="str">
        <f t="shared" si="38"/>
        <v>9: 300 - 399</v>
      </c>
      <c r="K1041" t="str">
        <f t="shared" si="39"/>
        <v>WB - In</v>
      </c>
      <c r="L1041" s="1">
        <v>28</v>
      </c>
      <c r="M1041" t="s">
        <v>982</v>
      </c>
      <c r="O1041" t="s">
        <v>28</v>
      </c>
      <c r="P1041">
        <v>8</v>
      </c>
      <c r="Q1041">
        <v>2</v>
      </c>
      <c r="R1041">
        <v>18</v>
      </c>
      <c r="S1041" s="2">
        <v>42024</v>
      </c>
      <c r="T1041" s="2">
        <v>42248</v>
      </c>
      <c r="U1041" s="2">
        <v>43800</v>
      </c>
      <c r="V1041" s="2">
        <v>43325</v>
      </c>
    </row>
    <row r="1042" spans="1:22" x14ac:dyDescent="0.2">
      <c r="A1042" t="str">
        <f>"332.6 CRA"</f>
        <v>332.6 CRA</v>
      </c>
      <c r="B1042" t="str">
        <f>"Jim Cramer's get rich carefully"</f>
        <v>Jim Cramer's get rich carefully</v>
      </c>
      <c r="C1042">
        <v>318811</v>
      </c>
      <c r="D1042" t="str">
        <f>"Cramer, Jim"</f>
        <v>Cramer, Jim</v>
      </c>
      <c r="F1042" t="str">
        <f>"418 p."</f>
        <v>418 p.</v>
      </c>
      <c r="G1042" s="1">
        <v>13</v>
      </c>
      <c r="H1042">
        <v>2013</v>
      </c>
      <c r="I1042" t="str">
        <f t="shared" si="38"/>
        <v>9: 300 - 399</v>
      </c>
      <c r="K1042" t="str">
        <f t="shared" si="39"/>
        <v>WB - In</v>
      </c>
      <c r="L1042" s="1">
        <v>35</v>
      </c>
      <c r="M1042" t="s">
        <v>983</v>
      </c>
      <c r="O1042" t="s">
        <v>28</v>
      </c>
      <c r="P1042">
        <v>2</v>
      </c>
      <c r="Q1042">
        <v>0</v>
      </c>
      <c r="R1042">
        <v>17</v>
      </c>
      <c r="S1042" s="2">
        <v>41648</v>
      </c>
      <c r="T1042" s="2">
        <v>42177</v>
      </c>
      <c r="U1042" s="2">
        <v>43772</v>
      </c>
      <c r="V1042" s="2">
        <v>42274</v>
      </c>
    </row>
    <row r="1043" spans="1:22" x14ac:dyDescent="0.2">
      <c r="A1043" t="str">
        <f>"332.6 CRO"</f>
        <v>332.6 CRO</v>
      </c>
      <c r="B1043" t="str">
        <f>"behavioral investor"</f>
        <v>behavioral investor</v>
      </c>
      <c r="C1043">
        <v>355551</v>
      </c>
      <c r="D1043" t="str">
        <f>"Crosby, Daniel,"</f>
        <v>Crosby, Daniel,</v>
      </c>
      <c r="F1043" t="str">
        <f>"xii, 257 pages, 23 cm, illustrations"</f>
        <v>xii, 257 pages, 23 cm, illustrations</v>
      </c>
      <c r="G1043" s="1">
        <v>19</v>
      </c>
      <c r="H1043">
        <v>2018</v>
      </c>
      <c r="I1043" t="str">
        <f t="shared" si="38"/>
        <v>9: 300 - 399</v>
      </c>
      <c r="K1043" t="str">
        <f t="shared" si="39"/>
        <v>WB - In</v>
      </c>
      <c r="L1043" s="1">
        <v>40</v>
      </c>
      <c r="M1043" t="s">
        <v>984</v>
      </c>
      <c r="O1043" t="s">
        <v>28</v>
      </c>
      <c r="P1043">
        <v>4</v>
      </c>
      <c r="Q1043">
        <v>0</v>
      </c>
      <c r="R1043">
        <v>4</v>
      </c>
      <c r="S1043" s="2">
        <v>43633</v>
      </c>
      <c r="T1043" s="2">
        <v>43637</v>
      </c>
      <c r="U1043" s="2">
        <v>43776</v>
      </c>
    </row>
    <row r="1044" spans="1:22" x14ac:dyDescent="0.2">
      <c r="A1044" t="str">
        <f>"332.6 DEL"</f>
        <v>332.6 DEL</v>
      </c>
      <c r="B1044" t="str">
        <f>"What's behind the numbers?: a guide to e"</f>
        <v>What's behind the numbers?: a guide to e</v>
      </c>
      <c r="C1044">
        <v>326382</v>
      </c>
      <c r="D1044" t="str">
        <f>"Del Vecchio, John."</f>
        <v>Del Vecchio, John.</v>
      </c>
      <c r="F1044" t="str">
        <f>"viii, 278 p., 24 cm, ill."</f>
        <v>viii, 278 p., 24 cm, ill.</v>
      </c>
      <c r="G1044" s="1">
        <v>15</v>
      </c>
      <c r="H1044">
        <v>2013</v>
      </c>
      <c r="I1044" t="str">
        <f t="shared" si="38"/>
        <v>9: 300 - 399</v>
      </c>
      <c r="K1044" t="str">
        <f t="shared" si="39"/>
        <v>WB - In</v>
      </c>
      <c r="L1044" s="1">
        <v>39</v>
      </c>
      <c r="M1044" t="s">
        <v>985</v>
      </c>
      <c r="O1044" t="s">
        <v>28</v>
      </c>
      <c r="P1044">
        <v>2</v>
      </c>
      <c r="Q1044">
        <v>0</v>
      </c>
      <c r="R1044">
        <v>11</v>
      </c>
      <c r="S1044" s="2">
        <v>42072</v>
      </c>
      <c r="T1044" s="2">
        <v>42311</v>
      </c>
      <c r="U1044" s="2">
        <v>43323</v>
      </c>
      <c r="V1044" s="2">
        <v>42658</v>
      </c>
    </row>
    <row r="1045" spans="1:22" x14ac:dyDescent="0.2">
      <c r="A1045" t="str">
        <f>"332.6 FIS"</f>
        <v>332.6 FIS</v>
      </c>
      <c r="B1045" t="str">
        <f>"little book of market myths: how to prof"</f>
        <v>little book of market myths: how to prof</v>
      </c>
      <c r="C1045">
        <v>312292</v>
      </c>
      <c r="D1045" t="str">
        <f>"Fisher, Kenneth L"</f>
        <v>Fisher, Kenneth L</v>
      </c>
      <c r="F1045" t="str">
        <f>"203 p."</f>
        <v>203 p.</v>
      </c>
      <c r="G1045" s="1">
        <v>13</v>
      </c>
      <c r="H1045">
        <v>2013</v>
      </c>
      <c r="I1045" t="str">
        <f t="shared" si="38"/>
        <v>9: 300 - 399</v>
      </c>
      <c r="K1045" t="str">
        <f t="shared" si="39"/>
        <v>WB - In</v>
      </c>
      <c r="L1045" s="1">
        <v>28</v>
      </c>
      <c r="M1045" t="s">
        <v>986</v>
      </c>
      <c r="O1045" t="s">
        <v>28</v>
      </c>
      <c r="P1045">
        <v>4</v>
      </c>
      <c r="Q1045">
        <v>0</v>
      </c>
      <c r="R1045">
        <v>26</v>
      </c>
      <c r="S1045" s="2">
        <v>41309</v>
      </c>
      <c r="T1045" s="2">
        <v>41576</v>
      </c>
      <c r="U1045" s="2">
        <v>43457</v>
      </c>
      <c r="V1045" s="2">
        <v>41952</v>
      </c>
    </row>
    <row r="1046" spans="1:22" x14ac:dyDescent="0.2">
      <c r="A1046" t="str">
        <f>"332.6 FIS"</f>
        <v>332.6 FIS</v>
      </c>
      <c r="B1046" t="str">
        <f>"Markets never forget (but people do): ho"</f>
        <v>Markets never forget (but people do): ho</v>
      </c>
      <c r="C1046">
        <v>304043</v>
      </c>
      <c r="D1046" t="str">
        <f>"Fisher, Kenneth L"</f>
        <v>Fisher, Kenneth L</v>
      </c>
      <c r="F1046" t="str">
        <f>"216 p."</f>
        <v>216 p.</v>
      </c>
      <c r="G1046" s="1">
        <v>11</v>
      </c>
      <c r="H1046">
        <v>2011</v>
      </c>
      <c r="I1046" t="str">
        <f t="shared" si="38"/>
        <v>9: 300 - 399</v>
      </c>
      <c r="K1046" t="str">
        <f t="shared" si="39"/>
        <v>WB - In</v>
      </c>
      <c r="L1046" s="1">
        <v>35</v>
      </c>
      <c r="M1046" t="s">
        <v>987</v>
      </c>
      <c r="O1046" t="s">
        <v>28</v>
      </c>
      <c r="P1046">
        <v>6</v>
      </c>
      <c r="Q1046">
        <v>0</v>
      </c>
      <c r="R1046">
        <v>25</v>
      </c>
      <c r="S1046" s="2">
        <v>40856</v>
      </c>
      <c r="T1046" s="2">
        <v>41065</v>
      </c>
      <c r="U1046" s="2">
        <v>43713</v>
      </c>
      <c r="V1046" s="2">
        <v>42499</v>
      </c>
    </row>
    <row r="1047" spans="1:22" x14ac:dyDescent="0.2">
      <c r="A1047" t="str">
        <f>"332.6 FUL"</f>
        <v>332.6 FUL</v>
      </c>
      <c r="B1047" t="str">
        <f>"Understanding investments: course guideb"</f>
        <v>Understanding investments: course guideb</v>
      </c>
      <c r="C1047">
        <v>258960</v>
      </c>
      <c r="D1047" t="str">
        <f>"Fullenkamp, Connel."</f>
        <v>Fullenkamp, Connel.</v>
      </c>
      <c r="E1047" t="str">
        <f>"Great Courses series"</f>
        <v>Great Courses series</v>
      </c>
      <c r="F1047" t="str">
        <f>"211 p., 4 3/4 in., sd., col."</f>
        <v>211 p., 4 3/4 in., sd., col.</v>
      </c>
      <c r="G1047" s="1">
        <v>12</v>
      </c>
      <c r="H1047">
        <v>2012</v>
      </c>
      <c r="I1047" t="str">
        <f t="shared" si="38"/>
        <v>9: 300 - 399</v>
      </c>
      <c r="K1047" t="str">
        <f>"LL - In"</f>
        <v>LL - In</v>
      </c>
      <c r="L1047" s="1">
        <v>10</v>
      </c>
      <c r="O1047" t="s">
        <v>28</v>
      </c>
      <c r="P1047">
        <v>7</v>
      </c>
      <c r="Q1047">
        <v>1</v>
      </c>
      <c r="R1047">
        <v>31</v>
      </c>
      <c r="S1047" s="2">
        <v>41108</v>
      </c>
      <c r="T1047" s="2">
        <v>41114</v>
      </c>
      <c r="U1047" s="2">
        <v>43638</v>
      </c>
      <c r="V1047" s="2">
        <v>43695</v>
      </c>
    </row>
    <row r="1048" spans="1:22" x14ac:dyDescent="0.2">
      <c r="A1048" t="str">
        <f>"332.6 GOL"</f>
        <v>332.6 GOL</v>
      </c>
      <c r="B1048" t="str">
        <f>"investment answer: learn to manage your "</f>
        <v xml:space="preserve">investment answer: learn to manage your </v>
      </c>
      <c r="C1048">
        <v>244375</v>
      </c>
      <c r="D1048" t="str">
        <f>"Goldie, Daniel C."</f>
        <v>Goldie, Daniel C.</v>
      </c>
      <c r="F1048" t="str">
        <f>"88 p."</f>
        <v>88 p.</v>
      </c>
      <c r="G1048" s="1">
        <v>11</v>
      </c>
      <c r="H1048">
        <v>2011</v>
      </c>
      <c r="I1048" t="str">
        <f t="shared" si="38"/>
        <v>9: 300 - 399</v>
      </c>
      <c r="K1048" t="str">
        <f>"LL - In"</f>
        <v>LL - In</v>
      </c>
      <c r="L1048" s="1">
        <v>23</v>
      </c>
      <c r="M1048" t="s">
        <v>988</v>
      </c>
      <c r="O1048" t="s">
        <v>28</v>
      </c>
      <c r="P1048">
        <v>1</v>
      </c>
      <c r="Q1048">
        <v>1</v>
      </c>
      <c r="R1048">
        <v>33</v>
      </c>
      <c r="S1048" s="2">
        <v>40557</v>
      </c>
      <c r="T1048" s="2">
        <v>41053</v>
      </c>
      <c r="U1048" s="2">
        <v>43638</v>
      </c>
      <c r="V1048" s="2">
        <v>42843</v>
      </c>
    </row>
    <row r="1049" spans="1:22" x14ac:dyDescent="0.2">
      <c r="A1049" t="str">
        <f>"332.6 GRE"</f>
        <v>332.6 GRE</v>
      </c>
      <c r="B1049" t="str">
        <f>"big secret for the small investor: a new"</f>
        <v>big secret for the small investor: a new</v>
      </c>
      <c r="C1049">
        <v>149534</v>
      </c>
      <c r="D1049" t="str">
        <f>"Greenblatt, Joel"</f>
        <v>Greenblatt, Joel</v>
      </c>
      <c r="F1049" t="str">
        <f>"153 p."</f>
        <v>153 p.</v>
      </c>
      <c r="G1049" s="1">
        <v>11</v>
      </c>
      <c r="H1049">
        <v>2011</v>
      </c>
      <c r="I1049" t="str">
        <f t="shared" si="38"/>
        <v>9: 300 - 399</v>
      </c>
      <c r="K1049" t="str">
        <f>"WB - In"</f>
        <v>WB - In</v>
      </c>
      <c r="L1049" s="1">
        <v>25</v>
      </c>
      <c r="M1049" t="s">
        <v>989</v>
      </c>
      <c r="O1049" t="s">
        <v>28</v>
      </c>
      <c r="P1049">
        <v>8</v>
      </c>
      <c r="Q1049">
        <v>1</v>
      </c>
      <c r="R1049">
        <v>29</v>
      </c>
      <c r="S1049" s="2">
        <v>40646</v>
      </c>
      <c r="T1049" s="2">
        <v>41053</v>
      </c>
      <c r="U1049" s="2">
        <v>43785</v>
      </c>
      <c r="V1049" s="2">
        <v>43149</v>
      </c>
    </row>
    <row r="1050" spans="1:22" x14ac:dyDescent="0.2">
      <c r="A1050" t="str">
        <f>"332.6 GRI"</f>
        <v>332.6 GRI</v>
      </c>
      <c r="B1050" t="str">
        <f>"Charlie Munger: the complete investor"</f>
        <v>Charlie Munger: the complete investor</v>
      </c>
      <c r="C1050">
        <v>406604</v>
      </c>
      <c r="D1050" t="str">
        <f>"Griffin, Trenholme J."</f>
        <v>Griffin, Trenholme J.</v>
      </c>
      <c r="F1050" t="str">
        <f>"vi, 209 pages, 24 cm"</f>
        <v>vi, 209 pages, 24 cm</v>
      </c>
      <c r="G1050" s="1">
        <v>19</v>
      </c>
      <c r="H1050">
        <v>2015</v>
      </c>
      <c r="I1050" t="str">
        <f t="shared" si="38"/>
        <v>9: 300 - 399</v>
      </c>
      <c r="K1050" t="str">
        <f>"WB - In"</f>
        <v>WB - In</v>
      </c>
      <c r="L1050" s="1">
        <v>24</v>
      </c>
      <c r="M1050" t="s">
        <v>990</v>
      </c>
      <c r="O1050" t="s">
        <v>28</v>
      </c>
      <c r="P1050">
        <v>2</v>
      </c>
      <c r="Q1050">
        <v>1</v>
      </c>
      <c r="R1050">
        <v>3</v>
      </c>
      <c r="S1050" s="2">
        <v>43613</v>
      </c>
      <c r="T1050" s="2">
        <v>43619</v>
      </c>
      <c r="U1050" s="2">
        <v>43818</v>
      </c>
      <c r="V1050" s="2">
        <v>43763</v>
      </c>
    </row>
    <row r="1051" spans="1:22" x14ac:dyDescent="0.2">
      <c r="A1051" t="str">
        <f>"332.6 JAK"</f>
        <v>332.6 JAK</v>
      </c>
      <c r="B1051" t="str">
        <f>"Heads I win, tails I win: why smart inve"</f>
        <v>Heads I win, tails I win: why smart inve</v>
      </c>
      <c r="C1051">
        <v>336357</v>
      </c>
      <c r="D1051" t="str">
        <f>"Jakab, Spencer"</f>
        <v>Jakab, Spencer</v>
      </c>
      <c r="F1051" t="str">
        <f>"vi, 280 pages, 24 cm"</f>
        <v>vi, 280 pages, 24 cm</v>
      </c>
      <c r="G1051" s="1">
        <v>16</v>
      </c>
      <c r="H1051">
        <v>2016</v>
      </c>
      <c r="I1051" t="str">
        <f t="shared" si="38"/>
        <v>9: 300 - 399</v>
      </c>
      <c r="K1051" t="str">
        <f>"LL - In"</f>
        <v>LL - In</v>
      </c>
      <c r="L1051" s="1">
        <v>33</v>
      </c>
      <c r="M1051" t="s">
        <v>991</v>
      </c>
      <c r="O1051" t="s">
        <v>28</v>
      </c>
      <c r="P1051">
        <v>5</v>
      </c>
      <c r="Q1051">
        <v>0</v>
      </c>
      <c r="R1051">
        <v>12</v>
      </c>
      <c r="S1051" s="2">
        <v>42576</v>
      </c>
      <c r="T1051" s="2">
        <v>42802</v>
      </c>
      <c r="U1051" s="2">
        <v>43247</v>
      </c>
    </row>
    <row r="1052" spans="1:22" x14ac:dyDescent="0.2">
      <c r="A1052" t="str">
        <f>"332.6 LEW"</f>
        <v>332.6 LEW</v>
      </c>
      <c r="B1052" t="str">
        <f>"Flash boys: a Wall Street revolt"</f>
        <v>Flash boys: a Wall Street revolt</v>
      </c>
      <c r="C1052">
        <v>320624</v>
      </c>
      <c r="D1052" t="str">
        <f>"Lewis, Michael"</f>
        <v>Lewis, Michael</v>
      </c>
      <c r="F1052" t="str">
        <f>"274 pages, 25 cm"</f>
        <v>274 pages, 25 cm</v>
      </c>
      <c r="G1052" s="1">
        <v>14</v>
      </c>
      <c r="H1052">
        <v>2014</v>
      </c>
      <c r="I1052" t="str">
        <f t="shared" si="38"/>
        <v>9: 300 - 399</v>
      </c>
      <c r="K1052" t="str">
        <f>"LL - In"</f>
        <v>LL - In</v>
      </c>
      <c r="L1052" s="1">
        <v>33</v>
      </c>
      <c r="O1052" t="s">
        <v>28</v>
      </c>
      <c r="P1052">
        <v>4</v>
      </c>
      <c r="Q1052">
        <v>0</v>
      </c>
      <c r="R1052">
        <v>31</v>
      </c>
      <c r="S1052" s="2">
        <v>41725</v>
      </c>
      <c r="T1052" s="2">
        <v>42177</v>
      </c>
      <c r="U1052" s="2">
        <v>43703</v>
      </c>
      <c r="V1052" s="2">
        <v>42274</v>
      </c>
    </row>
    <row r="1053" spans="1:22" x14ac:dyDescent="0.2">
      <c r="A1053" t="str">
        <f>"332.6 LEW"</f>
        <v>332.6 LEW</v>
      </c>
      <c r="B1053" t="str">
        <f>"Flash boys: a Wall Street revolt"</f>
        <v>Flash boys: a Wall Street revolt</v>
      </c>
      <c r="C1053">
        <v>320625</v>
      </c>
      <c r="D1053" t="str">
        <f>"Lewis, Michael"</f>
        <v>Lewis, Michael</v>
      </c>
      <c r="F1053" t="str">
        <f>"274 pages, 25 cm"</f>
        <v>274 pages, 25 cm</v>
      </c>
      <c r="G1053" s="1">
        <v>14</v>
      </c>
      <c r="H1053">
        <v>2014</v>
      </c>
      <c r="I1053" t="str">
        <f t="shared" si="38"/>
        <v>9: 300 - 399</v>
      </c>
      <c r="K1053" t="str">
        <f>"WB - In"</f>
        <v>WB - In</v>
      </c>
      <c r="L1053" s="1">
        <v>33</v>
      </c>
      <c r="O1053" t="s">
        <v>28</v>
      </c>
      <c r="P1053">
        <v>10</v>
      </c>
      <c r="Q1053">
        <v>0</v>
      </c>
      <c r="R1053">
        <v>32</v>
      </c>
      <c r="S1053" s="2">
        <v>41725</v>
      </c>
      <c r="T1053" s="2">
        <v>41949</v>
      </c>
      <c r="U1053" s="2">
        <v>43806</v>
      </c>
      <c r="V1053" s="2">
        <v>42036</v>
      </c>
    </row>
    <row r="1054" spans="1:22" x14ac:dyDescent="0.2">
      <c r="A1054" t="str">
        <f>"332.6 LOF"</f>
        <v>332.6 LOF</v>
      </c>
      <c r="B1054" t="str">
        <f>"Warren Buffett invests like a girl: and "</f>
        <v xml:space="preserve">Warren Buffett invests like a girl: and </v>
      </c>
      <c r="C1054">
        <v>301233</v>
      </c>
      <c r="D1054" t="str">
        <f>"Lofton, LouAnn."</f>
        <v>Lofton, LouAnn.</v>
      </c>
      <c r="F1054" t="str">
        <f>"259 p."</f>
        <v>259 p.</v>
      </c>
      <c r="G1054" s="1">
        <v>11</v>
      </c>
      <c r="H1054">
        <v>2011</v>
      </c>
      <c r="I1054" t="str">
        <f t="shared" si="38"/>
        <v>9: 300 - 399</v>
      </c>
      <c r="K1054" t="str">
        <f>"WB - In"</f>
        <v>WB - In</v>
      </c>
      <c r="L1054" s="1">
        <v>31</v>
      </c>
      <c r="M1054" t="s">
        <v>992</v>
      </c>
      <c r="O1054" t="s">
        <v>28</v>
      </c>
      <c r="P1054">
        <v>8</v>
      </c>
      <c r="Q1054">
        <v>0</v>
      </c>
      <c r="R1054">
        <v>39</v>
      </c>
      <c r="S1054" s="2">
        <v>40722</v>
      </c>
      <c r="T1054" s="2">
        <v>41103</v>
      </c>
      <c r="U1054" s="2">
        <v>43818</v>
      </c>
      <c r="V1054" s="2">
        <v>42401</v>
      </c>
    </row>
    <row r="1055" spans="1:22" x14ac:dyDescent="0.2">
      <c r="A1055" t="str">
        <f>"332.6 LOW"</f>
        <v>332.6 LOW</v>
      </c>
      <c r="B1055" t="str">
        <f>"Broke millennial takes on investing: a b"</f>
        <v>Broke millennial takes on investing: a b</v>
      </c>
      <c r="C1055">
        <v>354198</v>
      </c>
      <c r="D1055" t="str">
        <f>"Lowry, Erin"</f>
        <v>Lowry, Erin</v>
      </c>
      <c r="F1055" t="str">
        <f>"241 pages, 21 cm"</f>
        <v>241 pages, 21 cm</v>
      </c>
      <c r="G1055" s="1">
        <v>19</v>
      </c>
      <c r="H1055">
        <v>2019</v>
      </c>
      <c r="I1055" t="str">
        <f t="shared" si="38"/>
        <v>9: 300 - 399</v>
      </c>
      <c r="K1055" t="str">
        <f>"WB - In"</f>
        <v>WB - In</v>
      </c>
      <c r="L1055" s="1">
        <v>20</v>
      </c>
      <c r="M1055" t="s">
        <v>993</v>
      </c>
      <c r="O1055" t="s">
        <v>28</v>
      </c>
      <c r="P1055">
        <v>2</v>
      </c>
      <c r="Q1055">
        <v>0</v>
      </c>
      <c r="R1055">
        <v>2</v>
      </c>
      <c r="S1055" s="2">
        <v>43572</v>
      </c>
      <c r="T1055" s="2">
        <v>43574</v>
      </c>
      <c r="U1055" s="2">
        <v>43761</v>
      </c>
    </row>
    <row r="1056" spans="1:22" x14ac:dyDescent="0.2">
      <c r="A1056" t="str">
        <f>"332.6 MAL"</f>
        <v>332.6 MAL</v>
      </c>
      <c r="B1056" t="str">
        <f>"random walk down Wall Street: the time-t"</f>
        <v>random walk down Wall Street: the time-t</v>
      </c>
      <c r="C1056">
        <v>289093</v>
      </c>
      <c r="D1056" t="str">
        <f>"Malkiel, Burton Gordon,"</f>
        <v>Malkiel, Burton Gordon,</v>
      </c>
      <c r="F1056" t="str">
        <f>"491 pages, 21 cm, illustrations"</f>
        <v>491 pages, 21 cm, illustrations</v>
      </c>
      <c r="G1056" s="1">
        <v>16</v>
      </c>
      <c r="H1056">
        <v>2016</v>
      </c>
      <c r="I1056" t="str">
        <f t="shared" si="38"/>
        <v>9: 300 - 399</v>
      </c>
      <c r="K1056" t="str">
        <f>"LL - In"</f>
        <v>LL - In</v>
      </c>
      <c r="L1056" s="1">
        <v>25</v>
      </c>
      <c r="M1056" t="s">
        <v>994</v>
      </c>
      <c r="O1056" t="s">
        <v>28</v>
      </c>
      <c r="P1056">
        <v>16</v>
      </c>
      <c r="Q1056">
        <v>1</v>
      </c>
      <c r="R1056">
        <v>25</v>
      </c>
      <c r="S1056" s="2">
        <v>42549</v>
      </c>
      <c r="T1056" s="2">
        <v>42774</v>
      </c>
      <c r="U1056" s="2">
        <v>43815</v>
      </c>
      <c r="V1056" s="2">
        <v>42782</v>
      </c>
    </row>
    <row r="1057" spans="1:22" x14ac:dyDescent="0.2">
      <c r="A1057" t="str">
        <f>"332.6 MAN"</f>
        <v>332.6 MAN</v>
      </c>
      <c r="B1057" t="str">
        <f>"What happened to Goldman Sachs?: an insi"</f>
        <v>What happened to Goldman Sachs?: an insi</v>
      </c>
      <c r="C1057">
        <v>317047</v>
      </c>
      <c r="D1057" t="str">
        <f>"Mandis, Steven G."</f>
        <v>Mandis, Steven G.</v>
      </c>
      <c r="F1057" t="str">
        <f>"viii, 380 pages, 25 cm, illustrations"</f>
        <v>viii, 380 pages, 25 cm, illustrations</v>
      </c>
      <c r="G1057" s="1">
        <v>13</v>
      </c>
      <c r="H1057">
        <v>2013</v>
      </c>
      <c r="I1057" t="str">
        <f t="shared" si="38"/>
        <v>9: 300 - 399</v>
      </c>
      <c r="K1057" t="str">
        <f>"WB - In"</f>
        <v>WB - In</v>
      </c>
      <c r="L1057" s="1">
        <v>33</v>
      </c>
      <c r="M1057" t="s">
        <v>995</v>
      </c>
      <c r="O1057" t="s">
        <v>28</v>
      </c>
      <c r="P1057">
        <v>1</v>
      </c>
      <c r="Q1057">
        <v>1</v>
      </c>
      <c r="R1057">
        <v>14</v>
      </c>
      <c r="S1057" s="2">
        <v>41554</v>
      </c>
      <c r="T1057" s="2">
        <v>41857</v>
      </c>
      <c r="U1057" s="2">
        <v>43036</v>
      </c>
      <c r="V1057" s="2">
        <v>43723</v>
      </c>
    </row>
    <row r="1058" spans="1:22" x14ac:dyDescent="0.2">
      <c r="A1058" t="str">
        <f>"332.6 MAR"</f>
        <v>332.6 MAR</v>
      </c>
      <c r="B1058" t="str">
        <f>"most important thing: uncommon sense for"</f>
        <v>most important thing: uncommon sense for</v>
      </c>
      <c r="C1058">
        <v>247296</v>
      </c>
      <c r="D1058" t="str">
        <f>"Marks, Howard,"</f>
        <v>Marks, Howard,</v>
      </c>
      <c r="F1058" t="str">
        <f>"180 p."</f>
        <v>180 p.</v>
      </c>
      <c r="G1058" s="1">
        <v>11</v>
      </c>
      <c r="H1058">
        <v>2011</v>
      </c>
      <c r="I1058" t="str">
        <f t="shared" si="38"/>
        <v>9: 300 - 399</v>
      </c>
      <c r="K1058" t="str">
        <f>"WB - Out"</f>
        <v>WB - Out</v>
      </c>
      <c r="L1058" s="1">
        <v>35</v>
      </c>
      <c r="M1058" t="s">
        <v>996</v>
      </c>
      <c r="O1058" t="s">
        <v>28</v>
      </c>
      <c r="P1058">
        <v>8</v>
      </c>
      <c r="Q1058">
        <v>0</v>
      </c>
      <c r="R1058">
        <v>32</v>
      </c>
      <c r="S1058" s="2">
        <v>40667</v>
      </c>
      <c r="T1058" s="2">
        <v>42117</v>
      </c>
      <c r="U1058" s="2">
        <v>43836</v>
      </c>
      <c r="V1058" s="2">
        <v>42274</v>
      </c>
    </row>
    <row r="1059" spans="1:22" x14ac:dyDescent="0.2">
      <c r="A1059" t="str">
        <f>"332.6 MAR"</f>
        <v>332.6 MAR</v>
      </c>
      <c r="B1059" t="str">
        <f>"most important thing: uncommon sense for"</f>
        <v>most important thing: uncommon sense for</v>
      </c>
      <c r="C1059">
        <v>300266</v>
      </c>
      <c r="D1059" t="str">
        <f>"Marks, Howard,"</f>
        <v>Marks, Howard,</v>
      </c>
      <c r="F1059" t="str">
        <f>"180 p."</f>
        <v>180 p.</v>
      </c>
      <c r="G1059" s="1">
        <v>11</v>
      </c>
      <c r="H1059">
        <v>2011</v>
      </c>
      <c r="I1059" t="str">
        <f t="shared" si="38"/>
        <v>9: 300 - 399</v>
      </c>
      <c r="K1059" t="str">
        <f>"LL - In"</f>
        <v>LL - In</v>
      </c>
      <c r="L1059" s="1">
        <v>35</v>
      </c>
      <c r="M1059" t="s">
        <v>996</v>
      </c>
      <c r="O1059" t="s">
        <v>28</v>
      </c>
      <c r="P1059">
        <v>8</v>
      </c>
      <c r="Q1059">
        <v>2</v>
      </c>
      <c r="R1059">
        <v>38</v>
      </c>
      <c r="S1059" s="2">
        <v>40674</v>
      </c>
      <c r="T1059" s="2">
        <v>41060</v>
      </c>
      <c r="U1059" s="2">
        <v>43733</v>
      </c>
      <c r="V1059" s="2">
        <v>43836</v>
      </c>
    </row>
    <row r="1060" spans="1:22" x14ac:dyDescent="0.2">
      <c r="A1060" t="str">
        <f>"332.6 MAU"</f>
        <v>332.6 MAU</v>
      </c>
      <c r="B1060" t="str">
        <f>"little book of bull's eye investing: fin"</f>
        <v>little book of bull's eye investing: fin</v>
      </c>
      <c r="C1060">
        <v>307640</v>
      </c>
      <c r="D1060" t="str">
        <f>"Mauldin, John."</f>
        <v>Mauldin, John.</v>
      </c>
      <c r="F1060" t="str">
        <f>"188 p."</f>
        <v>188 p.</v>
      </c>
      <c r="G1060" s="1">
        <v>12</v>
      </c>
      <c r="H1060">
        <v>2012</v>
      </c>
      <c r="I1060" t="str">
        <f t="shared" si="38"/>
        <v>9: 300 - 399</v>
      </c>
      <c r="K1060" t="str">
        <f>"WB - In"</f>
        <v>WB - In</v>
      </c>
      <c r="L1060" s="1">
        <v>28</v>
      </c>
      <c r="M1060" t="s">
        <v>997</v>
      </c>
      <c r="O1060" t="s">
        <v>28</v>
      </c>
      <c r="P1060">
        <v>4</v>
      </c>
      <c r="Q1060">
        <v>2</v>
      </c>
      <c r="R1060">
        <v>24</v>
      </c>
      <c r="S1060" s="2">
        <v>41047</v>
      </c>
      <c r="T1060" s="2">
        <v>41332</v>
      </c>
      <c r="U1060" s="2">
        <v>43589</v>
      </c>
      <c r="V1060" s="2">
        <v>43237</v>
      </c>
    </row>
    <row r="1061" spans="1:22" x14ac:dyDescent="0.2">
      <c r="A1061" t="str">
        <f>"332.6 MIN"</f>
        <v>332.6 MIN</v>
      </c>
      <c r="B1061" t="str">
        <f>"Think and trade like a champion: the sec"</f>
        <v>Think and trade like a champion: the sec</v>
      </c>
      <c r="C1061">
        <v>294667</v>
      </c>
      <c r="D1061" t="str">
        <f>"Minervini, Mark."</f>
        <v>Minervini, Mark.</v>
      </c>
      <c r="F1061" t="str">
        <f>"246 p."</f>
        <v>246 p.</v>
      </c>
      <c r="G1061" s="1">
        <v>17</v>
      </c>
      <c r="H1061">
        <v>2017</v>
      </c>
      <c r="I1061" t="str">
        <f t="shared" si="38"/>
        <v>9: 300 - 399</v>
      </c>
      <c r="K1061" t="str">
        <f>"LL - In"</f>
        <v>LL - In</v>
      </c>
      <c r="L1061" s="1">
        <v>35</v>
      </c>
      <c r="M1061" t="s">
        <v>998</v>
      </c>
      <c r="O1061" t="s">
        <v>28</v>
      </c>
      <c r="P1061">
        <v>10</v>
      </c>
      <c r="Q1061">
        <v>0</v>
      </c>
      <c r="R1061">
        <v>10</v>
      </c>
      <c r="S1061" s="2">
        <v>42852</v>
      </c>
      <c r="T1061" s="2">
        <v>42858</v>
      </c>
      <c r="U1061" s="2">
        <v>43800</v>
      </c>
    </row>
    <row r="1062" spans="1:22" x14ac:dyDescent="0.2">
      <c r="A1062" t="str">
        <f>"332.6 PAR"</f>
        <v>332.6 PAR</v>
      </c>
      <c r="B1062" t="str">
        <f>"Questions great financial advisors ask--"</f>
        <v>Questions great financial advisors ask--</v>
      </c>
      <c r="C1062">
        <v>321319</v>
      </c>
      <c r="D1062" t="str">
        <f>"Parisse, Alan."</f>
        <v>Parisse, Alan.</v>
      </c>
      <c r="F1062" t="str">
        <f>"xviii, 162 p., 24 cm"</f>
        <v>xviii, 162 p., 24 cm</v>
      </c>
      <c r="G1062" s="1">
        <v>14</v>
      </c>
      <c r="H1062">
        <v>2006</v>
      </c>
      <c r="I1062" t="str">
        <f t="shared" si="38"/>
        <v>9: 300 - 399</v>
      </c>
      <c r="K1062" t="str">
        <f>"WB - In"</f>
        <v>WB - In</v>
      </c>
      <c r="L1062" s="1">
        <v>27</v>
      </c>
      <c r="M1062" t="s">
        <v>999</v>
      </c>
      <c r="O1062" t="s">
        <v>28</v>
      </c>
      <c r="P1062">
        <v>6</v>
      </c>
      <c r="Q1062">
        <v>0</v>
      </c>
      <c r="R1062">
        <v>17</v>
      </c>
      <c r="S1062" s="2">
        <v>41768</v>
      </c>
      <c r="T1062" s="2">
        <v>41857</v>
      </c>
      <c r="U1062" s="2">
        <v>43738</v>
      </c>
      <c r="V1062" s="2">
        <v>42764</v>
      </c>
    </row>
    <row r="1063" spans="1:22" x14ac:dyDescent="0.2">
      <c r="A1063" t="str">
        <f>"332.6 PET"</f>
        <v>332.6 PET</v>
      </c>
      <c r="B1063" t="str">
        <f>"Wall Street lingo: thousands of investme"</f>
        <v>Wall Street lingo: thousands of investme</v>
      </c>
      <c r="C1063">
        <v>337934</v>
      </c>
      <c r="D1063" t="str">
        <f>"Peterson, Nora,"</f>
        <v>Peterson, Nora,</v>
      </c>
      <c r="F1063" t="str">
        <f>"288 p., 23 cm, ill."</f>
        <v>288 p., 23 cm, ill.</v>
      </c>
      <c r="G1063" s="1">
        <v>16</v>
      </c>
      <c r="H1063">
        <v>2007</v>
      </c>
      <c r="I1063" t="str">
        <f t="shared" si="38"/>
        <v>9: 300 - 399</v>
      </c>
      <c r="K1063" t="str">
        <f>"LL - In"</f>
        <v>LL - In</v>
      </c>
      <c r="L1063" s="1">
        <v>25</v>
      </c>
      <c r="M1063" t="s">
        <v>1000</v>
      </c>
      <c r="O1063" t="s">
        <v>28</v>
      </c>
      <c r="P1063">
        <v>6</v>
      </c>
      <c r="Q1063">
        <v>0</v>
      </c>
      <c r="R1063">
        <v>7</v>
      </c>
      <c r="S1063" s="2">
        <v>42661</v>
      </c>
      <c r="T1063" s="2">
        <v>42670</v>
      </c>
      <c r="U1063" s="2">
        <v>43639</v>
      </c>
    </row>
    <row r="1064" spans="1:22" x14ac:dyDescent="0.2">
      <c r="A1064" t="str">
        <f>"332.6 SCH"</f>
        <v>332.6 SCH</v>
      </c>
      <c r="B1064" t="str">
        <f>"Warren Buffetts next door: the world's g"</f>
        <v>Warren Buffetts next door: the world's g</v>
      </c>
      <c r="C1064">
        <v>149198</v>
      </c>
      <c r="D1064" t="str">
        <f>"Schifrin, Matthew."</f>
        <v>Schifrin, Matthew.</v>
      </c>
      <c r="F1064" t="str">
        <f>"xxii, 194 p., 24 cm., ill."</f>
        <v>xxii, 194 p., 24 cm., ill.</v>
      </c>
      <c r="G1064" s="1">
        <v>11</v>
      </c>
      <c r="H1064">
        <v>2011</v>
      </c>
      <c r="I1064" t="str">
        <f t="shared" si="38"/>
        <v>9: 300 - 399</v>
      </c>
      <c r="K1064" t="str">
        <f>"LL - In"</f>
        <v>LL - In</v>
      </c>
      <c r="L1064" s="1">
        <v>35</v>
      </c>
      <c r="M1064" t="s">
        <v>1001</v>
      </c>
      <c r="O1064" t="s">
        <v>28</v>
      </c>
      <c r="P1064">
        <v>4</v>
      </c>
      <c r="Q1064">
        <v>0</v>
      </c>
      <c r="R1064">
        <v>29</v>
      </c>
      <c r="S1064" s="2">
        <v>40634</v>
      </c>
      <c r="T1064" s="2">
        <v>41053</v>
      </c>
      <c r="U1064" s="2">
        <v>43776</v>
      </c>
      <c r="V1064" s="2">
        <v>42674</v>
      </c>
    </row>
    <row r="1065" spans="1:22" x14ac:dyDescent="0.2">
      <c r="A1065" t="str">
        <f>"332.6 SCH"</f>
        <v>332.6 SCH</v>
      </c>
      <c r="B1065" t="str">
        <f>"Market wizards: interviews with top trad"</f>
        <v>Market wizards: interviews with top trad</v>
      </c>
      <c r="C1065">
        <v>335826</v>
      </c>
      <c r="D1065" t="str">
        <f>"Schwager, Jack D."</f>
        <v>Schwager, Jack D.</v>
      </c>
      <c r="F1065" t="str">
        <f>"xxv, 480 p., 23 cm"</f>
        <v>xxv, 480 p., 23 cm</v>
      </c>
      <c r="G1065" s="1">
        <v>16</v>
      </c>
      <c r="H1065">
        <v>2012</v>
      </c>
      <c r="I1065" t="str">
        <f t="shared" si="38"/>
        <v>9: 300 - 399</v>
      </c>
      <c r="K1065" t="str">
        <f>"WB - In"</f>
        <v>WB - In</v>
      </c>
      <c r="L1065" s="1">
        <v>32</v>
      </c>
      <c r="M1065" t="s">
        <v>1002</v>
      </c>
      <c r="O1065" t="s">
        <v>28</v>
      </c>
      <c r="P1065">
        <v>7</v>
      </c>
      <c r="Q1065">
        <v>0</v>
      </c>
      <c r="R1065">
        <v>9</v>
      </c>
      <c r="S1065" s="2">
        <v>42542</v>
      </c>
      <c r="T1065" s="2">
        <v>42558</v>
      </c>
      <c r="U1065" s="2">
        <v>43838</v>
      </c>
    </row>
    <row r="1066" spans="1:22" x14ac:dyDescent="0.2">
      <c r="A1066" t="str">
        <f>"332.6 SMI"</f>
        <v>332.6 SMI</v>
      </c>
      <c r="B1066" t="str">
        <f>"Money machine: the surprisingly simple p"</f>
        <v>Money machine: the surprisingly simple p</v>
      </c>
      <c r="C1066">
        <v>342563</v>
      </c>
      <c r="D1066" t="str">
        <f>"Smith, Gary,"</f>
        <v>Smith, Gary,</v>
      </c>
      <c r="F1066" t="str">
        <f>"xviii, 302 pages, 24 cm, illustrations"</f>
        <v>xviii, 302 pages, 24 cm, illustrations</v>
      </c>
      <c r="G1066" s="1">
        <v>17</v>
      </c>
      <c r="H1066">
        <v>2017</v>
      </c>
      <c r="I1066" t="str">
        <f t="shared" si="38"/>
        <v>9: 300 - 399</v>
      </c>
      <c r="K1066" t="str">
        <f>"WB - Out"</f>
        <v>WB - Out</v>
      </c>
      <c r="L1066" s="1">
        <v>33</v>
      </c>
      <c r="M1066" t="s">
        <v>1003</v>
      </c>
      <c r="O1066" t="s">
        <v>28</v>
      </c>
      <c r="P1066">
        <v>11</v>
      </c>
      <c r="Q1066">
        <v>2</v>
      </c>
      <c r="R1066">
        <v>13</v>
      </c>
      <c r="S1066" s="2">
        <v>42936</v>
      </c>
      <c r="T1066" s="2">
        <v>43096</v>
      </c>
      <c r="U1066" s="2">
        <v>43828</v>
      </c>
      <c r="V1066" s="2">
        <v>43711</v>
      </c>
    </row>
    <row r="1067" spans="1:22" x14ac:dyDescent="0.2">
      <c r="A1067" t="str">
        <f>"332.6 SMI"</f>
        <v>332.6 SMI</v>
      </c>
      <c r="B1067" t="str">
        <f>"Why I left Goldman Sachs: a Wall Street "</f>
        <v xml:space="preserve">Why I left Goldman Sachs: a Wall Street </v>
      </c>
      <c r="C1067">
        <v>310655</v>
      </c>
      <c r="D1067" t="str">
        <f>"Smith, Greg."</f>
        <v>Smith, Greg.</v>
      </c>
      <c r="F1067" t="str">
        <f>"277 p., 24 cm."</f>
        <v>277 p., 24 cm.</v>
      </c>
      <c r="G1067" s="1">
        <v>12</v>
      </c>
      <c r="H1067">
        <v>2012</v>
      </c>
      <c r="I1067" t="str">
        <f t="shared" si="38"/>
        <v>9: 300 - 399</v>
      </c>
      <c r="K1067" t="str">
        <f>"WB - In"</f>
        <v>WB - In</v>
      </c>
      <c r="L1067" s="1">
        <v>33</v>
      </c>
      <c r="M1067" t="s">
        <v>1004</v>
      </c>
      <c r="O1067" t="s">
        <v>28</v>
      </c>
      <c r="P1067">
        <v>5</v>
      </c>
      <c r="Q1067">
        <v>0</v>
      </c>
      <c r="R1067">
        <v>34</v>
      </c>
      <c r="S1067" s="2">
        <v>41206</v>
      </c>
      <c r="T1067" s="2">
        <v>41562</v>
      </c>
      <c r="U1067" s="2">
        <v>43609</v>
      </c>
      <c r="V1067" s="2">
        <v>42764</v>
      </c>
    </row>
    <row r="1068" spans="1:22" x14ac:dyDescent="0.2">
      <c r="A1068" t="str">
        <f>"332.6 SOL"</f>
        <v>332.6 SOL</v>
      </c>
      <c r="B1068" t="str">
        <f>"smartest investment book you'll ever rea"</f>
        <v>smartest investment book you'll ever rea</v>
      </c>
      <c r="C1068">
        <v>127295</v>
      </c>
      <c r="D1068" t="str">
        <f>"Solin, Daniel R"</f>
        <v>Solin, Daniel R</v>
      </c>
      <c r="F1068" t="str">
        <f>"179 p."</f>
        <v>179 p.</v>
      </c>
      <c r="G1068" s="1">
        <v>7</v>
      </c>
      <c r="H1068">
        <v>2006</v>
      </c>
      <c r="I1068" t="str">
        <f t="shared" si="38"/>
        <v>9: 300 - 399</v>
      </c>
      <c r="K1068" t="str">
        <f>"WB - In"</f>
        <v>WB - In</v>
      </c>
      <c r="L1068" s="1">
        <v>25</v>
      </c>
      <c r="M1068" t="s">
        <v>1005</v>
      </c>
      <c r="O1068" t="s">
        <v>28</v>
      </c>
      <c r="P1068">
        <v>6</v>
      </c>
      <c r="Q1068">
        <v>0</v>
      </c>
      <c r="R1068">
        <v>46</v>
      </c>
      <c r="S1068" s="2">
        <v>39301</v>
      </c>
      <c r="T1068" s="2">
        <v>41053</v>
      </c>
      <c r="U1068" s="2">
        <v>43738</v>
      </c>
      <c r="V1068" s="2">
        <v>42006</v>
      </c>
    </row>
    <row r="1069" spans="1:22" x14ac:dyDescent="0.2">
      <c r="A1069" t="str">
        <f>"332.6 SOL"</f>
        <v>332.6 SOL</v>
      </c>
      <c r="B1069" t="str">
        <f>"smartest portfolio you'll ever own: a do"</f>
        <v>smartest portfolio you'll ever own: a do</v>
      </c>
      <c r="C1069">
        <v>302696</v>
      </c>
      <c r="D1069" t="str">
        <f>"Solin, Daniel R"</f>
        <v>Solin, Daniel R</v>
      </c>
      <c r="F1069" t="str">
        <f>"207 p."</f>
        <v>207 p.</v>
      </c>
      <c r="G1069" s="1">
        <v>11</v>
      </c>
      <c r="H1069">
        <v>2011</v>
      </c>
      <c r="I1069" t="str">
        <f t="shared" si="38"/>
        <v>9: 300 - 399</v>
      </c>
      <c r="K1069" t="str">
        <f>"WB - In"</f>
        <v>WB - In</v>
      </c>
      <c r="L1069" s="1">
        <v>27</v>
      </c>
      <c r="M1069" t="s">
        <v>1006</v>
      </c>
      <c r="O1069" t="s">
        <v>28</v>
      </c>
      <c r="P1069">
        <v>6</v>
      </c>
      <c r="Q1069">
        <v>0</v>
      </c>
      <c r="R1069">
        <v>40</v>
      </c>
      <c r="S1069" s="2">
        <v>40788</v>
      </c>
      <c r="T1069" s="2">
        <v>41079</v>
      </c>
      <c r="U1069" s="2">
        <v>43785</v>
      </c>
      <c r="V1069" s="2">
        <v>42270</v>
      </c>
    </row>
    <row r="1070" spans="1:22" x14ac:dyDescent="0.2">
      <c r="A1070" t="str">
        <f>"332.6 SOL"</f>
        <v>332.6 SOL</v>
      </c>
      <c r="B1070" t="str">
        <f>"clean money revolution: reinventing powe"</f>
        <v>clean money revolution: reinventing powe</v>
      </c>
      <c r="C1070">
        <v>343758</v>
      </c>
      <c r="D1070" t="str">
        <f>"Solomon, Joel"</f>
        <v>Solomon, Joel</v>
      </c>
      <c r="F1070" t="str">
        <f>"xxi, 249 pages, 24 cm"</f>
        <v>xxi, 249 pages, 24 cm</v>
      </c>
      <c r="G1070" s="1">
        <v>17</v>
      </c>
      <c r="H1070">
        <v>2017</v>
      </c>
      <c r="I1070" t="str">
        <f t="shared" si="38"/>
        <v>9: 300 - 399</v>
      </c>
      <c r="K1070" t="str">
        <f>"LL - In"</f>
        <v>LL - In</v>
      </c>
      <c r="L1070" s="1">
        <v>35</v>
      </c>
      <c r="M1070" t="s">
        <v>1007</v>
      </c>
      <c r="O1070" t="s">
        <v>28</v>
      </c>
      <c r="P1070">
        <v>5</v>
      </c>
      <c r="Q1070">
        <v>1</v>
      </c>
      <c r="R1070">
        <v>6</v>
      </c>
      <c r="S1070" s="2">
        <v>43005</v>
      </c>
      <c r="T1070" s="2">
        <v>43265</v>
      </c>
      <c r="U1070" s="2">
        <v>43218</v>
      </c>
      <c r="V1070" s="2">
        <v>43179</v>
      </c>
    </row>
    <row r="1071" spans="1:22" x14ac:dyDescent="0.2">
      <c r="A1071" t="str">
        <f>"332.6 STE"</f>
        <v>332.6 STE</v>
      </c>
      <c r="B1071" t="str">
        <f>"little book of alternative investments: "</f>
        <v xml:space="preserve">little book of alternative investments: </v>
      </c>
      <c r="C1071">
        <v>149082</v>
      </c>
      <c r="D1071" t="str">
        <f>"Stein, Benjamin"</f>
        <v>Stein, Benjamin</v>
      </c>
      <c r="F1071" t="str">
        <f>"251 p."</f>
        <v>251 p.</v>
      </c>
      <c r="G1071" s="1">
        <v>11</v>
      </c>
      <c r="H1071">
        <v>2011</v>
      </c>
      <c r="I1071" t="str">
        <f t="shared" si="38"/>
        <v>9: 300 - 399</v>
      </c>
      <c r="K1071" t="str">
        <f>"WB - In"</f>
        <v>WB - In</v>
      </c>
      <c r="L1071" s="1">
        <v>25</v>
      </c>
      <c r="M1071" t="s">
        <v>1008</v>
      </c>
      <c r="O1071" t="s">
        <v>28</v>
      </c>
      <c r="P1071">
        <v>0</v>
      </c>
      <c r="Q1071">
        <v>0</v>
      </c>
      <c r="R1071">
        <v>19</v>
      </c>
      <c r="S1071" s="2">
        <v>40631</v>
      </c>
      <c r="T1071" s="2">
        <v>41053</v>
      </c>
      <c r="U1071" s="2">
        <v>42477</v>
      </c>
      <c r="V1071" s="2">
        <v>41343</v>
      </c>
    </row>
    <row r="1072" spans="1:22" x14ac:dyDescent="0.2">
      <c r="A1072" t="str">
        <f>"332.6 TIL"</f>
        <v>332.6 TIL</v>
      </c>
      <c r="B1072" t="str">
        <f>"Big money thinks small: biases, blind sp"</f>
        <v>Big money thinks small: biases, blind sp</v>
      </c>
      <c r="C1072">
        <v>343557</v>
      </c>
      <c r="D1072" t="str">
        <f>"Tillinghast, Joel"</f>
        <v>Tillinghast, Joel</v>
      </c>
      <c r="F1072" t="str">
        <f>"pages cm"</f>
        <v>pages cm</v>
      </c>
      <c r="G1072" s="1">
        <v>17</v>
      </c>
      <c r="H1072">
        <v>2017</v>
      </c>
      <c r="I1072" t="str">
        <f t="shared" si="38"/>
        <v>9: 300 - 399</v>
      </c>
      <c r="K1072" t="str">
        <f>"WB - In"</f>
        <v>WB - In</v>
      </c>
      <c r="L1072" s="1">
        <v>35</v>
      </c>
      <c r="M1072" t="s">
        <v>1009</v>
      </c>
      <c r="O1072" t="s">
        <v>28</v>
      </c>
      <c r="P1072">
        <v>11</v>
      </c>
      <c r="Q1072">
        <v>0</v>
      </c>
      <c r="R1072">
        <v>11</v>
      </c>
      <c r="S1072" s="2">
        <v>42990</v>
      </c>
      <c r="T1072" s="2">
        <v>43173</v>
      </c>
      <c r="U1072" s="2">
        <v>43730</v>
      </c>
    </row>
    <row r="1073" spans="1:22" x14ac:dyDescent="0.2">
      <c r="A1073" t="str">
        <f>"332.6 YAR"</f>
        <v>332.6 YAR</v>
      </c>
      <c r="B1073" t="str">
        <f>"Predicting the markets: a professional a"</f>
        <v>Predicting the markets: a professional a</v>
      </c>
      <c r="C1073">
        <v>298557</v>
      </c>
      <c r="D1073" t="str">
        <f>"Yardeni, Edward"</f>
        <v>Yardeni, Edward</v>
      </c>
      <c r="F1073" t="str">
        <f>"546 p."</f>
        <v>546 p.</v>
      </c>
      <c r="G1073" s="1">
        <v>18</v>
      </c>
      <c r="H1073">
        <v>2018</v>
      </c>
      <c r="I1073" t="str">
        <f t="shared" si="38"/>
        <v>9: 300 - 399</v>
      </c>
      <c r="K1073" t="str">
        <f>"WB - In"</f>
        <v>WB - In</v>
      </c>
      <c r="L1073" s="1">
        <v>40</v>
      </c>
      <c r="M1073" t="s">
        <v>1010</v>
      </c>
      <c r="O1073" t="s">
        <v>28</v>
      </c>
      <c r="P1073">
        <v>8</v>
      </c>
      <c r="Q1073">
        <v>0</v>
      </c>
      <c r="R1073">
        <v>8</v>
      </c>
      <c r="S1073" s="2">
        <v>43188</v>
      </c>
      <c r="T1073" s="2">
        <v>43376</v>
      </c>
      <c r="U1073" s="2">
        <v>43540</v>
      </c>
    </row>
    <row r="1074" spans="1:22" x14ac:dyDescent="0.2">
      <c r="A1074" t="str">
        <f>"332.63 BIR"</f>
        <v>332.63 BIR</v>
      </c>
      <c r="B1074" t="str">
        <f>"Empire of the fund: the way we save now"</f>
        <v>Empire of the fund: the way we save now</v>
      </c>
      <c r="C1074">
        <v>336986</v>
      </c>
      <c r="D1074" t="str">
        <f>"Birdthistle, William A."</f>
        <v>Birdthistle, William A.</v>
      </c>
      <c r="F1074" t="str">
        <f>"250 p."</f>
        <v>250 p.</v>
      </c>
      <c r="G1074" s="1">
        <v>16</v>
      </c>
      <c r="H1074">
        <v>2016</v>
      </c>
      <c r="I1074" t="str">
        <f t="shared" si="38"/>
        <v>9: 300 - 399</v>
      </c>
      <c r="K1074" t="str">
        <f>"LL - In"</f>
        <v>LL - In</v>
      </c>
      <c r="L1074" s="1">
        <v>40</v>
      </c>
      <c r="M1074" t="s">
        <v>1011</v>
      </c>
      <c r="O1074" t="s">
        <v>28</v>
      </c>
      <c r="P1074">
        <v>1</v>
      </c>
      <c r="Q1074">
        <v>0</v>
      </c>
      <c r="R1074">
        <v>5</v>
      </c>
      <c r="S1074" s="2">
        <v>42605</v>
      </c>
      <c r="T1074" s="2">
        <v>42795</v>
      </c>
      <c r="U1074" s="2">
        <v>43017</v>
      </c>
      <c r="V1074" s="2">
        <v>42635</v>
      </c>
    </row>
    <row r="1075" spans="1:22" x14ac:dyDescent="0.2">
      <c r="A1075" t="str">
        <f>"332.63 BOG"</f>
        <v>332.63 BOG</v>
      </c>
      <c r="B1075" t="str">
        <f>"little book of common sense investing: t"</f>
        <v>little book of common sense investing: t</v>
      </c>
      <c r="C1075">
        <v>348485</v>
      </c>
      <c r="D1075" t="str">
        <f>"Bogle, John C."</f>
        <v>Bogle, John C.</v>
      </c>
      <c r="F1075" t="str">
        <f>"xxxi, 270 pages, 19 cm, illustrations"</f>
        <v>xxxi, 270 pages, 19 cm, illustrations</v>
      </c>
      <c r="G1075" s="1">
        <v>18</v>
      </c>
      <c r="H1075">
        <v>2017</v>
      </c>
      <c r="I1075" t="str">
        <f t="shared" si="38"/>
        <v>9: 300 - 399</v>
      </c>
      <c r="K1075" t="str">
        <f>"WB - Out"</f>
        <v>WB - Out</v>
      </c>
      <c r="L1075" s="1">
        <v>30</v>
      </c>
      <c r="M1075" t="s">
        <v>1012</v>
      </c>
      <c r="O1075" t="s">
        <v>28</v>
      </c>
      <c r="P1075">
        <v>10</v>
      </c>
      <c r="Q1075">
        <v>0</v>
      </c>
      <c r="R1075">
        <v>10</v>
      </c>
      <c r="S1075" s="2">
        <v>43283</v>
      </c>
      <c r="T1075" s="2">
        <v>43287</v>
      </c>
      <c r="U1075" s="2">
        <v>43845</v>
      </c>
    </row>
    <row r="1076" spans="1:22" x14ac:dyDescent="0.2">
      <c r="A1076" t="str">
        <f>"332.63 BUF"</f>
        <v>332.63 BUF</v>
      </c>
      <c r="B1076" t="str">
        <f>"essays of Warren Buffett: lessons for co"</f>
        <v>essays of Warren Buffett: lessons for co</v>
      </c>
      <c r="C1076">
        <v>274981</v>
      </c>
      <c r="D1076" t="str">
        <f>"Buffett, Warren"</f>
        <v>Buffett, Warren</v>
      </c>
      <c r="F1076" t="str">
        <f>"308 p., 26 cm, ill."</f>
        <v>308 p., 26 cm, ill.</v>
      </c>
      <c r="G1076" s="1">
        <v>14</v>
      </c>
      <c r="H1076">
        <v>2013</v>
      </c>
      <c r="I1076" t="str">
        <f t="shared" si="38"/>
        <v>9: 300 - 399</v>
      </c>
      <c r="K1076" t="str">
        <f>"LL - In"</f>
        <v>LL - In</v>
      </c>
      <c r="L1076" s="1">
        <v>40</v>
      </c>
      <c r="M1076" t="s">
        <v>1013</v>
      </c>
      <c r="O1076" t="s">
        <v>28</v>
      </c>
      <c r="P1076">
        <v>16</v>
      </c>
      <c r="Q1076">
        <v>1</v>
      </c>
      <c r="R1076">
        <v>23</v>
      </c>
      <c r="S1076" s="2">
        <v>41848</v>
      </c>
      <c r="T1076" s="2">
        <v>41856</v>
      </c>
      <c r="U1076" s="2">
        <v>43815</v>
      </c>
      <c r="V1076" s="2">
        <v>43079</v>
      </c>
    </row>
    <row r="1077" spans="1:22" x14ac:dyDescent="0.2">
      <c r="A1077" t="str">
        <f>"332.63 CAR"</f>
        <v>332.63 CAR</v>
      </c>
      <c r="B1077" t="str">
        <f>"little book of big dividends: a safe for"</f>
        <v>little book of big dividends: a safe for</v>
      </c>
      <c r="C1077">
        <v>343138</v>
      </c>
      <c r="D1077" t="str">
        <f>"Carlson, Charles B."</f>
        <v>Carlson, Charles B.</v>
      </c>
      <c r="F1077" t="str">
        <f>"xxiv, 175 p., 25 cm"</f>
        <v>xxiv, 175 p., 25 cm</v>
      </c>
      <c r="G1077" s="1">
        <v>17</v>
      </c>
      <c r="H1077">
        <v>2010</v>
      </c>
      <c r="I1077" t="str">
        <f t="shared" si="38"/>
        <v>9: 300 - 399</v>
      </c>
      <c r="K1077" t="str">
        <f>"WB - In"</f>
        <v>WB - In</v>
      </c>
      <c r="L1077" s="1">
        <v>30</v>
      </c>
      <c r="M1077" t="s">
        <v>1014</v>
      </c>
      <c r="O1077" t="s">
        <v>28</v>
      </c>
      <c r="P1077">
        <v>4</v>
      </c>
      <c r="Q1077">
        <v>1</v>
      </c>
      <c r="R1077">
        <v>5</v>
      </c>
      <c r="S1077" s="2">
        <v>42963</v>
      </c>
      <c r="T1077" s="2">
        <v>42970</v>
      </c>
      <c r="U1077" s="2">
        <v>43839</v>
      </c>
      <c r="V1077" s="2">
        <v>43073</v>
      </c>
    </row>
    <row r="1078" spans="1:22" x14ac:dyDescent="0.2">
      <c r="A1078" t="str">
        <f>"332.63 CAR"</f>
        <v>332.63 CAR</v>
      </c>
      <c r="B1078" t="str">
        <f>"Mastering the trade: proven techniques f"</f>
        <v>Mastering the trade: proven techniques f</v>
      </c>
      <c r="C1078">
        <v>320149</v>
      </c>
      <c r="D1078" t="str">
        <f>"Carter, John F."</f>
        <v>Carter, John F.</v>
      </c>
      <c r="F1078" t="str">
        <f>"xx, 459 p., 25 cm, ill."</f>
        <v>xx, 459 p., 25 cm, ill.</v>
      </c>
      <c r="G1078" s="1">
        <v>14</v>
      </c>
      <c r="H1078">
        <v>2012</v>
      </c>
      <c r="I1078" t="str">
        <f t="shared" si="38"/>
        <v>9: 300 - 399</v>
      </c>
      <c r="K1078" t="str">
        <f>"WB - In"</f>
        <v>WB - In</v>
      </c>
      <c r="L1078" s="1">
        <v>70</v>
      </c>
      <c r="M1078" t="s">
        <v>1015</v>
      </c>
      <c r="O1078" t="s">
        <v>28</v>
      </c>
      <c r="P1078">
        <v>5</v>
      </c>
      <c r="Q1078">
        <v>1</v>
      </c>
      <c r="R1078">
        <v>12</v>
      </c>
      <c r="S1078" s="2">
        <v>41702</v>
      </c>
      <c r="T1078" s="2">
        <v>41723</v>
      </c>
      <c r="U1078" s="2">
        <v>43696</v>
      </c>
      <c r="V1078" s="2">
        <v>43592</v>
      </c>
    </row>
    <row r="1079" spans="1:22" x14ac:dyDescent="0.2">
      <c r="A1079" t="str">
        <f>"332.63 DOR"</f>
        <v>332.63 DOR</v>
      </c>
      <c r="B1079" t="str">
        <f>"little book that builds wealth: the knoc"</f>
        <v>little book that builds wealth: the knoc</v>
      </c>
      <c r="C1079">
        <v>212999</v>
      </c>
      <c r="D1079" t="str">
        <f>"Dorsey, Pat"</f>
        <v>Dorsey, Pat</v>
      </c>
      <c r="F1079" t="str">
        <f>"200 p."</f>
        <v>200 p.</v>
      </c>
      <c r="G1079" s="1">
        <v>8</v>
      </c>
      <c r="H1079">
        <v>2008</v>
      </c>
      <c r="I1079" t="str">
        <f t="shared" si="38"/>
        <v>9: 300 - 399</v>
      </c>
      <c r="K1079" t="str">
        <f>"WB - In"</f>
        <v>WB - In</v>
      </c>
      <c r="L1079" s="1">
        <v>25</v>
      </c>
      <c r="M1079" t="s">
        <v>1016</v>
      </c>
      <c r="O1079" t="s">
        <v>28</v>
      </c>
      <c r="P1079">
        <v>4</v>
      </c>
      <c r="Q1079">
        <v>2</v>
      </c>
      <c r="R1079">
        <v>28</v>
      </c>
      <c r="S1079" s="2">
        <v>39654</v>
      </c>
      <c r="T1079" s="2">
        <v>41053</v>
      </c>
      <c r="U1079" s="2">
        <v>43380</v>
      </c>
      <c r="V1079" s="2">
        <v>43430</v>
      </c>
    </row>
    <row r="1080" spans="1:22" x14ac:dyDescent="0.2">
      <c r="A1080" t="str">
        <f>"332.63 DUA"</f>
        <v>332.63 DUA</v>
      </c>
      <c r="B1080" t="str">
        <f>"Trading options for dummies"</f>
        <v>Trading options for dummies</v>
      </c>
      <c r="C1080">
        <v>359889</v>
      </c>
      <c r="D1080" t="str">
        <f>"Duarte, Joe"</f>
        <v>Duarte, Joe</v>
      </c>
      <c r="E1080" t="str">
        <f>"For Dummies series"</f>
        <v>For Dummies series</v>
      </c>
      <c r="F1080" t="str">
        <f>"388 pages, 24 cm, illustrations"</f>
        <v>388 pages, 24 cm, illustrations</v>
      </c>
      <c r="G1080" s="1">
        <v>19</v>
      </c>
      <c r="H1080">
        <v>2017</v>
      </c>
      <c r="I1080" t="str">
        <f t="shared" si="38"/>
        <v>9: 300 - 399</v>
      </c>
      <c r="K1080" t="str">
        <f>"LL - Out"</f>
        <v>LL - Out</v>
      </c>
      <c r="L1080" s="1">
        <v>32</v>
      </c>
      <c r="M1080" t="s">
        <v>1017</v>
      </c>
      <c r="O1080" t="s">
        <v>28</v>
      </c>
      <c r="P1080">
        <v>1</v>
      </c>
      <c r="Q1080">
        <v>0</v>
      </c>
      <c r="R1080">
        <v>1</v>
      </c>
      <c r="S1080" s="2">
        <v>43815</v>
      </c>
      <c r="T1080" s="2">
        <v>43839</v>
      </c>
      <c r="U1080" s="2">
        <v>43846</v>
      </c>
    </row>
    <row r="1081" spans="1:22" x14ac:dyDescent="0.2">
      <c r="A1081" t="str">
        <f>"332.63 GAL"</f>
        <v>332.63 GAL</v>
      </c>
      <c r="B1081" t="str">
        <f>"What every real estate investor needs to"</f>
        <v>What every real estate investor needs to</v>
      </c>
      <c r="C1081">
        <v>345773</v>
      </c>
      <c r="D1081" t="str">
        <f>"Gallinelli, Frank"</f>
        <v>Gallinelli, Frank</v>
      </c>
      <c r="F1081" t="str">
        <f>"xxvii, 336 pages, 23 cm, illustrations"</f>
        <v>xxvii, 336 pages, 23 cm, illustrations</v>
      </c>
      <c r="G1081" s="1">
        <v>18</v>
      </c>
      <c r="H1081">
        <v>2016</v>
      </c>
      <c r="I1081" t="str">
        <f t="shared" si="38"/>
        <v>9: 300 - 399</v>
      </c>
      <c r="K1081" t="str">
        <f>"WB - Out"</f>
        <v>WB - Out</v>
      </c>
      <c r="L1081" s="1">
        <v>33</v>
      </c>
      <c r="M1081" t="s">
        <v>1018</v>
      </c>
      <c r="O1081" t="s">
        <v>28</v>
      </c>
      <c r="P1081">
        <v>11</v>
      </c>
      <c r="Q1081">
        <v>2</v>
      </c>
      <c r="R1081">
        <v>13</v>
      </c>
      <c r="S1081" s="2">
        <v>43131</v>
      </c>
      <c r="T1081" s="2">
        <v>43137</v>
      </c>
      <c r="U1081" s="2">
        <v>43859</v>
      </c>
      <c r="V1081" s="2">
        <v>43405</v>
      </c>
    </row>
    <row r="1082" spans="1:22" x14ac:dyDescent="0.2">
      <c r="A1082" t="str">
        <f>"332.63 GRA"</f>
        <v>332.63 GRA</v>
      </c>
      <c r="B1082" t="str">
        <f>"Security analysis: principles and techni"</f>
        <v>Security analysis: principles and techni</v>
      </c>
      <c r="C1082">
        <v>312876</v>
      </c>
      <c r="D1082" t="str">
        <f>"Graham, Benjamin"</f>
        <v>Graham, Benjamin</v>
      </c>
      <c r="F1082" t="str">
        <f>"xliv, 766 p., 24 cm., ill."</f>
        <v>xliv, 766 p., 24 cm., ill.</v>
      </c>
      <c r="G1082" s="1">
        <v>13</v>
      </c>
      <c r="H1082">
        <v>2009</v>
      </c>
      <c r="I1082" t="str">
        <f t="shared" si="38"/>
        <v>9: 300 - 399</v>
      </c>
      <c r="K1082" t="str">
        <f>"WB - In"</f>
        <v>WB - In</v>
      </c>
      <c r="L1082" s="1">
        <v>80</v>
      </c>
      <c r="M1082" t="s">
        <v>1019</v>
      </c>
      <c r="O1082" t="s">
        <v>28</v>
      </c>
      <c r="P1082">
        <v>8</v>
      </c>
      <c r="Q1082">
        <v>0</v>
      </c>
      <c r="R1082">
        <v>24</v>
      </c>
      <c r="S1082" s="2">
        <v>41341</v>
      </c>
      <c r="T1082" s="2">
        <v>41347</v>
      </c>
      <c r="U1082" s="2">
        <v>43651</v>
      </c>
    </row>
    <row r="1083" spans="1:22" x14ac:dyDescent="0.2">
      <c r="A1083" t="str">
        <f>"332.63 GUT"</f>
        <v>332.63 GUT</v>
      </c>
      <c r="B1083" t="str">
        <f>"Options play: an intuitive approach to g"</f>
        <v>Options play: an intuitive approach to g</v>
      </c>
      <c r="C1083">
        <v>334533</v>
      </c>
      <c r="D1083" t="str">
        <f>"Guthner, Mark"</f>
        <v>Guthner, Mark</v>
      </c>
      <c r="E1083" t="str">
        <f>"Wiley trading"</f>
        <v>Wiley trading</v>
      </c>
      <c r="F1083" t="str">
        <f>"pages cm"</f>
        <v>pages cm</v>
      </c>
      <c r="G1083" s="1">
        <v>16</v>
      </c>
      <c r="H1083">
        <v>2016</v>
      </c>
      <c r="I1083" t="str">
        <f t="shared" si="38"/>
        <v>9: 300 - 399</v>
      </c>
      <c r="K1083" t="str">
        <f>"LL - In"</f>
        <v>LL - In</v>
      </c>
      <c r="L1083" s="1">
        <v>65</v>
      </c>
      <c r="M1083" t="s">
        <v>1020</v>
      </c>
      <c r="O1083" t="s">
        <v>28</v>
      </c>
      <c r="P1083">
        <v>9</v>
      </c>
      <c r="Q1083">
        <v>2</v>
      </c>
      <c r="R1083">
        <v>14</v>
      </c>
      <c r="S1083" s="2">
        <v>42472</v>
      </c>
      <c r="T1083" s="2">
        <v>42485</v>
      </c>
      <c r="U1083" s="2">
        <v>43698</v>
      </c>
      <c r="V1083" s="2">
        <v>43592</v>
      </c>
    </row>
    <row r="1084" spans="1:22" x14ac:dyDescent="0.2">
      <c r="A1084" t="str">
        <f>"332.63 IRW"</f>
        <v>332.63 IRW</v>
      </c>
      <c r="B1084" t="str">
        <f>"How to find hidden real estate bargains"</f>
        <v>How to find hidden real estate bargains</v>
      </c>
      <c r="C1084">
        <v>109231</v>
      </c>
      <c r="D1084" t="str">
        <f>"Irwin, Robert"</f>
        <v>Irwin, Robert</v>
      </c>
      <c r="F1084" t="str">
        <f>"vi, 213 p., 24 cm."</f>
        <v>vi, 213 p., 24 cm.</v>
      </c>
      <c r="G1084" s="1">
        <v>3</v>
      </c>
      <c r="H1084">
        <v>2003</v>
      </c>
      <c r="I1084" t="str">
        <f t="shared" si="38"/>
        <v>9: 300 - 399</v>
      </c>
      <c r="K1084" t="str">
        <f>"LL - Out"</f>
        <v>LL - Out</v>
      </c>
      <c r="L1084" s="1">
        <v>20</v>
      </c>
      <c r="M1084" t="s">
        <v>1021</v>
      </c>
      <c r="O1084" t="s">
        <v>28</v>
      </c>
      <c r="P1084">
        <v>8</v>
      </c>
      <c r="Q1084">
        <v>0</v>
      </c>
      <c r="R1084">
        <v>111</v>
      </c>
      <c r="S1084" s="2">
        <v>37630</v>
      </c>
      <c r="T1084" s="2">
        <v>41053</v>
      </c>
      <c r="U1084" s="2">
        <v>43853</v>
      </c>
      <c r="V1084" s="2">
        <v>42508</v>
      </c>
    </row>
    <row r="1085" spans="1:22" x14ac:dyDescent="0.2">
      <c r="A1085" t="str">
        <f>"332.63 KEL"</f>
        <v>332.63 KEL</v>
      </c>
      <c r="B1085" t="str">
        <f>"millionaire real estate investor: anyone"</f>
        <v>millionaire real estate investor: anyone</v>
      </c>
      <c r="C1085">
        <v>123153</v>
      </c>
      <c r="D1085" t="str">
        <f>"Keller, Gary"</f>
        <v>Keller, Gary</v>
      </c>
      <c r="F1085" t="str">
        <f>"xxii, 408 p., 24 cm., ill."</f>
        <v>xxii, 408 p., 24 cm., ill.</v>
      </c>
      <c r="G1085" s="1">
        <v>6</v>
      </c>
      <c r="H1085">
        <v>2005</v>
      </c>
      <c r="I1085" t="str">
        <f t="shared" si="38"/>
        <v>9: 300 - 399</v>
      </c>
      <c r="K1085" t="str">
        <f>"WB - In"</f>
        <v>WB - In</v>
      </c>
      <c r="L1085" s="1">
        <v>27</v>
      </c>
      <c r="M1085" t="s">
        <v>1022</v>
      </c>
      <c r="O1085" t="s">
        <v>28</v>
      </c>
      <c r="P1085">
        <v>9</v>
      </c>
      <c r="Q1085">
        <v>1</v>
      </c>
      <c r="R1085">
        <v>62</v>
      </c>
      <c r="S1085" s="2">
        <v>38924</v>
      </c>
      <c r="T1085" s="2">
        <v>41053</v>
      </c>
      <c r="U1085" s="2">
        <v>43653</v>
      </c>
      <c r="V1085" s="2">
        <v>43405</v>
      </c>
    </row>
    <row r="1086" spans="1:22" x14ac:dyDescent="0.2">
      <c r="A1086" t="str">
        <f>"332.63 LEE"</f>
        <v>332.63 LEE</v>
      </c>
      <c r="B1086" t="str">
        <f>"Investing wisely: a systematic approach "</f>
        <v xml:space="preserve">Investing wisely: a systematic approach </v>
      </c>
      <c r="C1086">
        <v>403495</v>
      </c>
      <c r="D1086" t="str">
        <f>"Lee, Alan"</f>
        <v>Lee, Alan</v>
      </c>
      <c r="F1086" t="str">
        <f>"91 p."</f>
        <v>91 p.</v>
      </c>
      <c r="G1086" s="1">
        <v>18</v>
      </c>
      <c r="H1086">
        <v>2017</v>
      </c>
      <c r="I1086" t="str">
        <f t="shared" si="38"/>
        <v>9: 300 - 399</v>
      </c>
      <c r="K1086" t="str">
        <f>"WB - In"</f>
        <v>WB - In</v>
      </c>
      <c r="L1086" s="1">
        <v>18</v>
      </c>
      <c r="M1086" t="s">
        <v>1023</v>
      </c>
      <c r="O1086" t="s">
        <v>28</v>
      </c>
      <c r="P1086">
        <v>3</v>
      </c>
      <c r="Q1086">
        <v>0</v>
      </c>
      <c r="R1086">
        <v>3</v>
      </c>
      <c r="S1086" s="2">
        <v>43398</v>
      </c>
      <c r="T1086" s="2">
        <v>43412</v>
      </c>
      <c r="U1086" s="2">
        <v>43716</v>
      </c>
    </row>
    <row r="1087" spans="1:22" x14ac:dyDescent="0.2">
      <c r="A1087" t="str">
        <f>"332.63 LIC"</f>
        <v>332.63 LIC</v>
      </c>
      <c r="B1087" t="str">
        <f>"Get rich with dividends: a proven system"</f>
        <v>Get rich with dividends: a proven system</v>
      </c>
      <c r="C1087">
        <v>349706</v>
      </c>
      <c r="D1087" t="str">
        <f>"Lichtenfeld, Marc."</f>
        <v>Lichtenfeld, Marc.</v>
      </c>
      <c r="F1087" t="str">
        <f>"xiii, 221 pages, 24 cm, illustrations"</f>
        <v>xiii, 221 pages, 24 cm, illustrations</v>
      </c>
      <c r="G1087" s="1">
        <v>18</v>
      </c>
      <c r="H1087">
        <v>2015</v>
      </c>
      <c r="I1087" t="str">
        <f t="shared" si="38"/>
        <v>9: 300 - 399</v>
      </c>
      <c r="K1087" t="str">
        <f>"WB - In"</f>
        <v>WB - In</v>
      </c>
      <c r="L1087" s="1">
        <v>45</v>
      </c>
      <c r="M1087" t="s">
        <v>1024</v>
      </c>
      <c r="O1087" t="s">
        <v>28</v>
      </c>
      <c r="P1087">
        <v>1</v>
      </c>
      <c r="Q1087">
        <v>1</v>
      </c>
      <c r="R1087">
        <v>2</v>
      </c>
      <c r="S1087" s="2">
        <v>43347</v>
      </c>
      <c r="T1087" s="2">
        <v>43357</v>
      </c>
      <c r="U1087" s="2">
        <v>43611</v>
      </c>
      <c r="V1087" s="2">
        <v>43817</v>
      </c>
    </row>
    <row r="1088" spans="1:22" x14ac:dyDescent="0.2">
      <c r="A1088" t="str">
        <f>"332.63 MCM"</f>
        <v>332.63 MCM</v>
      </c>
      <c r="B1088" t="str">
        <f>"Options as a strategic investment"</f>
        <v>Options as a strategic investment</v>
      </c>
      <c r="C1088">
        <v>278741</v>
      </c>
      <c r="D1088" t="str">
        <f>"McMillan, Lawrence G."</f>
        <v>McMillan, Lawrence G.</v>
      </c>
      <c r="F1088" t="str">
        <f>"1048 p."</f>
        <v>1048 p.</v>
      </c>
      <c r="G1088" s="1">
        <v>14</v>
      </c>
      <c r="H1088">
        <v>2012</v>
      </c>
      <c r="I1088" t="str">
        <f t="shared" si="38"/>
        <v>9: 300 - 399</v>
      </c>
      <c r="K1088" t="str">
        <f>"LL - In"</f>
        <v>LL - In</v>
      </c>
      <c r="L1088" s="1">
        <v>105</v>
      </c>
      <c r="M1088" t="s">
        <v>1025</v>
      </c>
      <c r="O1088" t="s">
        <v>28</v>
      </c>
      <c r="P1088">
        <v>12</v>
      </c>
      <c r="Q1088">
        <v>0</v>
      </c>
      <c r="R1088">
        <v>25</v>
      </c>
      <c r="S1088" s="2">
        <v>41995</v>
      </c>
      <c r="T1088" s="2">
        <v>42002</v>
      </c>
      <c r="U1088" s="2">
        <v>43815</v>
      </c>
    </row>
    <row r="1089" spans="1:22" x14ac:dyDescent="0.2">
      <c r="A1089" t="str">
        <f>"332.63 MIN"</f>
        <v>332.63 MIN</v>
      </c>
      <c r="B1089" t="str">
        <f>"Trade like a stock market wizard: how to"</f>
        <v>Trade like a stock market wizard: how to</v>
      </c>
      <c r="C1089">
        <v>313861</v>
      </c>
      <c r="D1089" t="str">
        <f>"Minervini, Mark."</f>
        <v>Minervini, Mark.</v>
      </c>
      <c r="F1089" t="str">
        <f>"331 p."</f>
        <v>331 p.</v>
      </c>
      <c r="G1089" s="1">
        <v>13</v>
      </c>
      <c r="H1089">
        <v>2013</v>
      </c>
      <c r="I1089" t="str">
        <f t="shared" si="38"/>
        <v>9: 300 - 399</v>
      </c>
      <c r="K1089" t="str">
        <f>"WB - In"</f>
        <v>WB - In</v>
      </c>
      <c r="L1089" s="1">
        <v>32</v>
      </c>
      <c r="M1089" t="s">
        <v>1026</v>
      </c>
      <c r="O1089" t="s">
        <v>28</v>
      </c>
      <c r="P1089">
        <v>8</v>
      </c>
      <c r="Q1089">
        <v>2</v>
      </c>
      <c r="R1089">
        <v>25</v>
      </c>
      <c r="S1089" s="2">
        <v>41395</v>
      </c>
      <c r="T1089" s="2">
        <v>41549</v>
      </c>
      <c r="U1089" s="2">
        <v>43838</v>
      </c>
      <c r="V1089" s="2">
        <v>43160</v>
      </c>
    </row>
    <row r="1090" spans="1:22" x14ac:dyDescent="0.2">
      <c r="A1090" t="str">
        <f>"332.63 MUR"</f>
        <v>332.63 MUR</v>
      </c>
      <c r="B1090" t="str">
        <f>"Crushing it in apartments and commercial"</f>
        <v>Crushing it in apartments and commercial</v>
      </c>
      <c r="C1090">
        <v>345487</v>
      </c>
      <c r="D1090" t="str">
        <f>"Murray, Brian"</f>
        <v>Murray, Brian</v>
      </c>
      <c r="F1090" t="str">
        <f>"xv, 322 pages, 23 cm, illustrations"</f>
        <v>xv, 322 pages, 23 cm, illustrations</v>
      </c>
      <c r="G1090" s="1">
        <v>18</v>
      </c>
      <c r="H1090">
        <v>2017</v>
      </c>
      <c r="I1090" t="str">
        <f t="shared" si="38"/>
        <v>9: 300 - 399</v>
      </c>
      <c r="K1090" t="str">
        <f>"WB - In"</f>
        <v>WB - In</v>
      </c>
      <c r="L1090" s="1">
        <v>29</v>
      </c>
      <c r="M1090" t="s">
        <v>1027</v>
      </c>
      <c r="O1090" t="s">
        <v>28</v>
      </c>
      <c r="P1090">
        <v>6</v>
      </c>
      <c r="Q1090">
        <v>0</v>
      </c>
      <c r="R1090">
        <v>6</v>
      </c>
      <c r="S1090" s="2">
        <v>43108</v>
      </c>
      <c r="T1090" s="2">
        <v>43214</v>
      </c>
      <c r="U1090" s="2">
        <v>43807</v>
      </c>
    </row>
    <row r="1091" spans="1:22" x14ac:dyDescent="0.2">
      <c r="A1091" t="str">
        <f>"332.63 NAT"</f>
        <v>332.63 NAT</v>
      </c>
      <c r="B1091" t="str">
        <f>"Option volatility &amp; pricing: advanced tr"</f>
        <v>Option volatility &amp; pricing: advanced tr</v>
      </c>
      <c r="C1091">
        <v>319949</v>
      </c>
      <c r="D1091" t="str">
        <f>"Natenberg, Sheldon."</f>
        <v>Natenberg, Sheldon.</v>
      </c>
      <c r="F1091" t="str">
        <f>"xiv, 469 p., 24 cm, ill."</f>
        <v>xiv, 469 p., 24 cm, ill.</v>
      </c>
      <c r="G1091" s="1">
        <v>14</v>
      </c>
      <c r="H1091">
        <v>1994</v>
      </c>
      <c r="I1091" t="str">
        <f t="shared" si="38"/>
        <v>9: 300 - 399</v>
      </c>
      <c r="K1091" t="str">
        <f>"LL - In"</f>
        <v>LL - In</v>
      </c>
      <c r="L1091" s="1">
        <v>70</v>
      </c>
      <c r="M1091" t="s">
        <v>1028</v>
      </c>
      <c r="O1091" t="s">
        <v>28</v>
      </c>
      <c r="P1091">
        <v>6</v>
      </c>
      <c r="Q1091">
        <v>2</v>
      </c>
      <c r="R1091">
        <v>21</v>
      </c>
      <c r="S1091" s="2">
        <v>41694</v>
      </c>
      <c r="T1091" s="2">
        <v>41703</v>
      </c>
      <c r="U1091" s="2">
        <v>43662</v>
      </c>
      <c r="V1091" s="2">
        <v>43596</v>
      </c>
    </row>
    <row r="1092" spans="1:22" x14ac:dyDescent="0.2">
      <c r="A1092" t="str">
        <f>"332.63 PUS"</f>
        <v>332.63 PUS</v>
      </c>
      <c r="B1092" t="str">
        <f>"Real estate investing gone bad"</f>
        <v>Real estate investing gone bad</v>
      </c>
      <c r="C1092">
        <v>289561</v>
      </c>
      <c r="D1092" t="str">
        <f>"Pustejovsky, Phil"</f>
        <v>Pustejovsky, Phil</v>
      </c>
      <c r="F1092" t="str">
        <f>"130 p., 24 cm"</f>
        <v>130 p., 24 cm</v>
      </c>
      <c r="G1092" s="1">
        <v>16</v>
      </c>
      <c r="H1092">
        <v>2016</v>
      </c>
      <c r="I1092" t="str">
        <f t="shared" si="38"/>
        <v>9: 300 - 399</v>
      </c>
      <c r="K1092" t="str">
        <f>"WB - In"</f>
        <v>WB - In</v>
      </c>
      <c r="L1092" s="1">
        <v>15</v>
      </c>
      <c r="M1092" t="s">
        <v>1029</v>
      </c>
      <c r="O1092" t="s">
        <v>28</v>
      </c>
      <c r="P1092">
        <v>7</v>
      </c>
      <c r="Q1092">
        <v>0</v>
      </c>
      <c r="R1092">
        <v>7</v>
      </c>
      <c r="S1092" s="2">
        <v>42581</v>
      </c>
      <c r="T1092" s="2">
        <v>42633</v>
      </c>
      <c r="U1092" s="2">
        <v>43784</v>
      </c>
    </row>
    <row r="1093" spans="1:22" x14ac:dyDescent="0.2">
      <c r="A1093" t="str">
        <f>"332.63 SAN"</f>
        <v>332.63 SAN</v>
      </c>
      <c r="B1093" t="str">
        <f>"100 best stocks to buy in 2018"</f>
        <v>100 best stocks to buy in 2018</v>
      </c>
      <c r="C1093">
        <v>348460</v>
      </c>
      <c r="D1093" t="str">
        <f>"Sander, Peter J."</f>
        <v>Sander, Peter J.</v>
      </c>
      <c r="F1093" t="str">
        <f>"399 pages, 22 cm"</f>
        <v>399 pages, 22 cm</v>
      </c>
      <c r="G1093" s="1">
        <v>18</v>
      </c>
      <c r="H1093">
        <v>2017</v>
      </c>
      <c r="I1093" t="str">
        <f t="shared" si="38"/>
        <v>9: 300 - 399</v>
      </c>
      <c r="K1093" t="str">
        <f>"LL - Out"</f>
        <v>LL - Out</v>
      </c>
      <c r="L1093" s="1">
        <v>22</v>
      </c>
      <c r="M1093" t="s">
        <v>1030</v>
      </c>
      <c r="O1093" t="s">
        <v>28</v>
      </c>
      <c r="P1093">
        <v>2</v>
      </c>
      <c r="Q1093">
        <v>2</v>
      </c>
      <c r="R1093">
        <v>4</v>
      </c>
      <c r="S1093" s="2">
        <v>43283</v>
      </c>
      <c r="T1093" s="2">
        <v>43307</v>
      </c>
      <c r="U1093" s="2">
        <v>43835</v>
      </c>
      <c r="V1093" s="2">
        <v>43582</v>
      </c>
    </row>
    <row r="1094" spans="1:22" x14ac:dyDescent="0.2">
      <c r="A1094" t="str">
        <f>"332.63 SHI"</f>
        <v>332.63 SHI</v>
      </c>
      <c r="B1094" t="str">
        <f>"Irrational exuberance"</f>
        <v>Irrational exuberance</v>
      </c>
      <c r="C1094">
        <v>333044</v>
      </c>
      <c r="D1094" t="str">
        <f>"Shiller, Robert J."</f>
        <v>Shiller, Robert J.</v>
      </c>
      <c r="F1094" t="str">
        <f>"xxx iii, 358 pages, 25 cm, illustrations"</f>
        <v>xxx iii, 358 pages, 25 cm, illustrations</v>
      </c>
      <c r="G1094" s="1">
        <v>16</v>
      </c>
      <c r="H1094">
        <v>2015</v>
      </c>
      <c r="I1094" t="str">
        <f t="shared" si="38"/>
        <v>9: 300 - 399</v>
      </c>
      <c r="K1094" t="str">
        <f>"WB - In"</f>
        <v>WB - In</v>
      </c>
      <c r="L1094" s="1">
        <v>35</v>
      </c>
      <c r="M1094" t="s">
        <v>1031</v>
      </c>
      <c r="O1094" t="s">
        <v>28</v>
      </c>
      <c r="P1094">
        <v>6</v>
      </c>
      <c r="Q1094">
        <v>0</v>
      </c>
      <c r="R1094">
        <v>14</v>
      </c>
      <c r="S1094" s="2">
        <v>42411</v>
      </c>
      <c r="T1094" s="2">
        <v>42583</v>
      </c>
      <c r="U1094" s="2">
        <v>43523</v>
      </c>
    </row>
    <row r="1095" spans="1:22" x14ac:dyDescent="0.2">
      <c r="A1095" t="str">
        <f>"332.63 SIE"</f>
        <v>332.63 SIE</v>
      </c>
      <c r="B1095" t="str">
        <f>"Stocks for the long run"</f>
        <v>Stocks for the long run</v>
      </c>
      <c r="C1095">
        <v>212924</v>
      </c>
      <c r="D1095" t="str">
        <f>"Siegel, Jeremy J."</f>
        <v>Siegel, Jeremy J.</v>
      </c>
      <c r="F1095" t="str">
        <f>"380 p."</f>
        <v>380 p.</v>
      </c>
      <c r="G1095" s="1">
        <v>8</v>
      </c>
      <c r="H1095">
        <v>2007</v>
      </c>
      <c r="I1095" t="str">
        <f t="shared" si="38"/>
        <v>9: 300 - 399</v>
      </c>
      <c r="K1095" t="str">
        <f>"LL - In"</f>
        <v>LL - In</v>
      </c>
      <c r="L1095" s="1">
        <v>40</v>
      </c>
      <c r="M1095" t="s">
        <v>1032</v>
      </c>
      <c r="O1095" t="s">
        <v>28</v>
      </c>
      <c r="P1095">
        <v>6</v>
      </c>
      <c r="Q1095">
        <v>1</v>
      </c>
      <c r="R1095">
        <v>21</v>
      </c>
      <c r="S1095" s="2">
        <v>39652</v>
      </c>
      <c r="T1095" s="2">
        <v>41053</v>
      </c>
      <c r="U1095" s="2">
        <v>43814</v>
      </c>
      <c r="V1095" s="2">
        <v>43578</v>
      </c>
    </row>
    <row r="1096" spans="1:22" x14ac:dyDescent="0.2">
      <c r="A1096" t="str">
        <f>"332.63 SMI"</f>
        <v>332.63 SMI</v>
      </c>
      <c r="B1096" t="str">
        <f>"How to make money in stocks success stor"</f>
        <v>How to make money in stocks success stor</v>
      </c>
      <c r="C1096">
        <v>312232</v>
      </c>
      <c r="D1096" t="str">
        <f>"Smith, Amy."</f>
        <v>Smith, Amy.</v>
      </c>
      <c r="F1096" t="str">
        <f>"234 p."</f>
        <v>234 p.</v>
      </c>
      <c r="G1096" s="1">
        <v>13</v>
      </c>
      <c r="H1096">
        <v>2012</v>
      </c>
      <c r="I1096" t="str">
        <f t="shared" ref="I1096:I1159" si="40">"9: 300 - 399"</f>
        <v>9: 300 - 399</v>
      </c>
      <c r="K1096" t="str">
        <f>"WB - In"</f>
        <v>WB - In</v>
      </c>
      <c r="L1096" s="1">
        <v>23</v>
      </c>
      <c r="M1096" t="s">
        <v>1033</v>
      </c>
      <c r="O1096" t="s">
        <v>28</v>
      </c>
      <c r="P1096">
        <v>6</v>
      </c>
      <c r="Q1096">
        <v>2</v>
      </c>
      <c r="R1096">
        <v>31</v>
      </c>
      <c r="S1096" s="2">
        <v>41298</v>
      </c>
      <c r="T1096" s="2">
        <v>41591</v>
      </c>
      <c r="U1096" s="2">
        <v>43598</v>
      </c>
      <c r="V1096" s="2">
        <v>43160</v>
      </c>
    </row>
    <row r="1097" spans="1:22" x14ac:dyDescent="0.2">
      <c r="A1097" t="str">
        <f>"332.63 SWE"</f>
        <v>332.63 SWE</v>
      </c>
      <c r="B1097" t="str">
        <f>"only guide to alternative investments yo"</f>
        <v>only guide to alternative investments yo</v>
      </c>
      <c r="C1097">
        <v>310604</v>
      </c>
      <c r="D1097" t="str">
        <f>"Swedroe, Larry E."</f>
        <v>Swedroe, Larry E.</v>
      </c>
      <c r="F1097" t="str">
        <f>"xxvii, 288 p., 24 cm."</f>
        <v>xxvii, 288 p., 24 cm.</v>
      </c>
      <c r="G1097" s="1">
        <v>12</v>
      </c>
      <c r="H1097">
        <v>2008</v>
      </c>
      <c r="I1097" t="str">
        <f t="shared" si="40"/>
        <v>9: 300 - 399</v>
      </c>
      <c r="K1097" t="str">
        <f>"WB - In"</f>
        <v>WB - In</v>
      </c>
      <c r="L1097" s="1">
        <v>31</v>
      </c>
      <c r="M1097" t="s">
        <v>1034</v>
      </c>
      <c r="O1097" t="s">
        <v>28</v>
      </c>
      <c r="P1097">
        <v>8</v>
      </c>
      <c r="Q1097">
        <v>0</v>
      </c>
      <c r="R1097">
        <v>22</v>
      </c>
      <c r="S1097" s="2">
        <v>41201</v>
      </c>
      <c r="T1097" s="2">
        <v>41218</v>
      </c>
      <c r="U1097" s="2">
        <v>43715</v>
      </c>
      <c r="V1097" s="2">
        <v>41351</v>
      </c>
    </row>
    <row r="1098" spans="1:22" x14ac:dyDescent="0.2">
      <c r="A1098" t="str">
        <f>"332.63 TUR"</f>
        <v>332.63 TUR</v>
      </c>
      <c r="B1098" t="str">
        <f>"book on rental property investing: how t"</f>
        <v>book on rental property investing: how t</v>
      </c>
      <c r="C1098">
        <v>345754</v>
      </c>
      <c r="D1098" t="str">
        <f>"Turner, Brandon."</f>
        <v>Turner, Brandon.</v>
      </c>
      <c r="F1098" t="str">
        <f>"347 pages, 23 cm, illustrations"</f>
        <v>347 pages, 23 cm, illustrations</v>
      </c>
      <c r="G1098" s="1">
        <v>18</v>
      </c>
      <c r="H1098">
        <v>2016</v>
      </c>
      <c r="I1098" t="str">
        <f t="shared" si="40"/>
        <v>9: 300 - 399</v>
      </c>
      <c r="K1098" t="str">
        <f>"WB - Out"</f>
        <v>WB - Out</v>
      </c>
      <c r="L1098" s="1">
        <v>30</v>
      </c>
      <c r="M1098" t="s">
        <v>1035</v>
      </c>
      <c r="O1098" t="s">
        <v>28</v>
      </c>
      <c r="P1098">
        <v>14</v>
      </c>
      <c r="Q1098">
        <v>2</v>
      </c>
      <c r="R1098">
        <v>16</v>
      </c>
      <c r="S1098" s="2">
        <v>43131</v>
      </c>
      <c r="T1098" s="2">
        <v>43137</v>
      </c>
      <c r="U1098" s="2">
        <v>43857</v>
      </c>
      <c r="V1098" s="2">
        <v>43468</v>
      </c>
    </row>
    <row r="1099" spans="1:22" x14ac:dyDescent="0.2">
      <c r="A1099" t="str">
        <f>"332.63 TYS"</f>
        <v>332.63 TYS</v>
      </c>
      <c r="B1099" t="str">
        <f>"Real estate investing for dummies"</f>
        <v>Real estate investing for dummies</v>
      </c>
      <c r="C1099">
        <v>343014</v>
      </c>
      <c r="D1099" t="str">
        <f>"Tyson, Eric"</f>
        <v>Tyson, Eric</v>
      </c>
      <c r="E1099" t="str">
        <f>"For Dummies series"</f>
        <v>For Dummies series</v>
      </c>
      <c r="F1099" t="str">
        <f>"xvi, 386 pages, 24 cm, illustrations"</f>
        <v>xvi, 386 pages, 24 cm, illustrations</v>
      </c>
      <c r="G1099" s="1">
        <v>17</v>
      </c>
      <c r="H1099">
        <v>2015</v>
      </c>
      <c r="I1099" t="str">
        <f t="shared" si="40"/>
        <v>9: 300 - 399</v>
      </c>
      <c r="K1099" t="str">
        <f t="shared" ref="K1099:K1104" si="41">"WB - In"</f>
        <v>WB - In</v>
      </c>
      <c r="L1099" s="1">
        <v>28</v>
      </c>
      <c r="M1099" t="s">
        <v>1036</v>
      </c>
      <c r="O1099" t="s">
        <v>28</v>
      </c>
      <c r="P1099">
        <v>11</v>
      </c>
      <c r="Q1099">
        <v>1</v>
      </c>
      <c r="R1099">
        <v>12</v>
      </c>
      <c r="S1099" s="2">
        <v>42955</v>
      </c>
      <c r="T1099" s="2">
        <v>42983</v>
      </c>
      <c r="U1099" s="2">
        <v>43770</v>
      </c>
      <c r="V1099" s="2">
        <v>43526</v>
      </c>
    </row>
    <row r="1100" spans="1:22" x14ac:dyDescent="0.2">
      <c r="A1100" t="str">
        <f>"332.63 WEA"</f>
        <v>332.63 WEA</v>
      </c>
      <c r="B1100" t="str">
        <f>"physics of Wall Street: a brief history "</f>
        <v xml:space="preserve">physics of Wall Street: a brief history </v>
      </c>
      <c r="C1100">
        <v>312066</v>
      </c>
      <c r="D1100" t="str">
        <f>"Weatherall, James Owen."</f>
        <v>Weatherall, James Owen.</v>
      </c>
      <c r="F1100" t="str">
        <f>"xviii, 286 p., 25 cm."</f>
        <v>xviii, 286 p., 25 cm.</v>
      </c>
      <c r="G1100" s="1">
        <v>12</v>
      </c>
      <c r="H1100">
        <v>2013</v>
      </c>
      <c r="I1100" t="str">
        <f t="shared" si="40"/>
        <v>9: 300 - 399</v>
      </c>
      <c r="K1100" t="str">
        <f t="shared" si="41"/>
        <v>WB - In</v>
      </c>
      <c r="L1100" s="1">
        <v>32</v>
      </c>
      <c r="M1100" t="s">
        <v>1037</v>
      </c>
      <c r="O1100" t="s">
        <v>28</v>
      </c>
      <c r="P1100">
        <v>2</v>
      </c>
      <c r="Q1100">
        <v>0</v>
      </c>
      <c r="R1100">
        <v>17</v>
      </c>
      <c r="S1100" s="2">
        <v>41290</v>
      </c>
      <c r="T1100" s="2">
        <v>42093</v>
      </c>
      <c r="U1100" s="2">
        <v>43770</v>
      </c>
    </row>
    <row r="1101" spans="1:22" x14ac:dyDescent="0.2">
      <c r="A1101" t="str">
        <f>"332.63 WIL"</f>
        <v>332.63 WIL</v>
      </c>
      <c r="B1101" t="str">
        <f>"Real estate law &amp; asset protection for T"</f>
        <v>Real estate law &amp; asset protection for T</v>
      </c>
      <c r="C1101">
        <v>273198</v>
      </c>
      <c r="D1101" t="str">
        <f>"Willis, David J."</f>
        <v>Willis, David J.</v>
      </c>
      <c r="F1101" t="str">
        <f>"327 p."</f>
        <v>327 p.</v>
      </c>
      <c r="G1101" s="1">
        <v>14</v>
      </c>
      <c r="H1101">
        <v>2014</v>
      </c>
      <c r="I1101" t="str">
        <f t="shared" si="40"/>
        <v>9: 300 - 399</v>
      </c>
      <c r="K1101" t="str">
        <f t="shared" si="41"/>
        <v>WB - In</v>
      </c>
      <c r="L1101" s="1">
        <v>25</v>
      </c>
      <c r="M1101" t="s">
        <v>1038</v>
      </c>
      <c r="O1101" t="s">
        <v>28</v>
      </c>
      <c r="P1101">
        <v>15</v>
      </c>
      <c r="Q1101">
        <v>1</v>
      </c>
      <c r="R1101">
        <v>29</v>
      </c>
      <c r="S1101" s="2">
        <v>41750</v>
      </c>
      <c r="T1101" s="2">
        <v>41754</v>
      </c>
      <c r="U1101" s="2">
        <v>43770</v>
      </c>
      <c r="V1101" s="2">
        <v>42873</v>
      </c>
    </row>
    <row r="1102" spans="1:22" x14ac:dyDescent="0.2">
      <c r="A1102" t="str">
        <f>"332.64 BUF"</f>
        <v>332.64 BUF</v>
      </c>
      <c r="B1102" t="str">
        <f>"Warren Buffett and the art of stock arbi"</f>
        <v>Warren Buffett and the art of stock arbi</v>
      </c>
      <c r="C1102">
        <v>146595</v>
      </c>
      <c r="D1102" t="str">
        <f>"Buffett, Mary"</f>
        <v>Buffett, Mary</v>
      </c>
      <c r="F1102" t="str">
        <f>"153 p., 20 cm."</f>
        <v>153 p., 20 cm.</v>
      </c>
      <c r="G1102" s="1">
        <v>10</v>
      </c>
      <c r="H1102">
        <v>2010</v>
      </c>
      <c r="I1102" t="str">
        <f t="shared" si="40"/>
        <v>9: 300 - 399</v>
      </c>
      <c r="K1102" t="str">
        <f t="shared" si="41"/>
        <v>WB - In</v>
      </c>
      <c r="L1102" s="1">
        <v>30</v>
      </c>
      <c r="M1102" t="s">
        <v>1039</v>
      </c>
      <c r="O1102" t="s">
        <v>28</v>
      </c>
      <c r="P1102">
        <v>5</v>
      </c>
      <c r="Q1102">
        <v>1</v>
      </c>
      <c r="R1102">
        <v>23</v>
      </c>
      <c r="S1102" s="2">
        <v>40499</v>
      </c>
      <c r="T1102" s="2">
        <v>41053</v>
      </c>
      <c r="U1102" s="2">
        <v>43776</v>
      </c>
      <c r="V1102" s="2">
        <v>43487</v>
      </c>
    </row>
    <row r="1103" spans="1:22" x14ac:dyDescent="0.2">
      <c r="A1103" t="str">
        <f>"332.64 HEN"</f>
        <v>332.64 HEN</v>
      </c>
      <c r="B1103" t="str">
        <f>"first-class catastrophe: the road to Bla"</f>
        <v>first-class catastrophe: the road to Bla</v>
      </c>
      <c r="C1103">
        <v>343888</v>
      </c>
      <c r="D1103" t="str">
        <f>"Henriques, Diana B."</f>
        <v>Henriques, Diana B.</v>
      </c>
      <c r="F1103" t="str">
        <f>"xviii, 393 pages, 25 cm"</f>
        <v>xviii, 393 pages, 25 cm</v>
      </c>
      <c r="G1103" s="1">
        <v>17</v>
      </c>
      <c r="H1103">
        <v>2017</v>
      </c>
      <c r="I1103" t="str">
        <f t="shared" si="40"/>
        <v>9: 300 - 399</v>
      </c>
      <c r="K1103" t="str">
        <f t="shared" si="41"/>
        <v>WB - In</v>
      </c>
      <c r="L1103" s="1">
        <v>37</v>
      </c>
      <c r="M1103" t="s">
        <v>1040</v>
      </c>
      <c r="O1103" t="s">
        <v>28</v>
      </c>
      <c r="P1103">
        <v>5</v>
      </c>
      <c r="Q1103">
        <v>1</v>
      </c>
      <c r="R1103">
        <v>6</v>
      </c>
      <c r="S1103" s="2">
        <v>43010</v>
      </c>
      <c r="T1103" s="2">
        <v>43201</v>
      </c>
      <c r="U1103" s="2">
        <v>43184</v>
      </c>
      <c r="V1103" s="2">
        <v>43723</v>
      </c>
    </row>
    <row r="1104" spans="1:22" x14ac:dyDescent="0.2">
      <c r="A1104" t="str">
        <f>"332.64 LO"</f>
        <v>332.64 LO</v>
      </c>
      <c r="B1104" t="str">
        <f>"Adaptive markets: financial evolution at"</f>
        <v>Adaptive markets: financial evolution at</v>
      </c>
      <c r="C1104">
        <v>343284</v>
      </c>
      <c r="D1104" t="str">
        <f>"Lo, Andrew W."</f>
        <v>Lo, Andrew W.</v>
      </c>
      <c r="F1104" t="str">
        <f>"x, 483 pages, 8 unnumbered pages of plates, 25 cm, illustrations (some color), charts (some color)"</f>
        <v>x, 483 pages, 8 unnumbered pages of plates, 25 cm, illustrations (some color), charts (some color)</v>
      </c>
      <c r="G1104" s="1">
        <v>17</v>
      </c>
      <c r="H1104">
        <v>2017</v>
      </c>
      <c r="I1104" t="str">
        <f t="shared" si="40"/>
        <v>9: 300 - 399</v>
      </c>
      <c r="K1104" t="str">
        <f t="shared" si="41"/>
        <v>WB - In</v>
      </c>
      <c r="L1104" s="1">
        <v>43</v>
      </c>
      <c r="M1104" t="s">
        <v>1041</v>
      </c>
      <c r="O1104" t="s">
        <v>28</v>
      </c>
      <c r="P1104">
        <v>9</v>
      </c>
      <c r="Q1104">
        <v>1</v>
      </c>
      <c r="R1104">
        <v>10</v>
      </c>
      <c r="S1104" s="2">
        <v>42977</v>
      </c>
      <c r="T1104" s="2">
        <v>43215</v>
      </c>
      <c r="U1104" s="2">
        <v>43261</v>
      </c>
      <c r="V1104" s="2">
        <v>43098</v>
      </c>
    </row>
    <row r="1105" spans="1:22" x14ac:dyDescent="0.2">
      <c r="A1105" t="str">
        <f>"332.67 GRA"</f>
        <v>332.67 GRA</v>
      </c>
      <c r="B1105" t="str">
        <f>"intelligent investor: a book of practica"</f>
        <v>intelligent investor: a book of practica</v>
      </c>
      <c r="C1105">
        <v>85568</v>
      </c>
      <c r="D1105" t="str">
        <f>"Graham, Benjamin"</f>
        <v>Graham, Benjamin</v>
      </c>
      <c r="F1105" t="s">
        <v>1042</v>
      </c>
      <c r="G1105">
        <v>98</v>
      </c>
      <c r="H1105">
        <v>1973</v>
      </c>
      <c r="I1105" t="str">
        <f t="shared" si="40"/>
        <v>9: 300 - 399</v>
      </c>
      <c r="K1105" t="str">
        <f>"WB - Out"</f>
        <v>WB - Out</v>
      </c>
      <c r="L1105" s="1">
        <v>25</v>
      </c>
      <c r="M1105" t="s">
        <v>1043</v>
      </c>
      <c r="O1105" t="s">
        <v>28</v>
      </c>
      <c r="P1105">
        <v>22</v>
      </c>
      <c r="Q1105">
        <v>2</v>
      </c>
      <c r="R1105">
        <v>148</v>
      </c>
      <c r="S1105" s="2">
        <v>36409</v>
      </c>
      <c r="T1105" s="2">
        <v>42101</v>
      </c>
      <c r="U1105" s="2">
        <v>43828</v>
      </c>
      <c r="V1105" s="2">
        <v>43477</v>
      </c>
    </row>
    <row r="1106" spans="1:22" x14ac:dyDescent="0.2">
      <c r="A1106" t="str">
        <f>"332.67 GRA"</f>
        <v>332.67 GRA</v>
      </c>
      <c r="B1106" t="str">
        <f>"intelligent investor: a book of practica"</f>
        <v>intelligent investor: a book of practica</v>
      </c>
      <c r="C1106">
        <v>349711</v>
      </c>
      <c r="D1106" t="str">
        <f>"Graham, Benjamin"</f>
        <v>Graham, Benjamin</v>
      </c>
      <c r="F1106" t="str">
        <f>"xiv, 623 p., 21 cm, ill."</f>
        <v>xiv, 623 p., 21 cm, ill.</v>
      </c>
      <c r="G1106" s="1">
        <v>18</v>
      </c>
      <c r="H1106">
        <v>2006</v>
      </c>
      <c r="I1106" t="str">
        <f t="shared" si="40"/>
        <v>9: 300 - 399</v>
      </c>
      <c r="K1106" t="str">
        <f>"WB - Out"</f>
        <v>WB - Out</v>
      </c>
      <c r="L1106" s="1">
        <v>30</v>
      </c>
      <c r="M1106" t="s">
        <v>1044</v>
      </c>
      <c r="O1106" t="s">
        <v>28</v>
      </c>
      <c r="P1106">
        <v>11</v>
      </c>
      <c r="Q1106">
        <v>0</v>
      </c>
      <c r="R1106">
        <v>11</v>
      </c>
      <c r="S1106" s="2">
        <v>43347</v>
      </c>
      <c r="T1106" s="2">
        <v>43357</v>
      </c>
      <c r="U1106" s="2">
        <v>43845</v>
      </c>
    </row>
    <row r="1107" spans="1:22" x14ac:dyDescent="0.2">
      <c r="A1107" t="str">
        <f>"332.7 GUT"</f>
        <v>332.7 GUT</v>
      </c>
      <c r="B1107" t="str">
        <f>"Mortgage matters: demystifying the loan "</f>
        <v xml:space="preserve">Mortgage matters: demystifying the loan </v>
      </c>
      <c r="C1107">
        <v>284699</v>
      </c>
      <c r="D1107" t="str">
        <f>"Guti�rrez, Sylvia M."</f>
        <v>Guti�rrez, Sylvia M.</v>
      </c>
      <c r="F1107" t="str">
        <f>"xv, 345 pages, 25 cm"</f>
        <v>xv, 345 pages, 25 cm</v>
      </c>
      <c r="G1107" s="1">
        <v>15</v>
      </c>
      <c r="H1107">
        <v>2015</v>
      </c>
      <c r="I1107" t="str">
        <f t="shared" si="40"/>
        <v>9: 300 - 399</v>
      </c>
      <c r="K1107" t="str">
        <f>"WB - In"</f>
        <v>WB - In</v>
      </c>
      <c r="L1107" s="1">
        <v>30</v>
      </c>
      <c r="M1107" t="s">
        <v>1045</v>
      </c>
      <c r="O1107" t="s">
        <v>28</v>
      </c>
      <c r="P1107">
        <v>3</v>
      </c>
      <c r="Q1107">
        <v>0</v>
      </c>
      <c r="R1107">
        <v>5</v>
      </c>
      <c r="S1107" s="2">
        <v>42339</v>
      </c>
      <c r="T1107" s="2">
        <v>42360</v>
      </c>
      <c r="U1107" s="2">
        <v>42987</v>
      </c>
      <c r="V1107" s="2">
        <v>42556</v>
      </c>
    </row>
    <row r="1108" spans="1:22" x14ac:dyDescent="0.2">
      <c r="A1108" t="str">
        <f>"332.7 LEO"</f>
        <v>332.7 LEO</v>
      </c>
      <c r="B1108" t="str">
        <f>"Credit repair"</f>
        <v>Credit repair</v>
      </c>
      <c r="C1108">
        <v>324304</v>
      </c>
      <c r="D1108" t="str">
        <f>"Leonard, Robin"</f>
        <v>Leonard, Robin</v>
      </c>
      <c r="F1108" t="str">
        <f>"450 pages, 23 cm, forms"</f>
        <v>450 pages, 23 cm, forms</v>
      </c>
      <c r="G1108" s="1">
        <v>14</v>
      </c>
      <c r="H1108">
        <v>2013</v>
      </c>
      <c r="I1108" t="str">
        <f t="shared" si="40"/>
        <v>9: 300 - 399</v>
      </c>
      <c r="K1108" t="str">
        <f>"LL - In"</f>
        <v>LL - In</v>
      </c>
      <c r="L1108" s="1">
        <v>30</v>
      </c>
      <c r="M1108" t="s">
        <v>1046</v>
      </c>
      <c r="O1108" t="s">
        <v>28</v>
      </c>
      <c r="P1108">
        <v>5</v>
      </c>
      <c r="Q1108">
        <v>0</v>
      </c>
      <c r="R1108">
        <v>9</v>
      </c>
      <c r="S1108" s="2">
        <v>41933</v>
      </c>
      <c r="T1108" s="2">
        <v>41943</v>
      </c>
      <c r="U1108" s="2">
        <v>43731</v>
      </c>
      <c r="V1108" s="2">
        <v>42526</v>
      </c>
    </row>
    <row r="1109" spans="1:22" x14ac:dyDescent="0.2">
      <c r="A1109" t="str">
        <f>"332.7 LOF"</f>
        <v>332.7 LOF</v>
      </c>
      <c r="B1109" t="str">
        <f>"Credit repair"</f>
        <v>Credit repair</v>
      </c>
      <c r="C1109">
        <v>351759</v>
      </c>
      <c r="D1109" t="str">
        <f>"Loftsgordon, Amy"</f>
        <v>Loftsgordon, Amy</v>
      </c>
      <c r="F1109" t="str">
        <f>"404 pages, 23 cm"</f>
        <v>404 pages, 23 cm</v>
      </c>
      <c r="G1109" s="1">
        <v>18</v>
      </c>
      <c r="H1109">
        <v>2017</v>
      </c>
      <c r="I1109" t="str">
        <f t="shared" si="40"/>
        <v>9: 300 - 399</v>
      </c>
      <c r="K1109" t="str">
        <f>"WB - In"</f>
        <v>WB - In</v>
      </c>
      <c r="L1109" s="1">
        <v>30</v>
      </c>
      <c r="M1109" t="s">
        <v>1047</v>
      </c>
      <c r="O1109" t="s">
        <v>28</v>
      </c>
      <c r="P1109">
        <v>1</v>
      </c>
      <c r="Q1109">
        <v>0</v>
      </c>
      <c r="R1109">
        <v>1</v>
      </c>
      <c r="S1109" s="2">
        <v>43444</v>
      </c>
      <c r="T1109" s="2">
        <v>43489</v>
      </c>
      <c r="U1109" s="2">
        <v>43622</v>
      </c>
    </row>
    <row r="1110" spans="1:22" x14ac:dyDescent="0.2">
      <c r="A1110" t="str">
        <f>"332.7 REE"</f>
        <v>332.7 REE</v>
      </c>
      <c r="B1110" t="str">
        <f>"Mortgages 101: quick answers to over 250"</f>
        <v>Mortgages 101: quick answers to over 250</v>
      </c>
      <c r="C1110">
        <v>402463</v>
      </c>
      <c r="D1110" t="str">
        <f>"Reed, David"</f>
        <v>Reed, David</v>
      </c>
      <c r="F1110" t="str">
        <f>"xxii, 294 p., 23 cm."</f>
        <v>xxii, 294 p., 23 cm.</v>
      </c>
      <c r="G1110">
        <v>18</v>
      </c>
      <c r="H1110">
        <v>2018</v>
      </c>
      <c r="I1110" t="str">
        <f t="shared" si="40"/>
        <v>9: 300 - 399</v>
      </c>
      <c r="K1110" t="str">
        <f>"LL - In"</f>
        <v>LL - In</v>
      </c>
      <c r="L1110" s="1">
        <v>22</v>
      </c>
      <c r="M1110" t="s">
        <v>1048</v>
      </c>
      <c r="O1110" t="s">
        <v>28</v>
      </c>
      <c r="P1110">
        <v>0</v>
      </c>
      <c r="Q1110">
        <v>0</v>
      </c>
      <c r="R1110">
        <v>0</v>
      </c>
      <c r="S1110" s="2">
        <v>43314</v>
      </c>
      <c r="T1110" s="2">
        <v>43322</v>
      </c>
    </row>
    <row r="1111" spans="1:22" x14ac:dyDescent="0.2">
      <c r="A1111" t="str">
        <f>"333.33 GIL"</f>
        <v>333.33 GIL</v>
      </c>
      <c r="B1111" t="str">
        <f>"Buying rural land in Texas"</f>
        <v>Buying rural land in Texas</v>
      </c>
      <c r="C1111">
        <v>271007</v>
      </c>
      <c r="D1111" t="str">
        <f>"Gilliland, Charles E."</f>
        <v>Gilliland, Charles E.</v>
      </c>
      <c r="F1111" t="str">
        <f>"127 p."</f>
        <v>127 p.</v>
      </c>
      <c r="G1111" s="1">
        <v>14</v>
      </c>
      <c r="H1111">
        <v>2012</v>
      </c>
      <c r="I1111" t="str">
        <f t="shared" si="40"/>
        <v>9: 300 - 399</v>
      </c>
      <c r="K1111" t="str">
        <f>"WB - In"</f>
        <v>WB - In</v>
      </c>
      <c r="L1111" s="1">
        <v>24</v>
      </c>
      <c r="M1111" t="s">
        <v>1049</v>
      </c>
      <c r="O1111" t="s">
        <v>28</v>
      </c>
      <c r="P1111">
        <v>8</v>
      </c>
      <c r="Q1111">
        <v>1</v>
      </c>
      <c r="R1111">
        <v>27</v>
      </c>
      <c r="S1111" s="2">
        <v>41669</v>
      </c>
      <c r="T1111" s="2">
        <v>41675</v>
      </c>
      <c r="U1111" s="2">
        <v>43770</v>
      </c>
      <c r="V1111" s="2">
        <v>43020</v>
      </c>
    </row>
    <row r="1112" spans="1:22" x14ac:dyDescent="0.2">
      <c r="A1112" t="str">
        <f>"333.33 MET"</f>
        <v>333.33 MET</v>
      </c>
      <c r="B1112" t="str">
        <f>"Texas real estate license preparation gu"</f>
        <v>Texas real estate license preparation gu</v>
      </c>
      <c r="C1112">
        <v>299414</v>
      </c>
      <c r="F1112" t="str">
        <f>"501 p."</f>
        <v>501 p.</v>
      </c>
      <c r="G1112" s="1">
        <v>18</v>
      </c>
      <c r="H1112">
        <v>2017</v>
      </c>
      <c r="I1112" t="str">
        <f t="shared" si="40"/>
        <v>9: 300 - 399</v>
      </c>
      <c r="K1112" t="str">
        <f>"LL - Out"</f>
        <v>LL - Out</v>
      </c>
      <c r="L1112" s="1">
        <v>26</v>
      </c>
      <c r="M1112" t="s">
        <v>1050</v>
      </c>
      <c r="O1112" t="s">
        <v>28</v>
      </c>
      <c r="P1112">
        <v>7</v>
      </c>
      <c r="Q1112">
        <v>1</v>
      </c>
      <c r="R1112">
        <v>8</v>
      </c>
      <c r="S1112" s="2">
        <v>43125</v>
      </c>
      <c r="T1112" s="2">
        <v>43131</v>
      </c>
      <c r="U1112" s="2">
        <v>43838</v>
      </c>
      <c r="V1112" s="2">
        <v>43176</v>
      </c>
    </row>
    <row r="1113" spans="1:22" x14ac:dyDescent="0.2">
      <c r="A1113" t="str">
        <f>"333.33 MET"</f>
        <v>333.33 MET</v>
      </c>
      <c r="B1113" t="str">
        <f>"Texas real estate license exam prep: all"</f>
        <v>Texas real estate license exam prep: all</v>
      </c>
      <c r="C1113">
        <v>295741</v>
      </c>
      <c r="D1113" t="str">
        <f>"Mettling, Stephen R."</f>
        <v>Mettling, Stephen R.</v>
      </c>
      <c r="F1113" t="str">
        <f>"279 pages, 28 cm"</f>
        <v>279 pages, 28 cm</v>
      </c>
      <c r="G1113" s="1">
        <v>17</v>
      </c>
      <c r="H1113">
        <v>2016</v>
      </c>
      <c r="I1113" t="str">
        <f t="shared" si="40"/>
        <v>9: 300 - 399</v>
      </c>
      <c r="K1113" t="str">
        <f>"LL - In"</f>
        <v>LL - In</v>
      </c>
      <c r="L1113" s="1">
        <v>32</v>
      </c>
      <c r="M1113" t="s">
        <v>1051</v>
      </c>
      <c r="O1113" t="s">
        <v>28</v>
      </c>
      <c r="P1113">
        <v>7</v>
      </c>
      <c r="Q1113">
        <v>0</v>
      </c>
      <c r="R1113">
        <v>7</v>
      </c>
      <c r="S1113" s="2">
        <v>42916</v>
      </c>
      <c r="T1113" s="2">
        <v>42935</v>
      </c>
      <c r="U1113" s="2">
        <v>43589</v>
      </c>
    </row>
    <row r="1114" spans="1:22" x14ac:dyDescent="0.2">
      <c r="A1114" t="str">
        <f>"333.33 RAS"</f>
        <v>333.33 RAS</v>
      </c>
      <c r="B1114" t="str">
        <f>"Zillow talk: the new rules of real estat"</f>
        <v>Zillow talk: the new rules of real estat</v>
      </c>
      <c r="C1114">
        <v>326265</v>
      </c>
      <c r="D1114" t="str">
        <f>"Rascoff, Spencer"</f>
        <v>Rascoff, Spencer</v>
      </c>
      <c r="F1114" t="str">
        <f>"275 pages, 24 cm, illustrations, charts, maps"</f>
        <v>275 pages, 24 cm, illustrations, charts, maps</v>
      </c>
      <c r="G1114" s="1">
        <v>15</v>
      </c>
      <c r="H1114">
        <v>2015</v>
      </c>
      <c r="I1114" t="str">
        <f t="shared" si="40"/>
        <v>9: 300 - 399</v>
      </c>
      <c r="K1114" t="str">
        <f>"LL - In"</f>
        <v>LL - In</v>
      </c>
      <c r="L1114" s="1">
        <v>33</v>
      </c>
      <c r="M1114" t="s">
        <v>1052</v>
      </c>
      <c r="O1114" t="s">
        <v>28</v>
      </c>
      <c r="P1114">
        <v>9</v>
      </c>
      <c r="Q1114">
        <v>0</v>
      </c>
      <c r="R1114">
        <v>27</v>
      </c>
      <c r="S1114" s="2">
        <v>42068</v>
      </c>
      <c r="T1114" s="2">
        <v>42265</v>
      </c>
      <c r="U1114" s="2">
        <v>43719</v>
      </c>
      <c r="V1114" s="2">
        <v>42737</v>
      </c>
    </row>
    <row r="1115" spans="1:22" x14ac:dyDescent="0.2">
      <c r="A1115" t="str">
        <f>"333.33 SAX"</f>
        <v>333.33 SAX</v>
      </c>
      <c r="B1115" t="str">
        <f>"Let the seller beware: the 32 buyer outs"</f>
        <v>Let the seller beware: the 32 buyer outs</v>
      </c>
      <c r="C1115">
        <v>351954</v>
      </c>
      <c r="D1115" t="str">
        <f>"Saxon, Reba."</f>
        <v>Saxon, Reba.</v>
      </c>
      <c r="F1115" t="str">
        <f>"166 p."</f>
        <v>166 p.</v>
      </c>
      <c r="G1115" s="1">
        <v>18</v>
      </c>
      <c r="H1115">
        <v>2018</v>
      </c>
      <c r="I1115" t="str">
        <f t="shared" si="40"/>
        <v>9: 300 - 399</v>
      </c>
      <c r="K1115" t="str">
        <f>"LL - In"</f>
        <v>LL - In</v>
      </c>
      <c r="L1115" s="1">
        <v>20</v>
      </c>
      <c r="M1115" t="s">
        <v>1053</v>
      </c>
      <c r="O1115" t="s">
        <v>28</v>
      </c>
      <c r="P1115">
        <v>1</v>
      </c>
      <c r="Q1115">
        <v>0</v>
      </c>
      <c r="R1115">
        <v>1</v>
      </c>
      <c r="S1115" s="2">
        <v>43452</v>
      </c>
      <c r="T1115" s="2">
        <v>43472</v>
      </c>
      <c r="U1115" s="2">
        <v>43719</v>
      </c>
    </row>
    <row r="1116" spans="1:22" x14ac:dyDescent="0.2">
      <c r="A1116" t="str">
        <f>"333.33 STA"</f>
        <v>333.33 STA</v>
      </c>
      <c r="B1116" t="str">
        <f>"beginner's handbook for rural Texas land"</f>
        <v>beginner's handbook for rural Texas land</v>
      </c>
      <c r="C1116">
        <v>408600</v>
      </c>
      <c r="D1116" t="str">
        <f>"Stanley, Jim"</f>
        <v>Stanley, Jim</v>
      </c>
      <c r="F1116" t="str">
        <f>"183 p."</f>
        <v>183 p.</v>
      </c>
      <c r="G1116" s="1">
        <v>19</v>
      </c>
      <c r="H1116">
        <v>2014</v>
      </c>
      <c r="I1116" t="str">
        <f t="shared" si="40"/>
        <v>9: 300 - 399</v>
      </c>
      <c r="K1116" t="str">
        <f>"LL - In"</f>
        <v>LL - In</v>
      </c>
      <c r="L1116" s="1">
        <v>23</v>
      </c>
      <c r="O1116" t="s">
        <v>28</v>
      </c>
      <c r="P1116">
        <v>0</v>
      </c>
      <c r="Q1116">
        <v>0</v>
      </c>
      <c r="R1116">
        <v>0</v>
      </c>
      <c r="S1116" s="2">
        <v>43830</v>
      </c>
      <c r="T1116" s="2">
        <v>43839</v>
      </c>
    </row>
    <row r="1117" spans="1:22" x14ac:dyDescent="0.2">
      <c r="A1117" t="str">
        <f>"333.33 WIL"</f>
        <v>333.33 WIL</v>
      </c>
      <c r="B1117" t="str">
        <f>"everything guide to flipping houses: an "</f>
        <v xml:space="preserve">everything guide to flipping houses: an </v>
      </c>
      <c r="C1117">
        <v>325835</v>
      </c>
      <c r="D1117" t="str">
        <f>"Williamson, Melanie,"</f>
        <v>Williamson, Melanie,</v>
      </c>
      <c r="E1117" t="str">
        <f>"Everything series"</f>
        <v>Everything series</v>
      </c>
      <c r="F1117" t="str">
        <f>"303 pages, 24 cm, illustrations"</f>
        <v>303 pages, 24 cm, illustrations</v>
      </c>
      <c r="G1117" s="1">
        <v>15</v>
      </c>
      <c r="H1117">
        <v>2015</v>
      </c>
      <c r="I1117" t="str">
        <f t="shared" si="40"/>
        <v>9: 300 - 399</v>
      </c>
      <c r="K1117" t="str">
        <f>"LL - In"</f>
        <v>LL - In</v>
      </c>
      <c r="L1117" s="1">
        <v>22</v>
      </c>
      <c r="M1117" t="s">
        <v>1054</v>
      </c>
      <c r="O1117" t="s">
        <v>28</v>
      </c>
      <c r="P1117">
        <v>6</v>
      </c>
      <c r="Q1117">
        <v>1</v>
      </c>
      <c r="R1117">
        <v>21</v>
      </c>
      <c r="S1117" s="2">
        <v>42040</v>
      </c>
      <c r="T1117" s="2">
        <v>42137</v>
      </c>
      <c r="U1117" s="2">
        <v>43641</v>
      </c>
      <c r="V1117" s="2">
        <v>42905</v>
      </c>
    </row>
    <row r="1118" spans="1:22" x14ac:dyDescent="0.2">
      <c r="A1118" t="str">
        <f>"333.33 WIL"</f>
        <v>333.33 WIL</v>
      </c>
      <c r="B1118" t="str">
        <f>"everything guide to flipping houses: an "</f>
        <v xml:space="preserve">everything guide to flipping houses: an </v>
      </c>
      <c r="C1118">
        <v>335344</v>
      </c>
      <c r="D1118" t="str">
        <f>"Williamson, Melanie,"</f>
        <v>Williamson, Melanie,</v>
      </c>
      <c r="E1118" t="str">
        <f>"Everything series"</f>
        <v>Everything series</v>
      </c>
      <c r="F1118" t="str">
        <f>"303 pages, 24 cm, illustrations"</f>
        <v>303 pages, 24 cm, illustrations</v>
      </c>
      <c r="G1118" s="1">
        <v>16</v>
      </c>
      <c r="H1118">
        <v>2015</v>
      </c>
      <c r="I1118" t="str">
        <f t="shared" si="40"/>
        <v>9: 300 - 399</v>
      </c>
      <c r="K1118" t="str">
        <f>"WB - Out"</f>
        <v>WB - Out</v>
      </c>
      <c r="L1118" s="1">
        <v>22</v>
      </c>
      <c r="M1118" t="s">
        <v>1054</v>
      </c>
      <c r="O1118" t="s">
        <v>28</v>
      </c>
      <c r="P1118">
        <v>5</v>
      </c>
      <c r="Q1118">
        <v>0</v>
      </c>
      <c r="R1118">
        <v>8</v>
      </c>
      <c r="S1118" s="2">
        <v>42522</v>
      </c>
      <c r="T1118" s="2">
        <v>42538</v>
      </c>
      <c r="U1118" s="2">
        <v>43855</v>
      </c>
    </row>
    <row r="1119" spans="1:22" x14ac:dyDescent="0.2">
      <c r="A1119" t="str">
        <f>"333.5 FIS"</f>
        <v>333.5 FIS</v>
      </c>
      <c r="B1119" t="str">
        <f>"Every landlord's tax deduction guide"</f>
        <v>Every landlord's tax deduction guide</v>
      </c>
      <c r="C1119">
        <v>325286</v>
      </c>
      <c r="D1119" t="str">
        <f>"Fishman, Stephen"</f>
        <v>Fishman, Stephen</v>
      </c>
      <c r="F1119" t="str">
        <f>"522 p., 23 cm, ill."</f>
        <v>522 p., 23 cm, ill.</v>
      </c>
      <c r="G1119" s="1">
        <v>14</v>
      </c>
      <c r="H1119">
        <v>2015</v>
      </c>
      <c r="I1119" t="str">
        <f t="shared" si="40"/>
        <v>9: 300 - 399</v>
      </c>
      <c r="K1119" t="str">
        <f>"LL - Out"</f>
        <v>LL - Out</v>
      </c>
      <c r="L1119" s="1">
        <v>45</v>
      </c>
      <c r="M1119" t="s">
        <v>1055</v>
      </c>
      <c r="O1119" t="s">
        <v>28</v>
      </c>
      <c r="P1119">
        <v>4</v>
      </c>
      <c r="Q1119">
        <v>0</v>
      </c>
      <c r="R1119">
        <v>11</v>
      </c>
      <c r="S1119" s="2">
        <v>42009</v>
      </c>
      <c r="T1119" s="2">
        <v>42010</v>
      </c>
      <c r="U1119" s="2">
        <v>43838</v>
      </c>
    </row>
    <row r="1120" spans="1:22" x14ac:dyDescent="0.2">
      <c r="A1120" t="str">
        <f>"333.5 FIS"</f>
        <v>333.5 FIS</v>
      </c>
      <c r="B1120" t="str">
        <f>"Tax guide for short-term rentals: Airbnb"</f>
        <v>Tax guide for short-term rentals: Airbnb</v>
      </c>
      <c r="C1120">
        <v>345027</v>
      </c>
      <c r="D1120" t="str">
        <f>"Fishman, Stephen"</f>
        <v>Fishman, Stephen</v>
      </c>
      <c r="F1120" t="str">
        <f>"179 p."</f>
        <v>179 p.</v>
      </c>
      <c r="G1120" s="1">
        <v>17</v>
      </c>
      <c r="H1120">
        <v>2017</v>
      </c>
      <c r="I1120" t="str">
        <f t="shared" si="40"/>
        <v>9: 300 - 399</v>
      </c>
      <c r="K1120" t="str">
        <f>"LL - In"</f>
        <v>LL - In</v>
      </c>
      <c r="L1120" s="1">
        <v>25</v>
      </c>
      <c r="M1120" t="s">
        <v>1056</v>
      </c>
      <c r="O1120" t="s">
        <v>28</v>
      </c>
      <c r="P1120">
        <v>7</v>
      </c>
      <c r="Q1120">
        <v>1</v>
      </c>
      <c r="R1120">
        <v>8</v>
      </c>
      <c r="S1120" s="2">
        <v>43073</v>
      </c>
      <c r="T1120" s="2">
        <v>43080</v>
      </c>
      <c r="U1120" s="2">
        <v>43750</v>
      </c>
      <c r="V1120" s="2">
        <v>43663</v>
      </c>
    </row>
    <row r="1121" spans="1:22" x14ac:dyDescent="0.2">
      <c r="A1121" t="str">
        <f>"333.5 RAS"</f>
        <v>333.5 RAS</v>
      </c>
      <c r="B1121" t="str">
        <f>"Vacation rental success: insider secrets"</f>
        <v>Vacation rental success: insider secrets</v>
      </c>
      <c r="C1121">
        <v>274852</v>
      </c>
      <c r="D1121" t="str">
        <f>"Rasmussen, Joel"</f>
        <v>Rasmussen, Joel</v>
      </c>
      <c r="F1121" t="str">
        <f>"117 p."</f>
        <v>117 p.</v>
      </c>
      <c r="G1121" s="1">
        <v>14</v>
      </c>
      <c r="H1121">
        <v>2013</v>
      </c>
      <c r="I1121" t="str">
        <f t="shared" si="40"/>
        <v>9: 300 - 399</v>
      </c>
      <c r="K1121" t="str">
        <f>"WB - In"</f>
        <v>WB - In</v>
      </c>
      <c r="L1121" s="1">
        <v>20</v>
      </c>
      <c r="M1121" t="s">
        <v>1057</v>
      </c>
      <c r="O1121" t="s">
        <v>28</v>
      </c>
      <c r="P1121">
        <v>6</v>
      </c>
      <c r="Q1121">
        <v>0</v>
      </c>
      <c r="R1121">
        <v>14</v>
      </c>
      <c r="S1121" s="2">
        <v>41837</v>
      </c>
      <c r="T1121" s="2">
        <v>41856</v>
      </c>
      <c r="U1121" s="2">
        <v>43705</v>
      </c>
    </row>
    <row r="1122" spans="1:22" x14ac:dyDescent="0.2">
      <c r="A1122" t="str">
        <f>"333.5 STE"</f>
        <v>333.5 STE</v>
      </c>
      <c r="B1122" t="str">
        <f>"Every landlord's legal guide"</f>
        <v>Every landlord's legal guide</v>
      </c>
      <c r="C1122">
        <v>334706</v>
      </c>
      <c r="D1122" t="str">
        <f>"Stewart, Marcia."</f>
        <v>Stewart, Marcia.</v>
      </c>
      <c r="F1122" t="str">
        <f>"474 pages, 28 cm, illustrations"</f>
        <v>474 pages, 28 cm, illustrations</v>
      </c>
      <c r="G1122" s="1">
        <v>16</v>
      </c>
      <c r="H1122">
        <v>2014</v>
      </c>
      <c r="I1122" t="str">
        <f t="shared" si="40"/>
        <v>9: 300 - 399</v>
      </c>
      <c r="K1122" t="str">
        <f>"WB - In"</f>
        <v>WB - In</v>
      </c>
      <c r="L1122" s="1">
        <v>50</v>
      </c>
      <c r="M1122" t="s">
        <v>1058</v>
      </c>
      <c r="O1122" t="s">
        <v>28</v>
      </c>
      <c r="P1122">
        <v>6</v>
      </c>
      <c r="Q1122">
        <v>0</v>
      </c>
      <c r="R1122">
        <v>10</v>
      </c>
      <c r="S1122" s="2">
        <v>42486</v>
      </c>
      <c r="T1122" s="2">
        <v>42488</v>
      </c>
      <c r="U1122" s="2">
        <v>43750</v>
      </c>
    </row>
    <row r="1123" spans="1:22" x14ac:dyDescent="0.2">
      <c r="A1123" t="str">
        <f>"333.5 THO"</f>
        <v>333.5 THO</v>
      </c>
      <c r="B1123" t="str">
        <f>"landlord's financial tool kit"</f>
        <v>landlord's financial tool kit</v>
      </c>
      <c r="C1123">
        <v>334038</v>
      </c>
      <c r="D1123" t="str">
        <f>"Thomsett, Michael C."</f>
        <v>Thomsett, Michael C.</v>
      </c>
      <c r="F1123" t="str">
        <f>"viii, 245 p., 26 cm., ill."</f>
        <v>viii, 245 p., 26 cm., ill.</v>
      </c>
      <c r="G1123" s="1">
        <v>16</v>
      </c>
      <c r="H1123">
        <v>2005</v>
      </c>
      <c r="I1123" t="str">
        <f t="shared" si="40"/>
        <v>9: 300 - 399</v>
      </c>
      <c r="K1123" t="str">
        <f>"WB - In"</f>
        <v>WB - In</v>
      </c>
      <c r="L1123" s="1">
        <v>24</v>
      </c>
      <c r="M1123" t="s">
        <v>1059</v>
      </c>
      <c r="O1123" t="s">
        <v>28</v>
      </c>
      <c r="P1123">
        <v>13</v>
      </c>
      <c r="Q1123">
        <v>1</v>
      </c>
      <c r="R1123">
        <v>15</v>
      </c>
      <c r="S1123" s="2">
        <v>42450</v>
      </c>
      <c r="T1123" s="2">
        <v>42451</v>
      </c>
      <c r="U1123" s="2">
        <v>43750</v>
      </c>
      <c r="V1123" s="2">
        <v>43625</v>
      </c>
    </row>
    <row r="1124" spans="1:22" x14ac:dyDescent="0.2">
      <c r="A1124" t="str">
        <f>"333.63 BER"</f>
        <v>333.63 BER</v>
      </c>
      <c r="B1124" t="str">
        <f>"101 cost-effective ways to increase the "</f>
        <v xml:space="preserve">101 cost-effective ways to increase the </v>
      </c>
      <c r="C1124">
        <v>278837</v>
      </c>
      <c r="D1124" t="str">
        <f>"Berges, Steve"</f>
        <v>Berges, Steve</v>
      </c>
      <c r="F1124" t="str">
        <f>"viii, 291 p., 23 cm, ill."</f>
        <v>viii, 291 p., 23 cm, ill.</v>
      </c>
      <c r="G1124" s="1">
        <v>14</v>
      </c>
      <c r="H1124">
        <v>2004</v>
      </c>
      <c r="I1124" t="str">
        <f t="shared" si="40"/>
        <v>9: 300 - 399</v>
      </c>
      <c r="K1124" t="str">
        <f>"LL - Out"</f>
        <v>LL - Out</v>
      </c>
      <c r="L1124" s="1">
        <v>24</v>
      </c>
      <c r="M1124" t="s">
        <v>1060</v>
      </c>
      <c r="O1124" t="s">
        <v>28</v>
      </c>
      <c r="P1124">
        <v>3</v>
      </c>
      <c r="Q1124">
        <v>1</v>
      </c>
      <c r="R1124">
        <v>16</v>
      </c>
      <c r="S1124" s="2">
        <v>42003</v>
      </c>
      <c r="T1124" s="2">
        <v>42026</v>
      </c>
      <c r="U1124" s="2">
        <v>43838</v>
      </c>
      <c r="V1124" s="2">
        <v>43789</v>
      </c>
    </row>
    <row r="1125" spans="1:22" x14ac:dyDescent="0.2">
      <c r="A1125" t="str">
        <f>"333.63 VIL"</f>
        <v>333.63 VIL</v>
      </c>
      <c r="B1125" t="str">
        <f>"Flip: how to find, fix, and sell houses "</f>
        <v xml:space="preserve">Flip: how to find, fix, and sell houses </v>
      </c>
      <c r="C1125">
        <v>125644</v>
      </c>
      <c r="D1125" t="str">
        <f>"Villani, Rick"</f>
        <v>Villani, Rick</v>
      </c>
      <c r="F1125" t="str">
        <f>"xiv, 394 p., 24 cm., ill."</f>
        <v>xiv, 394 p., 24 cm., ill.</v>
      </c>
      <c r="G1125" s="1">
        <v>7</v>
      </c>
      <c r="H1125">
        <v>2007</v>
      </c>
      <c r="I1125" t="str">
        <f t="shared" si="40"/>
        <v>9: 300 - 399</v>
      </c>
      <c r="K1125" t="str">
        <f t="shared" ref="K1125:K1133" si="42">"WB - In"</f>
        <v>WB - In</v>
      </c>
      <c r="L1125" s="1">
        <v>27</v>
      </c>
      <c r="M1125" t="s">
        <v>1061</v>
      </c>
      <c r="O1125" t="s">
        <v>28</v>
      </c>
      <c r="P1125">
        <v>6</v>
      </c>
      <c r="Q1125">
        <v>0</v>
      </c>
      <c r="R1125">
        <v>49</v>
      </c>
      <c r="S1125" s="2">
        <v>39177</v>
      </c>
      <c r="T1125" s="2">
        <v>41053</v>
      </c>
      <c r="U1125" s="2">
        <v>43716</v>
      </c>
      <c r="V1125" s="2">
        <v>42508</v>
      </c>
    </row>
    <row r="1126" spans="1:22" x14ac:dyDescent="0.2">
      <c r="A1126" t="str">
        <f>"333.7 DAR"</f>
        <v>333.7 DAR</v>
      </c>
      <c r="B1126" t="str">
        <f>"Green tyranny: exposing the totalitarian"</f>
        <v>Green tyranny: exposing the totalitarian</v>
      </c>
      <c r="C1126">
        <v>353730</v>
      </c>
      <c r="D1126" t="str">
        <f>"Darwall, Rupert."</f>
        <v>Darwall, Rupert.</v>
      </c>
      <c r="F1126" t="str">
        <f>"266 p."</f>
        <v>266 p.</v>
      </c>
      <c r="G1126" s="1">
        <v>19</v>
      </c>
      <c r="H1126">
        <v>2019</v>
      </c>
      <c r="I1126" t="str">
        <f t="shared" si="40"/>
        <v>9: 300 - 399</v>
      </c>
      <c r="K1126" t="str">
        <f t="shared" si="42"/>
        <v>WB - In</v>
      </c>
      <c r="L1126" s="1">
        <v>23</v>
      </c>
      <c r="M1126" t="s">
        <v>1062</v>
      </c>
      <c r="O1126" t="s">
        <v>28</v>
      </c>
      <c r="P1126">
        <v>2</v>
      </c>
      <c r="Q1126">
        <v>0</v>
      </c>
      <c r="R1126">
        <v>2</v>
      </c>
      <c r="S1126" s="2">
        <v>43549</v>
      </c>
      <c r="T1126" s="2">
        <v>43559</v>
      </c>
      <c r="U1126" s="2">
        <v>43563</v>
      </c>
    </row>
    <row r="1127" spans="1:22" x14ac:dyDescent="0.2">
      <c r="A1127" t="str">
        <f>"333.7 JOH"</f>
        <v>333.7 JOH</v>
      </c>
      <c r="B1127" t="str">
        <f>"All natural: a skeptic's quest for healt"</f>
        <v>All natural: a skeptic's quest for healt</v>
      </c>
      <c r="C1127">
        <v>312255</v>
      </c>
      <c r="D1127" t="str">
        <f>"Johnson, Nathanael."</f>
        <v>Johnson, Nathanael.</v>
      </c>
      <c r="F1127" t="str">
        <f>"334 p."</f>
        <v>334 p.</v>
      </c>
      <c r="G1127" s="1">
        <v>13</v>
      </c>
      <c r="H1127">
        <v>2012</v>
      </c>
      <c r="I1127" t="str">
        <f t="shared" si="40"/>
        <v>9: 300 - 399</v>
      </c>
      <c r="K1127" t="str">
        <f t="shared" si="42"/>
        <v>WB - In</v>
      </c>
      <c r="L1127" s="1">
        <v>32</v>
      </c>
      <c r="M1127" t="s">
        <v>1063</v>
      </c>
      <c r="O1127" t="s">
        <v>28</v>
      </c>
      <c r="P1127">
        <v>2</v>
      </c>
      <c r="Q1127">
        <v>0</v>
      </c>
      <c r="R1127">
        <v>15</v>
      </c>
      <c r="S1127" s="2">
        <v>41306</v>
      </c>
      <c r="T1127" s="2">
        <v>41576</v>
      </c>
      <c r="U1127" s="2">
        <v>43740</v>
      </c>
      <c r="V1127" s="2">
        <v>42157</v>
      </c>
    </row>
    <row r="1128" spans="1:22" x14ac:dyDescent="0.2">
      <c r="A1128" t="str">
        <f>"333.7 NAB"</f>
        <v>333.7 NAB</v>
      </c>
      <c r="B1128" t="str">
        <f>"Food from the radical center: healing ou"</f>
        <v>Food from the radical center: healing ou</v>
      </c>
      <c r="C1128">
        <v>350511</v>
      </c>
      <c r="D1128" t="str">
        <f>"Nabhan, Gary Paul."</f>
        <v>Nabhan, Gary Paul.</v>
      </c>
      <c r="F1128" t="str">
        <f>"166 p."</f>
        <v>166 p.</v>
      </c>
      <c r="G1128" s="1">
        <v>18</v>
      </c>
      <c r="H1128">
        <v>2018</v>
      </c>
      <c r="I1128" t="str">
        <f t="shared" si="40"/>
        <v>9: 300 - 399</v>
      </c>
      <c r="K1128" t="str">
        <f t="shared" si="42"/>
        <v>WB - In</v>
      </c>
      <c r="L1128" s="1">
        <v>33</v>
      </c>
      <c r="M1128" t="s">
        <v>1064</v>
      </c>
      <c r="O1128" t="s">
        <v>28</v>
      </c>
      <c r="P1128">
        <v>7</v>
      </c>
      <c r="Q1128">
        <v>3</v>
      </c>
      <c r="R1128">
        <v>10</v>
      </c>
      <c r="S1128" s="2">
        <v>43383</v>
      </c>
      <c r="T1128" s="2">
        <v>43573</v>
      </c>
      <c r="U1128" s="2">
        <v>43759</v>
      </c>
      <c r="V1128" s="2">
        <v>43678</v>
      </c>
    </row>
    <row r="1129" spans="1:22" x14ac:dyDescent="0.2">
      <c r="A1129" t="str">
        <f>"333.7 SAD"</f>
        <v>333.7 SAD</v>
      </c>
      <c r="B1129" t="str">
        <f>"In global warming we trust: too big to f"</f>
        <v>In global warming we trust: too big to f</v>
      </c>
      <c r="C1129">
        <v>290770</v>
      </c>
      <c r="D1129" t="str">
        <f>"Sadar, Anthony J."</f>
        <v>Sadar, Anthony J.</v>
      </c>
      <c r="F1129" t="str">
        <f>"ii, 260 pages, 23 cm"</f>
        <v>ii, 260 pages, 23 cm</v>
      </c>
      <c r="G1129" s="1">
        <v>16</v>
      </c>
      <c r="H1129">
        <v>2016</v>
      </c>
      <c r="I1129" t="str">
        <f t="shared" si="40"/>
        <v>9: 300 - 399</v>
      </c>
      <c r="K1129" t="str">
        <f t="shared" si="42"/>
        <v>WB - In</v>
      </c>
      <c r="L1129" s="1">
        <v>25</v>
      </c>
      <c r="M1129" t="s">
        <v>1065</v>
      </c>
      <c r="O1129" t="s">
        <v>28</v>
      </c>
      <c r="P1129">
        <v>1</v>
      </c>
      <c r="Q1129">
        <v>0</v>
      </c>
      <c r="R1129">
        <v>2</v>
      </c>
      <c r="S1129" s="2">
        <v>42640</v>
      </c>
      <c r="T1129" s="2">
        <v>42646</v>
      </c>
      <c r="U1129" s="2">
        <v>42840</v>
      </c>
    </row>
    <row r="1130" spans="1:22" x14ac:dyDescent="0.2">
      <c r="A1130" t="str">
        <f>"333.7 SUS"</f>
        <v>333.7 SUS</v>
      </c>
      <c r="B1130" t="str">
        <f>"Eco-tyranny: how the left's green agenda"</f>
        <v>Eco-tyranny: how the left's green agenda</v>
      </c>
      <c r="C1130">
        <v>307450</v>
      </c>
      <c r="D1130" t="str">
        <f>"Sussman, Brian."</f>
        <v>Sussman, Brian.</v>
      </c>
      <c r="F1130" t="str">
        <f>"x, 315 p., 24 cm., ill."</f>
        <v>x, 315 p., 24 cm., ill.</v>
      </c>
      <c r="G1130" s="1">
        <v>12</v>
      </c>
      <c r="H1130">
        <v>2012</v>
      </c>
      <c r="I1130" t="str">
        <f t="shared" si="40"/>
        <v>9: 300 - 399</v>
      </c>
      <c r="K1130" t="str">
        <f t="shared" si="42"/>
        <v>WB - In</v>
      </c>
      <c r="L1130" s="1">
        <v>31</v>
      </c>
      <c r="M1130" t="s">
        <v>1066</v>
      </c>
      <c r="O1130" t="s">
        <v>28</v>
      </c>
      <c r="P1130">
        <v>0</v>
      </c>
      <c r="Q1130">
        <v>0</v>
      </c>
      <c r="R1130">
        <v>4</v>
      </c>
      <c r="S1130" s="2">
        <v>41037</v>
      </c>
      <c r="T1130" s="2">
        <v>41122</v>
      </c>
      <c r="U1130" s="2">
        <v>41669</v>
      </c>
    </row>
    <row r="1131" spans="1:22" x14ac:dyDescent="0.2">
      <c r="A1131" t="str">
        <f>"333.7 TEX"</f>
        <v>333.7 TEX</v>
      </c>
      <c r="B1131" t="str">
        <f>"Texas Master Naturalist statewide curric"</f>
        <v>Texas Master Naturalist statewide curric</v>
      </c>
      <c r="C1131">
        <v>337390</v>
      </c>
      <c r="E1131" t="str">
        <f>"Texas A&amp;M AgriLife Research and Extension Service series"</f>
        <v>Texas A&amp;M AgriLife Research and Extension Service series</v>
      </c>
      <c r="F1131" t="str">
        <f>"xiv, 763 pages, 29 cm, illustrations (chiefly color)"</f>
        <v>xiv, 763 pages, 29 cm, illustrations (chiefly color)</v>
      </c>
      <c r="G1131" s="1">
        <v>16</v>
      </c>
      <c r="H1131">
        <v>2015</v>
      </c>
      <c r="I1131" t="str">
        <f t="shared" si="40"/>
        <v>9: 300 - 399</v>
      </c>
      <c r="K1131" t="str">
        <f t="shared" si="42"/>
        <v>WB - In</v>
      </c>
      <c r="L1131" s="1">
        <v>75</v>
      </c>
      <c r="M1131" t="s">
        <v>1067</v>
      </c>
      <c r="O1131" t="s">
        <v>28</v>
      </c>
      <c r="P1131">
        <v>6</v>
      </c>
      <c r="Q1131">
        <v>1</v>
      </c>
      <c r="R1131">
        <v>10</v>
      </c>
      <c r="S1131" s="2">
        <v>42628</v>
      </c>
      <c r="T1131" s="2">
        <v>42643</v>
      </c>
      <c r="U1131" s="2">
        <v>43354</v>
      </c>
      <c r="V1131" s="2">
        <v>43463</v>
      </c>
    </row>
    <row r="1132" spans="1:22" x14ac:dyDescent="0.2">
      <c r="A1132" t="str">
        <f>"333.7 THI"</f>
        <v>333.7 THI</v>
      </c>
      <c r="B1132" t="str">
        <f>"thinking person's guide to America's nat"</f>
        <v>thinking person's guide to America's nat</v>
      </c>
      <c r="C1132">
        <v>339327</v>
      </c>
      <c r="F1132" t="str">
        <f>"304 pages, 26 cm, illustrations (chiefly color)"</f>
        <v>304 pages, 26 cm, illustrations (chiefly color)</v>
      </c>
      <c r="G1132" s="1">
        <v>17</v>
      </c>
      <c r="H1132">
        <v>2016</v>
      </c>
      <c r="I1132" t="str">
        <f t="shared" si="40"/>
        <v>9: 300 - 399</v>
      </c>
      <c r="K1132" t="str">
        <f t="shared" si="42"/>
        <v>WB - In</v>
      </c>
      <c r="L1132" s="1">
        <v>30</v>
      </c>
      <c r="M1132" t="s">
        <v>1068</v>
      </c>
      <c r="O1132" t="s">
        <v>28</v>
      </c>
      <c r="P1132">
        <v>3</v>
      </c>
      <c r="Q1132">
        <v>0</v>
      </c>
      <c r="R1132">
        <v>3</v>
      </c>
      <c r="S1132" s="2">
        <v>42765</v>
      </c>
      <c r="T1132" s="2">
        <v>42773</v>
      </c>
      <c r="U1132" s="2">
        <v>42913</v>
      </c>
    </row>
    <row r="1133" spans="1:22" x14ac:dyDescent="0.2">
      <c r="A1133" t="str">
        <f>"333.7 WIL"</f>
        <v>333.7 WIL</v>
      </c>
      <c r="B1133" t="str">
        <f>"hour of land: a personal topography of A"</f>
        <v>hour of land: a personal topography of A</v>
      </c>
      <c r="C1133">
        <v>335633</v>
      </c>
      <c r="D1133" t="str">
        <f>"Williams, Terry Tempest"</f>
        <v>Williams, Terry Tempest</v>
      </c>
      <c r="F1133" t="str">
        <f>"395 pages, 22 cm, illustrations"</f>
        <v>395 pages, 22 cm, illustrations</v>
      </c>
      <c r="G1133" s="1">
        <v>16</v>
      </c>
      <c r="H1133">
        <v>2016</v>
      </c>
      <c r="I1133" t="str">
        <f t="shared" si="40"/>
        <v>9: 300 - 399</v>
      </c>
      <c r="K1133" t="str">
        <f t="shared" si="42"/>
        <v>WB - In</v>
      </c>
      <c r="L1133" s="1">
        <v>32</v>
      </c>
      <c r="M1133" t="s">
        <v>1069</v>
      </c>
      <c r="O1133" t="s">
        <v>28</v>
      </c>
      <c r="P1133">
        <v>0</v>
      </c>
      <c r="Q1133">
        <v>2</v>
      </c>
      <c r="R1133">
        <v>10</v>
      </c>
      <c r="S1133" s="2">
        <v>42534</v>
      </c>
      <c r="T1133" s="2">
        <v>42753</v>
      </c>
      <c r="U1133" s="2">
        <v>42733</v>
      </c>
      <c r="V1133" s="2">
        <v>43463</v>
      </c>
    </row>
    <row r="1134" spans="1:22" x14ac:dyDescent="0.2">
      <c r="A1134" t="str">
        <f>"333.7 WIL"</f>
        <v>333.7 WIL</v>
      </c>
      <c r="B1134" t="str">
        <f>"hour of land: a personal topography of A"</f>
        <v>hour of land: a personal topography of A</v>
      </c>
      <c r="C1134">
        <v>337561</v>
      </c>
      <c r="D1134" t="str">
        <f>"Williams, Terry Tempest"</f>
        <v>Williams, Terry Tempest</v>
      </c>
      <c r="F1134" t="str">
        <f>"395 pages, 22 cm, illustrations"</f>
        <v>395 pages, 22 cm, illustrations</v>
      </c>
      <c r="G1134" s="1">
        <v>16</v>
      </c>
      <c r="H1134">
        <v>2016</v>
      </c>
      <c r="I1134" t="str">
        <f t="shared" si="40"/>
        <v>9: 300 - 399</v>
      </c>
      <c r="K1134" t="str">
        <f>"LL - In"</f>
        <v>LL - In</v>
      </c>
      <c r="L1134" s="1">
        <v>32</v>
      </c>
      <c r="M1134" t="s">
        <v>1069</v>
      </c>
      <c r="O1134" t="s">
        <v>28</v>
      </c>
      <c r="P1134">
        <v>8</v>
      </c>
      <c r="Q1134">
        <v>1</v>
      </c>
      <c r="R1134">
        <v>14</v>
      </c>
      <c r="S1134" s="2">
        <v>42639</v>
      </c>
      <c r="T1134" s="2">
        <v>42846</v>
      </c>
      <c r="U1134" s="2">
        <v>43236</v>
      </c>
      <c r="V1134" s="2">
        <v>42921</v>
      </c>
    </row>
    <row r="1135" spans="1:22" x14ac:dyDescent="0.2">
      <c r="A1135" t="str">
        <f>"333.7 WIL"</f>
        <v>333.7 WIL</v>
      </c>
      <c r="B1135" t="str">
        <f>"Half-Earth: our planet's fight for life"</f>
        <v>Half-Earth: our planet's fight for life</v>
      </c>
      <c r="C1135">
        <v>286796</v>
      </c>
      <c r="D1135" t="str">
        <f>"Wilson, Edward O."</f>
        <v>Wilson, Edward O.</v>
      </c>
      <c r="F1135" t="str">
        <f>"259 pages, 25 cm, illustrations"</f>
        <v>259 pages, 25 cm, illustrations</v>
      </c>
      <c r="G1135" s="1">
        <v>16</v>
      </c>
      <c r="H1135">
        <v>2016</v>
      </c>
      <c r="I1135" t="str">
        <f t="shared" si="40"/>
        <v>9: 300 - 399</v>
      </c>
      <c r="K1135" t="str">
        <f>"WB - In"</f>
        <v>WB - In</v>
      </c>
      <c r="L1135" s="1">
        <v>31</v>
      </c>
      <c r="M1135" t="s">
        <v>1070</v>
      </c>
      <c r="O1135" t="s">
        <v>28</v>
      </c>
      <c r="P1135">
        <v>1</v>
      </c>
      <c r="Q1135">
        <v>0</v>
      </c>
      <c r="R1135">
        <v>9</v>
      </c>
      <c r="S1135" s="2">
        <v>42437</v>
      </c>
      <c r="T1135" s="2">
        <v>42640</v>
      </c>
      <c r="U1135" s="2">
        <v>43286</v>
      </c>
    </row>
    <row r="1136" spans="1:22" x14ac:dyDescent="0.2">
      <c r="A1136" t="str">
        <f>"333.75 ROB"</f>
        <v>333.75 ROB</v>
      </c>
      <c r="B1136" t="str">
        <f>"man who planted trees: lost groves, the "</f>
        <v xml:space="preserve">man who planted trees: lost groves, the </v>
      </c>
      <c r="C1136">
        <v>307384</v>
      </c>
      <c r="D1136" t="str">
        <f>"Robbins, Jim."</f>
        <v>Robbins, Jim.</v>
      </c>
      <c r="F1136" t="str">
        <f>"216 p."</f>
        <v>216 p.</v>
      </c>
      <c r="G1136" s="1">
        <v>12</v>
      </c>
      <c r="H1136">
        <v>2012</v>
      </c>
      <c r="I1136" t="str">
        <f t="shared" si="40"/>
        <v>9: 300 - 399</v>
      </c>
      <c r="K1136" t="str">
        <f>"WB - In"</f>
        <v>WB - In</v>
      </c>
      <c r="L1136" s="1">
        <v>30</v>
      </c>
      <c r="M1136" t="s">
        <v>1071</v>
      </c>
      <c r="O1136" t="s">
        <v>28</v>
      </c>
      <c r="P1136">
        <v>2</v>
      </c>
      <c r="Q1136">
        <v>0</v>
      </c>
      <c r="R1136">
        <v>21</v>
      </c>
      <c r="S1136" s="2">
        <v>41037</v>
      </c>
      <c r="T1136" s="2">
        <v>41360</v>
      </c>
      <c r="U1136" s="2">
        <v>43350</v>
      </c>
      <c r="V1136" s="2">
        <v>42654</v>
      </c>
    </row>
    <row r="1137" spans="1:22" x14ac:dyDescent="0.2">
      <c r="A1137" t="str">
        <f>"333.79 ALL"</f>
        <v>333.79 ALL</v>
      </c>
      <c r="B1137" t="str">
        <f>"Earth: the operators' manual"</f>
        <v>Earth: the operators' manual</v>
      </c>
      <c r="C1137">
        <v>149215</v>
      </c>
      <c r="D1137" t="str">
        <f>"Alley, Richard B."</f>
        <v>Alley, Richard B.</v>
      </c>
      <c r="F1137" t="str">
        <f>"479 p."</f>
        <v>479 p.</v>
      </c>
      <c r="G1137" s="1">
        <v>11</v>
      </c>
      <c r="H1137">
        <v>2011</v>
      </c>
      <c r="I1137" t="str">
        <f t="shared" si="40"/>
        <v>9: 300 - 399</v>
      </c>
      <c r="K1137" t="str">
        <f>"WB - In"</f>
        <v>WB - In</v>
      </c>
      <c r="L1137" s="1">
        <v>33</v>
      </c>
      <c r="M1137" t="s">
        <v>1072</v>
      </c>
      <c r="O1137" t="s">
        <v>28</v>
      </c>
      <c r="P1137">
        <v>0</v>
      </c>
      <c r="Q1137">
        <v>0</v>
      </c>
      <c r="R1137">
        <v>11</v>
      </c>
      <c r="S1137" s="2">
        <v>40645</v>
      </c>
      <c r="T1137" s="2">
        <v>41053</v>
      </c>
      <c r="U1137" s="2">
        <v>42392</v>
      </c>
      <c r="V1137" s="2">
        <v>41995</v>
      </c>
    </row>
    <row r="1138" spans="1:22" x14ac:dyDescent="0.2">
      <c r="A1138" t="str">
        <f>"333.79 BAK"</f>
        <v>333.79 BAK</v>
      </c>
      <c r="B1138" t="str">
        <f>"grid: the fraying wires between American"</f>
        <v>grid: the fraying wires between American</v>
      </c>
      <c r="C1138">
        <v>336722</v>
      </c>
      <c r="D1138" t="str">
        <f>"Bakke, Gretchen Anna"</f>
        <v>Bakke, Gretchen Anna</v>
      </c>
      <c r="F1138" t="str">
        <f>"xxx, 352 pages, 25 cm, illustratoins"</f>
        <v>xxx, 352 pages, 25 cm, illustratoins</v>
      </c>
      <c r="G1138" s="1">
        <v>16</v>
      </c>
      <c r="H1138">
        <v>2016</v>
      </c>
      <c r="I1138" t="str">
        <f t="shared" si="40"/>
        <v>9: 300 - 399</v>
      </c>
      <c r="K1138" t="str">
        <f>"LL - In"</f>
        <v>LL - In</v>
      </c>
      <c r="L1138" s="1">
        <v>32</v>
      </c>
      <c r="M1138" t="s">
        <v>1073</v>
      </c>
      <c r="O1138" t="s">
        <v>28</v>
      </c>
      <c r="P1138">
        <v>4</v>
      </c>
      <c r="Q1138">
        <v>0</v>
      </c>
      <c r="R1138">
        <v>10</v>
      </c>
      <c r="S1138" s="2">
        <v>42591</v>
      </c>
      <c r="T1138" s="2">
        <v>42846</v>
      </c>
      <c r="U1138" s="2">
        <v>43349</v>
      </c>
    </row>
    <row r="1139" spans="1:22" x14ac:dyDescent="0.2">
      <c r="A1139" t="str">
        <f>"333.79 BOW"</f>
        <v>333.79 BOW</v>
      </c>
      <c r="B1139" t="str">
        <f>"Oil: money, politics, and power in the 2"</f>
        <v>Oil: money, politics, and power in the 2</v>
      </c>
      <c r="C1139">
        <v>146701</v>
      </c>
      <c r="D1139" t="str">
        <f>"Bower, Tom"</f>
        <v>Bower, Tom</v>
      </c>
      <c r="F1139" t="str">
        <f>"490 p., 24 cm., col. ill., maps"</f>
        <v>490 p., 24 cm., col. ill., maps</v>
      </c>
      <c r="G1139" s="1">
        <v>10</v>
      </c>
      <c r="H1139">
        <v>2010</v>
      </c>
      <c r="I1139" t="str">
        <f t="shared" si="40"/>
        <v>9: 300 - 399</v>
      </c>
      <c r="K1139" t="str">
        <f>"WB - In"</f>
        <v>WB - In</v>
      </c>
      <c r="L1139" s="1">
        <v>32</v>
      </c>
      <c r="M1139" t="s">
        <v>1074</v>
      </c>
      <c r="O1139" t="s">
        <v>28</v>
      </c>
      <c r="P1139">
        <v>0</v>
      </c>
      <c r="Q1139">
        <v>1</v>
      </c>
      <c r="R1139">
        <v>16</v>
      </c>
      <c r="S1139" s="2">
        <v>40500</v>
      </c>
      <c r="T1139" s="2">
        <v>41053</v>
      </c>
      <c r="U1139" s="2">
        <v>41618</v>
      </c>
      <c r="V1139" s="2">
        <v>42934</v>
      </c>
    </row>
    <row r="1140" spans="1:22" x14ac:dyDescent="0.2">
      <c r="A1140" t="str">
        <f>"333.79 BRI"</f>
        <v>333.79 BRI</v>
      </c>
      <c r="B1140" t="str">
        <f>"new wild west: black gold, fracking, and"</f>
        <v>new wild west: black gold, fracking, and</v>
      </c>
      <c r="C1140">
        <v>344459</v>
      </c>
      <c r="D1140" t="str">
        <f>"Briody, Blaire"</f>
        <v>Briody, Blaire</v>
      </c>
      <c r="F1140" t="str">
        <f>"xiv, 336 pages, 8 unnumbered pages of plates, 25 cm, illustrations, map"</f>
        <v>xiv, 336 pages, 8 unnumbered pages of plates, 25 cm, illustrations, map</v>
      </c>
      <c r="G1140" s="1">
        <v>17</v>
      </c>
      <c r="H1140">
        <v>2017</v>
      </c>
      <c r="I1140" t="str">
        <f t="shared" si="40"/>
        <v>9: 300 - 399</v>
      </c>
      <c r="K1140" t="str">
        <f>"LL - In"</f>
        <v>LL - In</v>
      </c>
      <c r="L1140" s="1">
        <v>33</v>
      </c>
      <c r="M1140" t="s">
        <v>1075</v>
      </c>
      <c r="O1140" t="s">
        <v>28</v>
      </c>
      <c r="P1140">
        <v>7</v>
      </c>
      <c r="Q1140">
        <v>0</v>
      </c>
      <c r="R1140">
        <v>7</v>
      </c>
      <c r="S1140" s="2">
        <v>43040</v>
      </c>
      <c r="T1140" s="2">
        <v>43265</v>
      </c>
      <c r="U1140" s="2">
        <v>43218</v>
      </c>
    </row>
    <row r="1141" spans="1:22" x14ac:dyDescent="0.2">
      <c r="A1141" t="str">
        <f>"333.79 BUR"</f>
        <v>333.79 BUR</v>
      </c>
      <c r="B1141" t="str">
        <f>"big rich: the rise and fall of the great"</f>
        <v>big rich: the rise and fall of the great</v>
      </c>
      <c r="C1141">
        <v>344680</v>
      </c>
      <c r="D1141" t="str">
        <f>"Burrough, Bryan"</f>
        <v>Burrough, Bryan</v>
      </c>
      <c r="F1141" t="str">
        <f>"466 p."</f>
        <v>466 p.</v>
      </c>
      <c r="G1141" s="1">
        <v>17</v>
      </c>
      <c r="H1141">
        <v>2008</v>
      </c>
      <c r="I1141" t="str">
        <f t="shared" si="40"/>
        <v>9: 300 - 399</v>
      </c>
      <c r="K1141" t="str">
        <f>"WB - Out"</f>
        <v>WB - Out</v>
      </c>
      <c r="L1141" s="1">
        <v>23</v>
      </c>
      <c r="M1141" t="s">
        <v>1076</v>
      </c>
      <c r="O1141" t="s">
        <v>28</v>
      </c>
      <c r="P1141">
        <v>6</v>
      </c>
      <c r="Q1141">
        <v>1</v>
      </c>
      <c r="R1141">
        <v>7</v>
      </c>
      <c r="S1141" s="2">
        <v>43054</v>
      </c>
      <c r="T1141" s="2">
        <v>43055</v>
      </c>
      <c r="U1141" s="2">
        <v>43846</v>
      </c>
      <c r="V1141" s="2">
        <v>43357</v>
      </c>
    </row>
    <row r="1142" spans="1:22" x14ac:dyDescent="0.2">
      <c r="A1142" t="str">
        <f>"333.79 MCL"</f>
        <v>333.79 MCL</v>
      </c>
      <c r="B1142" t="str">
        <f>"Saudi America: the truth about fracking "</f>
        <v xml:space="preserve">Saudi America: the truth about fracking </v>
      </c>
      <c r="C1142">
        <v>350322</v>
      </c>
      <c r="D1142" t="str">
        <f>"McLean, Bethany"</f>
        <v>McLean, Bethany</v>
      </c>
      <c r="F1142" t="str">
        <f>"138 p."</f>
        <v>138 p.</v>
      </c>
      <c r="G1142" s="1">
        <v>18</v>
      </c>
      <c r="H1142">
        <v>2018</v>
      </c>
      <c r="I1142" t="str">
        <f t="shared" si="40"/>
        <v>9: 300 - 399</v>
      </c>
      <c r="K1142" t="str">
        <f>"WB - In"</f>
        <v>WB - In</v>
      </c>
      <c r="L1142" s="1">
        <v>21</v>
      </c>
      <c r="M1142" t="s">
        <v>1077</v>
      </c>
      <c r="O1142" t="s">
        <v>28</v>
      </c>
      <c r="P1142">
        <v>5</v>
      </c>
      <c r="Q1142">
        <v>0</v>
      </c>
      <c r="R1142">
        <v>5</v>
      </c>
      <c r="S1142" s="2">
        <v>43375</v>
      </c>
      <c r="T1142" s="2">
        <v>43558</v>
      </c>
      <c r="U1142" s="2">
        <v>43781</v>
      </c>
    </row>
    <row r="1143" spans="1:22" x14ac:dyDescent="0.2">
      <c r="A1143" t="str">
        <f>"333.79 MCL"</f>
        <v>333.79 MCL</v>
      </c>
      <c r="B1143" t="str">
        <f>"smartest guys in the room: the amazing r"</f>
        <v>smartest guys in the room: the amazing r</v>
      </c>
      <c r="C1143">
        <v>318487</v>
      </c>
      <c r="D1143" t="str">
        <f>"McLean, Bethany"</f>
        <v>McLean, Bethany</v>
      </c>
      <c r="F1143" t="str">
        <f>"435 p."</f>
        <v>435 p.</v>
      </c>
      <c r="G1143" s="1">
        <v>13</v>
      </c>
      <c r="H1143">
        <v>2003</v>
      </c>
      <c r="I1143" t="str">
        <f t="shared" si="40"/>
        <v>9: 300 - 399</v>
      </c>
      <c r="K1143" t="str">
        <f>"WB - In"</f>
        <v>WB - In</v>
      </c>
      <c r="L1143" s="1">
        <v>22</v>
      </c>
      <c r="M1143" t="s">
        <v>1078</v>
      </c>
      <c r="O1143" t="s">
        <v>28</v>
      </c>
      <c r="P1143">
        <v>5</v>
      </c>
      <c r="Q1143">
        <v>0</v>
      </c>
      <c r="R1143">
        <v>11</v>
      </c>
      <c r="S1143" s="2">
        <v>41618</v>
      </c>
      <c r="T1143" s="2">
        <v>41625</v>
      </c>
      <c r="U1143" s="2">
        <v>43830</v>
      </c>
    </row>
    <row r="1144" spans="1:22" x14ac:dyDescent="0.2">
      <c r="A1144" t="str">
        <f>"333.79 MCN"</f>
        <v>333.79 MCN</v>
      </c>
      <c r="B1144" t="str">
        <f>"Crude volatility: the history and future"</f>
        <v>Crude volatility: the history and future</v>
      </c>
      <c r="C1144">
        <v>340085</v>
      </c>
      <c r="D1144" t="str">
        <f>"McNally, Robert,"</f>
        <v>McNally, Robert,</v>
      </c>
      <c r="E1144" t="str">
        <f>"Center on Global Energy Policy series"</f>
        <v>Center on Global Energy Policy series</v>
      </c>
      <c r="F1144" t="str">
        <f>"315 p."</f>
        <v>315 p.</v>
      </c>
      <c r="G1144" s="1">
        <v>17</v>
      </c>
      <c r="H1144">
        <v>2017</v>
      </c>
      <c r="I1144" t="str">
        <f t="shared" si="40"/>
        <v>9: 300 - 399</v>
      </c>
      <c r="K1144" t="str">
        <f>"WB - Out"</f>
        <v>WB - Out</v>
      </c>
      <c r="L1144" s="1">
        <v>40</v>
      </c>
      <c r="M1144" t="s">
        <v>1079</v>
      </c>
      <c r="O1144" t="s">
        <v>28</v>
      </c>
      <c r="P1144">
        <v>11</v>
      </c>
      <c r="Q1144">
        <v>1</v>
      </c>
      <c r="R1144">
        <v>12</v>
      </c>
      <c r="S1144" s="2">
        <v>42796</v>
      </c>
      <c r="T1144" s="2">
        <v>43052</v>
      </c>
      <c r="U1144" s="2">
        <v>43854</v>
      </c>
      <c r="V1144" s="2">
        <v>42813</v>
      </c>
    </row>
    <row r="1145" spans="1:22" x14ac:dyDescent="0.2">
      <c r="A1145" t="str">
        <f>"333.79 MOO"</f>
        <v>333.79 MOO</v>
      </c>
      <c r="B1145" t="str">
        <f>"Fueling freedom: exposing the mad war on"</f>
        <v>Fueling freedom: exposing the mad war on</v>
      </c>
      <c r="C1145">
        <v>336355</v>
      </c>
      <c r="D1145" t="str">
        <f>"Moore, Stephen,"</f>
        <v>Moore, Stephen,</v>
      </c>
      <c r="F1145" t="str">
        <f>"xv, 312 pages, 24 cm, illustrations"</f>
        <v>xv, 312 pages, 24 cm, illustrations</v>
      </c>
      <c r="G1145" s="1">
        <v>16</v>
      </c>
      <c r="H1145">
        <v>2016</v>
      </c>
      <c r="I1145" t="str">
        <f t="shared" si="40"/>
        <v>9: 300 - 399</v>
      </c>
      <c r="K1145" t="str">
        <f>"WB - In"</f>
        <v>WB - In</v>
      </c>
      <c r="L1145" s="1">
        <v>33</v>
      </c>
      <c r="M1145" t="s">
        <v>1080</v>
      </c>
      <c r="O1145" t="s">
        <v>28</v>
      </c>
      <c r="P1145">
        <v>1</v>
      </c>
      <c r="Q1145">
        <v>0</v>
      </c>
      <c r="R1145">
        <v>4</v>
      </c>
      <c r="S1145" s="2">
        <v>42576</v>
      </c>
      <c r="T1145" s="2">
        <v>42732</v>
      </c>
      <c r="U1145" s="2">
        <v>42840</v>
      </c>
    </row>
    <row r="1146" spans="1:22" x14ac:dyDescent="0.2">
      <c r="A1146" t="str">
        <f>"333.79 MUL"</f>
        <v>333.79 MUL</v>
      </c>
      <c r="B1146" t="str">
        <f>"Energy for future presidents: the scienc"</f>
        <v>Energy for future presidents: the scienc</v>
      </c>
      <c r="C1146">
        <v>309003</v>
      </c>
      <c r="D1146" t="str">
        <f>"Muller, R."</f>
        <v>Muller, R.</v>
      </c>
      <c r="F1146" t="str">
        <f>"350 p."</f>
        <v>350 p.</v>
      </c>
      <c r="G1146" s="1">
        <v>12</v>
      </c>
      <c r="H1146">
        <v>2012</v>
      </c>
      <c r="I1146" t="str">
        <f t="shared" si="40"/>
        <v>9: 300 - 399</v>
      </c>
      <c r="K1146" t="str">
        <f>"WB - In"</f>
        <v>WB - In</v>
      </c>
      <c r="L1146" s="1">
        <v>32</v>
      </c>
      <c r="M1146" t="s">
        <v>1081</v>
      </c>
      <c r="O1146" t="s">
        <v>28</v>
      </c>
      <c r="P1146">
        <v>2</v>
      </c>
      <c r="Q1146">
        <v>1</v>
      </c>
      <c r="R1146">
        <v>12</v>
      </c>
      <c r="S1146" s="2">
        <v>41135</v>
      </c>
      <c r="T1146" s="2">
        <v>41418</v>
      </c>
      <c r="U1146" s="2">
        <v>43270</v>
      </c>
      <c r="V1146" s="2">
        <v>43270</v>
      </c>
    </row>
    <row r="1147" spans="1:22" x14ac:dyDescent="0.2">
      <c r="A1147" t="str">
        <f>"333.79 NEL"</f>
        <v>333.79 NEL</v>
      </c>
      <c r="B1147" t="str">
        <f>"Wind energy: renewable energy and the en"</f>
        <v>Wind energy: renewable energy and the en</v>
      </c>
      <c r="C1147">
        <v>271521</v>
      </c>
      <c r="D1147" t="str">
        <f>"Nelson, Vaughn."</f>
        <v>Nelson, Vaughn.</v>
      </c>
      <c r="F1147" t="str">
        <f>"xix, 304 p., 27 cm, ill., maps"</f>
        <v>xix, 304 p., 27 cm, ill., maps</v>
      </c>
      <c r="G1147" s="1">
        <v>14</v>
      </c>
      <c r="H1147">
        <v>2009</v>
      </c>
      <c r="I1147" t="str">
        <f t="shared" si="40"/>
        <v>9: 300 - 399</v>
      </c>
      <c r="K1147" t="str">
        <f>"WB - In"</f>
        <v>WB - In</v>
      </c>
      <c r="L1147" s="1">
        <v>93</v>
      </c>
      <c r="M1147" t="s">
        <v>1082</v>
      </c>
      <c r="O1147" t="s">
        <v>28</v>
      </c>
      <c r="P1147">
        <v>0</v>
      </c>
      <c r="Q1147">
        <v>0</v>
      </c>
      <c r="R1147">
        <v>3</v>
      </c>
      <c r="S1147" s="2">
        <v>41669</v>
      </c>
      <c r="T1147" s="2">
        <v>41675</v>
      </c>
      <c r="U1147" s="2">
        <v>42422</v>
      </c>
    </row>
    <row r="1148" spans="1:22" x14ac:dyDescent="0.2">
      <c r="A1148" t="str">
        <f>"333.79 RHO"</f>
        <v>333.79 RHO</v>
      </c>
      <c r="B1148" t="str">
        <f>"Energy: a human history"</f>
        <v>Energy: a human history</v>
      </c>
      <c r="C1148">
        <v>401557</v>
      </c>
      <c r="D1148" t="str">
        <f>"Rhodes, Richard"</f>
        <v>Rhodes, Richard</v>
      </c>
      <c r="F1148" t="str">
        <f>"xiv, 464 pages, 24 cm, illustrations, maps"</f>
        <v>xiv, 464 pages, 24 cm, illustrations, maps</v>
      </c>
      <c r="G1148" s="1">
        <v>18</v>
      </c>
      <c r="H1148">
        <v>2018</v>
      </c>
      <c r="I1148" t="str">
        <f t="shared" si="40"/>
        <v>9: 300 - 399</v>
      </c>
      <c r="K1148" t="str">
        <f>"WB - Out"</f>
        <v>WB - Out</v>
      </c>
      <c r="L1148" s="1">
        <v>35</v>
      </c>
      <c r="M1148" t="s">
        <v>1083</v>
      </c>
      <c r="O1148" t="s">
        <v>28</v>
      </c>
      <c r="P1148">
        <v>9</v>
      </c>
      <c r="Q1148">
        <v>0</v>
      </c>
      <c r="R1148">
        <v>9</v>
      </c>
      <c r="S1148" s="2">
        <v>43256</v>
      </c>
      <c r="T1148" s="2">
        <v>43446</v>
      </c>
      <c r="U1148" s="2">
        <v>43859</v>
      </c>
    </row>
    <row r="1149" spans="1:22" x14ac:dyDescent="0.2">
      <c r="A1149" t="str">
        <f>"333.79 SIV"</f>
        <v>333.79 SIV</v>
      </c>
      <c r="B1149" t="str">
        <f>"Taming the sun: innovations to harness s"</f>
        <v>Taming the sun: innovations to harness s</v>
      </c>
      <c r="C1149">
        <v>346995</v>
      </c>
      <c r="D1149" t="str">
        <f>"Sivaram, Varun"</f>
        <v>Sivaram, Varun</v>
      </c>
      <c r="F1149" t="str">
        <f>"274 p."</f>
        <v>274 p.</v>
      </c>
      <c r="G1149" s="1">
        <v>18</v>
      </c>
      <c r="H1149">
        <v>2018</v>
      </c>
      <c r="I1149" t="str">
        <f t="shared" si="40"/>
        <v>9: 300 - 399</v>
      </c>
      <c r="K1149" t="str">
        <f>"WB - In"</f>
        <v>WB - In</v>
      </c>
      <c r="L1149" s="1">
        <v>35</v>
      </c>
      <c r="M1149" t="s">
        <v>1084</v>
      </c>
      <c r="O1149" t="s">
        <v>28</v>
      </c>
      <c r="P1149">
        <v>5</v>
      </c>
      <c r="Q1149">
        <v>0</v>
      </c>
      <c r="R1149">
        <v>5</v>
      </c>
      <c r="S1149" s="2">
        <v>43192</v>
      </c>
      <c r="T1149" s="2">
        <v>43348</v>
      </c>
      <c r="U1149" s="2">
        <v>43330</v>
      </c>
    </row>
    <row r="1150" spans="1:22" x14ac:dyDescent="0.2">
      <c r="A1150" t="str">
        <f>"333.79 WEB"</f>
        <v>333.79 WEB</v>
      </c>
      <c r="B1150" t="str">
        <f>"Power trip: the story of energy"</f>
        <v>Power trip: the story of energy</v>
      </c>
      <c r="C1150">
        <v>355579</v>
      </c>
      <c r="D1150" t="str">
        <f>"Webber, Michael E."</f>
        <v>Webber, Michael E.</v>
      </c>
      <c r="F1150" t="str">
        <f>"vii, 294 pages, 25 cm"</f>
        <v>vii, 294 pages, 25 cm</v>
      </c>
      <c r="G1150" s="1">
        <v>19</v>
      </c>
      <c r="H1150">
        <v>2019</v>
      </c>
      <c r="I1150" t="str">
        <f t="shared" si="40"/>
        <v>9: 300 - 399</v>
      </c>
      <c r="K1150" t="str">
        <f>"WB - In"</f>
        <v>WB - In</v>
      </c>
      <c r="L1150" s="1">
        <v>35</v>
      </c>
      <c r="M1150" t="s">
        <v>1085</v>
      </c>
      <c r="O1150" t="s">
        <v>28</v>
      </c>
      <c r="P1150">
        <v>7</v>
      </c>
      <c r="Q1150">
        <v>0</v>
      </c>
      <c r="R1150">
        <v>7</v>
      </c>
      <c r="S1150" s="2">
        <v>43633</v>
      </c>
      <c r="T1150" s="2">
        <v>43803</v>
      </c>
      <c r="U1150" s="2">
        <v>43788</v>
      </c>
    </row>
    <row r="1151" spans="1:22" x14ac:dyDescent="0.2">
      <c r="A1151" t="str">
        <f>"333.79 WEB"</f>
        <v>333.79 WEB</v>
      </c>
      <c r="B1151" t="str">
        <f>"Thirst for power: energy, water and huma"</f>
        <v>Thirst for power: energy, water and huma</v>
      </c>
      <c r="C1151">
        <v>335918</v>
      </c>
      <c r="D1151" t="str">
        <f>"Webber, Michael E."</f>
        <v>Webber, Michael E.</v>
      </c>
      <c r="F1151" t="str">
        <f>"x, 235 pages, 25 cm, illustrations, charts"</f>
        <v>x, 235 pages, 25 cm, illustrations, charts</v>
      </c>
      <c r="G1151" s="1">
        <v>16</v>
      </c>
      <c r="H1151">
        <v>2016</v>
      </c>
      <c r="I1151" t="str">
        <f t="shared" si="40"/>
        <v>9: 300 - 399</v>
      </c>
      <c r="K1151" t="str">
        <f>"WB - In"</f>
        <v>WB - In</v>
      </c>
      <c r="L1151" s="1">
        <v>35</v>
      </c>
      <c r="M1151" t="s">
        <v>1086</v>
      </c>
      <c r="O1151" t="s">
        <v>28</v>
      </c>
      <c r="P1151">
        <v>2</v>
      </c>
      <c r="Q1151">
        <v>0</v>
      </c>
      <c r="R1151">
        <v>7</v>
      </c>
      <c r="S1151" s="2">
        <v>42549</v>
      </c>
      <c r="T1151" s="2">
        <v>42700</v>
      </c>
      <c r="U1151" s="2">
        <v>43230</v>
      </c>
      <c r="V1151" s="2">
        <v>42593</v>
      </c>
    </row>
    <row r="1152" spans="1:22" x14ac:dyDescent="0.2">
      <c r="A1152" t="str">
        <f>"333.79 YER"</f>
        <v>333.79 YER</v>
      </c>
      <c r="B1152" t="str">
        <f>"prize: the epic quest for oil, money, &amp; "</f>
        <v xml:space="preserve">prize: the epic quest for oil, money, &amp; </v>
      </c>
      <c r="C1152">
        <v>339915</v>
      </c>
      <c r="D1152" t="str">
        <f>"Yergin, Daniel"</f>
        <v>Yergin, Daniel</v>
      </c>
      <c r="F1152" t="str">
        <f>"xvii, 908 p., 24 cm, ill., maps"</f>
        <v>xvii, 908 p., 24 cm, ill., maps</v>
      </c>
      <c r="G1152" s="1">
        <v>17</v>
      </c>
      <c r="H1152">
        <v>2009</v>
      </c>
      <c r="I1152" t="str">
        <f t="shared" si="40"/>
        <v>9: 300 - 399</v>
      </c>
      <c r="K1152" t="str">
        <f>"WB - In"</f>
        <v>WB - In</v>
      </c>
      <c r="L1152" s="1">
        <v>27</v>
      </c>
      <c r="M1152" t="s">
        <v>1087</v>
      </c>
      <c r="O1152" t="s">
        <v>28</v>
      </c>
      <c r="P1152">
        <v>4</v>
      </c>
      <c r="Q1152">
        <v>0</v>
      </c>
      <c r="R1152">
        <v>4</v>
      </c>
      <c r="S1152" s="2">
        <v>42789</v>
      </c>
      <c r="T1152" s="2">
        <v>42793</v>
      </c>
      <c r="U1152" s="2">
        <v>43821</v>
      </c>
    </row>
    <row r="1153" spans="1:22" x14ac:dyDescent="0.2">
      <c r="A1153" t="str">
        <f>"333.79 YER"</f>
        <v>333.79 YER</v>
      </c>
      <c r="B1153" t="str">
        <f>"quest: energy, security and the remaking"</f>
        <v>quest: energy, security and the remaking</v>
      </c>
      <c r="C1153">
        <v>302927</v>
      </c>
      <c r="D1153" t="str">
        <f>"Yergin, Daniel"</f>
        <v>Yergin, Daniel</v>
      </c>
      <c r="F1153" t="str">
        <f>"804 p."</f>
        <v>804 p.</v>
      </c>
      <c r="G1153" s="1">
        <v>11</v>
      </c>
      <c r="H1153">
        <v>2011</v>
      </c>
      <c r="I1153" t="str">
        <f t="shared" si="40"/>
        <v>9: 300 - 399</v>
      </c>
      <c r="K1153" t="str">
        <f>"LL - In"</f>
        <v>LL - In</v>
      </c>
      <c r="L1153" s="1">
        <v>43</v>
      </c>
      <c r="M1153" t="s">
        <v>1088</v>
      </c>
      <c r="O1153" t="s">
        <v>28</v>
      </c>
      <c r="P1153">
        <v>3</v>
      </c>
      <c r="Q1153">
        <v>0</v>
      </c>
      <c r="R1153">
        <v>19</v>
      </c>
      <c r="S1153" s="2">
        <v>40802</v>
      </c>
      <c r="T1153" s="2">
        <v>41053</v>
      </c>
      <c r="U1153" s="2">
        <v>43838</v>
      </c>
      <c r="V1153" s="2">
        <v>40960</v>
      </c>
    </row>
    <row r="1154" spans="1:22" x14ac:dyDescent="0.2">
      <c r="A1154" t="str">
        <f>"333.79 ZUC"</f>
        <v>333.79 ZUC</v>
      </c>
      <c r="B1154" t="str">
        <f>"frackers: the outrageous inside story of"</f>
        <v>frackers: the outrageous inside story of</v>
      </c>
      <c r="C1154">
        <v>317979</v>
      </c>
      <c r="D1154" t="str">
        <f>"Zuckerman, Gregory."</f>
        <v>Zuckerman, Gregory.</v>
      </c>
      <c r="F1154" t="str">
        <f>"404 p."</f>
        <v>404 p.</v>
      </c>
      <c r="G1154" s="1">
        <v>13</v>
      </c>
      <c r="H1154">
        <v>2013</v>
      </c>
      <c r="I1154" t="str">
        <f t="shared" si="40"/>
        <v>9: 300 - 399</v>
      </c>
      <c r="K1154" t="str">
        <f>"LL - In"</f>
        <v>LL - In</v>
      </c>
      <c r="L1154" s="1">
        <v>35</v>
      </c>
      <c r="M1154" t="s">
        <v>1089</v>
      </c>
      <c r="O1154" t="s">
        <v>28</v>
      </c>
      <c r="P1154">
        <v>3</v>
      </c>
      <c r="Q1154">
        <v>0</v>
      </c>
      <c r="R1154">
        <v>23</v>
      </c>
      <c r="S1154" s="2">
        <v>41591</v>
      </c>
      <c r="T1154" s="2">
        <v>41861</v>
      </c>
      <c r="U1154" s="2">
        <v>43634</v>
      </c>
      <c r="V1154" s="2">
        <v>42209</v>
      </c>
    </row>
    <row r="1155" spans="1:22" x14ac:dyDescent="0.2">
      <c r="A1155" t="str">
        <f>"333.91 ARA"</f>
        <v>333.91 ARA</v>
      </c>
      <c r="B1155" t="str">
        <f>"dreamt land: chasing water and dust acro"</f>
        <v>dreamt land: chasing water and dust acro</v>
      </c>
      <c r="C1155">
        <v>355922</v>
      </c>
      <c r="D1155" t="str">
        <f>"Arax, Mark,"</f>
        <v>Arax, Mark,</v>
      </c>
      <c r="F1155" t="str">
        <f>"viii, 562 pages, 25 cm, illustrations, map"</f>
        <v>viii, 562 pages, 25 cm, illustrations, map</v>
      </c>
      <c r="G1155" s="1">
        <v>19</v>
      </c>
      <c r="H1155">
        <v>2019</v>
      </c>
      <c r="I1155" t="str">
        <f t="shared" si="40"/>
        <v>9: 300 - 399</v>
      </c>
      <c r="K1155" t="str">
        <f>"LL - In"</f>
        <v>LL - In</v>
      </c>
      <c r="L1155" s="1">
        <v>35</v>
      </c>
      <c r="M1155" t="s">
        <v>1090</v>
      </c>
      <c r="O1155" t="s">
        <v>28</v>
      </c>
      <c r="P1155">
        <v>4</v>
      </c>
      <c r="Q1155">
        <v>1</v>
      </c>
      <c r="R1155">
        <v>5</v>
      </c>
      <c r="S1155" s="2">
        <v>43647</v>
      </c>
      <c r="T1155" s="2">
        <v>43809</v>
      </c>
      <c r="U1155" s="2">
        <v>43767</v>
      </c>
      <c r="V1155" s="2">
        <v>43809</v>
      </c>
    </row>
    <row r="1156" spans="1:22" x14ac:dyDescent="0.2">
      <c r="A1156" t="str">
        <f>"333.91 CRA"</f>
        <v>333.91 CRA</v>
      </c>
      <c r="B1156" t="str">
        <f>"Finding the river: an environmental hist"</f>
        <v>Finding the river: an environmental hist</v>
      </c>
      <c r="C1156">
        <v>259193</v>
      </c>
      <c r="D1156" t="str">
        <f>"Crane, Jeff."</f>
        <v>Crane, Jeff.</v>
      </c>
      <c r="F1156" t="str">
        <f>"250 p."</f>
        <v>250 p.</v>
      </c>
      <c r="G1156" s="1">
        <v>12</v>
      </c>
      <c r="H1156">
        <v>2011</v>
      </c>
      <c r="I1156" t="str">
        <f t="shared" si="40"/>
        <v>9: 300 - 399</v>
      </c>
      <c r="K1156" t="str">
        <f>"WB - In"</f>
        <v>WB - In</v>
      </c>
      <c r="L1156" s="1">
        <v>23</v>
      </c>
      <c r="M1156" t="s">
        <v>1091</v>
      </c>
      <c r="O1156" t="s">
        <v>28</v>
      </c>
      <c r="P1156">
        <v>2</v>
      </c>
      <c r="Q1156">
        <v>1</v>
      </c>
      <c r="R1156">
        <v>5</v>
      </c>
      <c r="S1156" s="2">
        <v>41123</v>
      </c>
      <c r="T1156" s="2">
        <v>41127</v>
      </c>
      <c r="U1156" s="2">
        <v>43701</v>
      </c>
      <c r="V1156" s="2">
        <v>42964</v>
      </c>
    </row>
    <row r="1157" spans="1:22" x14ac:dyDescent="0.2">
      <c r="A1157" t="str">
        <f>"333.91 DOY"</f>
        <v>333.91 DOY</v>
      </c>
      <c r="B1157" t="str">
        <f>"source: how rivers made America and Amer"</f>
        <v>source: how rivers made America and Amer</v>
      </c>
      <c r="C1157">
        <v>346371</v>
      </c>
      <c r="D1157" t="str">
        <f>"Doyle, Martin"</f>
        <v>Doyle, Martin</v>
      </c>
      <c r="F1157" t="str">
        <f>"349 pages, 25 cm, illustrations, maps"</f>
        <v>349 pages, 25 cm, illustrations, maps</v>
      </c>
      <c r="G1157" s="1">
        <v>18</v>
      </c>
      <c r="H1157">
        <v>2018</v>
      </c>
      <c r="I1157" t="str">
        <f t="shared" si="40"/>
        <v>9: 300 - 399</v>
      </c>
      <c r="K1157" t="str">
        <f>"WB - In"</f>
        <v>WB - In</v>
      </c>
      <c r="L1157" s="1">
        <v>32</v>
      </c>
      <c r="M1157" t="s">
        <v>1092</v>
      </c>
      <c r="O1157" t="s">
        <v>28</v>
      </c>
      <c r="P1157">
        <v>6</v>
      </c>
      <c r="Q1157">
        <v>0</v>
      </c>
      <c r="R1157">
        <v>6</v>
      </c>
      <c r="S1157" s="2">
        <v>43159</v>
      </c>
      <c r="T1157" s="2">
        <v>43383</v>
      </c>
      <c r="U1157" s="2">
        <v>43299</v>
      </c>
    </row>
    <row r="1158" spans="1:22" x14ac:dyDescent="0.2">
      <c r="A1158" t="str">
        <f>"333.91 MCG"</f>
        <v>333.91 MCG</v>
      </c>
      <c r="B1158" t="str">
        <f>"thirsty land: the making of an American "</f>
        <v xml:space="preserve">thirsty land: the making of an American </v>
      </c>
      <c r="C1158">
        <v>348659</v>
      </c>
      <c r="D1158" t="str">
        <f>"McGraw, Seamus"</f>
        <v>McGraw, Seamus</v>
      </c>
      <c r="F1158" t="str">
        <f>"277 pages, 24 cm"</f>
        <v>277 pages, 24 cm</v>
      </c>
      <c r="G1158" s="1">
        <v>18</v>
      </c>
      <c r="H1158">
        <v>2018</v>
      </c>
      <c r="I1158" t="str">
        <f t="shared" si="40"/>
        <v>9: 300 - 399</v>
      </c>
      <c r="K1158" t="str">
        <f>"WB - In"</f>
        <v>WB - In</v>
      </c>
      <c r="L1158" s="1">
        <v>33</v>
      </c>
      <c r="M1158" t="s">
        <v>1093</v>
      </c>
      <c r="O1158" t="s">
        <v>28</v>
      </c>
      <c r="P1158">
        <v>3</v>
      </c>
      <c r="Q1158">
        <v>0</v>
      </c>
      <c r="R1158">
        <v>3</v>
      </c>
      <c r="S1158" s="2">
        <v>43292</v>
      </c>
      <c r="T1158" s="2">
        <v>43467</v>
      </c>
      <c r="U1158" s="2">
        <v>43402</v>
      </c>
    </row>
    <row r="1159" spans="1:22" x14ac:dyDescent="0.2">
      <c r="A1159" t="str">
        <f>"333.91 SOL"</f>
        <v>333.91 SOL</v>
      </c>
      <c r="B1159" t="str">
        <f>"Water: the epic struggle for wealth, pow"</f>
        <v>Water: the epic struggle for wealth, pow</v>
      </c>
      <c r="C1159">
        <v>301931</v>
      </c>
      <c r="D1159" t="str">
        <f>"Solomon, Steven."</f>
        <v>Solomon, Steven.</v>
      </c>
      <c r="F1159" t="str">
        <f>"x, 596 p., 23 cm., ill., maps"</f>
        <v>x, 596 p., 23 cm., ill., maps</v>
      </c>
      <c r="G1159" s="1">
        <v>11</v>
      </c>
      <c r="H1159">
        <v>2011</v>
      </c>
      <c r="I1159" t="str">
        <f t="shared" si="40"/>
        <v>9: 300 - 399</v>
      </c>
      <c r="K1159" t="str">
        <f>"WB - In"</f>
        <v>WB - In</v>
      </c>
      <c r="L1159" s="1">
        <v>23</v>
      </c>
      <c r="M1159" t="s">
        <v>1094</v>
      </c>
      <c r="O1159" t="s">
        <v>28</v>
      </c>
      <c r="P1159">
        <v>3</v>
      </c>
      <c r="Q1159">
        <v>0</v>
      </c>
      <c r="R1159">
        <v>17</v>
      </c>
      <c r="S1159" s="2">
        <v>40751</v>
      </c>
      <c r="T1159" s="2">
        <v>41080</v>
      </c>
      <c r="U1159" s="2">
        <v>43701</v>
      </c>
      <c r="V1159" s="2">
        <v>42674</v>
      </c>
    </row>
    <row r="1160" spans="1:22" x14ac:dyDescent="0.2">
      <c r="A1160" t="str">
        <f>"335 BRE"</f>
        <v>335 BRE</v>
      </c>
      <c r="B1160" t="str">
        <f>"Utopia for realists: how we can build th"</f>
        <v>Utopia for realists: how we can build th</v>
      </c>
      <c r="C1160">
        <v>354185</v>
      </c>
      <c r="D1160" t="str">
        <f>"Bregman, Rutger"</f>
        <v>Bregman, Rutger</v>
      </c>
      <c r="F1160" t="str">
        <f>"316 pages, 25 cm, illustrations"</f>
        <v>316 pages, 25 cm, illustrations</v>
      </c>
      <c r="G1160" s="1">
        <v>19</v>
      </c>
      <c r="H1160">
        <v>2018</v>
      </c>
      <c r="I1160" t="str">
        <f t="shared" ref="I1160:I1223" si="43">"9: 300 - 399"</f>
        <v>9: 300 - 399</v>
      </c>
      <c r="K1160" t="str">
        <f>"WB - In"</f>
        <v>WB - In</v>
      </c>
      <c r="L1160" s="1">
        <v>22</v>
      </c>
      <c r="M1160" t="s">
        <v>1095</v>
      </c>
      <c r="O1160" t="s">
        <v>28</v>
      </c>
      <c r="P1160">
        <v>3</v>
      </c>
      <c r="Q1160">
        <v>0</v>
      </c>
      <c r="R1160">
        <v>3</v>
      </c>
      <c r="S1160" s="2">
        <v>43572</v>
      </c>
      <c r="T1160" s="2">
        <v>43574</v>
      </c>
      <c r="U1160" s="2">
        <v>43737</v>
      </c>
    </row>
    <row r="1161" spans="1:22" x14ac:dyDescent="0.2">
      <c r="A1161" t="str">
        <f>"335 DIL"</f>
        <v>335 DIL</v>
      </c>
      <c r="B1161" t="str">
        <f>"problem with socialism"</f>
        <v>problem with socialism</v>
      </c>
      <c r="C1161">
        <v>337915</v>
      </c>
      <c r="D1161" t="str">
        <f>"Dilorenzo, Thomas"</f>
        <v>Dilorenzo, Thomas</v>
      </c>
      <c r="F1161" t="str">
        <f>"241 pages, 18 cm"</f>
        <v>241 pages, 18 cm</v>
      </c>
      <c r="G1161" s="1">
        <v>16</v>
      </c>
      <c r="H1161">
        <v>2016</v>
      </c>
      <c r="I1161" t="str">
        <f t="shared" si="43"/>
        <v>9: 300 - 399</v>
      </c>
      <c r="K1161" t="str">
        <f>"LL - In"</f>
        <v>LL - In</v>
      </c>
      <c r="L1161" s="1">
        <v>24</v>
      </c>
      <c r="M1161" t="s">
        <v>1096</v>
      </c>
      <c r="O1161" t="s">
        <v>28</v>
      </c>
      <c r="P1161">
        <v>3</v>
      </c>
      <c r="Q1161">
        <v>2</v>
      </c>
      <c r="R1161">
        <v>12</v>
      </c>
      <c r="S1161" s="2">
        <v>42661</v>
      </c>
      <c r="T1161" s="2">
        <v>42833</v>
      </c>
      <c r="U1161" s="2">
        <v>42803</v>
      </c>
      <c r="V1161" s="2">
        <v>43325</v>
      </c>
    </row>
    <row r="1162" spans="1:22" x14ac:dyDescent="0.2">
      <c r="A1162" t="str">
        <f>"336.2 REI"</f>
        <v>336.2 REI</v>
      </c>
      <c r="B1162" t="str">
        <f>"fine mess: a global quest for a simpler,"</f>
        <v>fine mess: a global quest for a simpler,</v>
      </c>
      <c r="C1162">
        <v>340822</v>
      </c>
      <c r="D1162" t="str">
        <f>"Reid, T. R."</f>
        <v>Reid, T. R.</v>
      </c>
      <c r="F1162" t="str">
        <f>"278 pages, 25 cm"</f>
        <v>278 pages, 25 cm</v>
      </c>
      <c r="G1162" s="1">
        <v>17</v>
      </c>
      <c r="H1162">
        <v>2017</v>
      </c>
      <c r="I1162" t="str">
        <f t="shared" si="43"/>
        <v>9: 300 - 399</v>
      </c>
      <c r="K1162" t="str">
        <f>"WB - In"</f>
        <v>WB - In</v>
      </c>
      <c r="L1162" s="1">
        <v>32</v>
      </c>
      <c r="M1162" t="s">
        <v>1097</v>
      </c>
      <c r="O1162" t="s">
        <v>28</v>
      </c>
      <c r="P1162">
        <v>7</v>
      </c>
      <c r="Q1162">
        <v>0</v>
      </c>
      <c r="R1162">
        <v>7</v>
      </c>
      <c r="S1162" s="2">
        <v>42842</v>
      </c>
      <c r="T1162" s="2">
        <v>43026</v>
      </c>
      <c r="U1162" s="2">
        <v>43600</v>
      </c>
    </row>
    <row r="1163" spans="1:22" x14ac:dyDescent="0.2">
      <c r="A1163" t="str">
        <f>"336.24 DAI"</f>
        <v>336.24 DAI</v>
      </c>
      <c r="B1163" t="str">
        <f>"Stand up to the IRS"</f>
        <v>Stand up to the IRS</v>
      </c>
      <c r="C1163">
        <v>325857</v>
      </c>
      <c r="D1163" t="str">
        <f>"Daily, Frederick W.,"</f>
        <v>Daily, Frederick W.,</v>
      </c>
      <c r="F1163" t="str">
        <f>"442 p., 23 cm, ill., forms"</f>
        <v>442 p., 23 cm, ill., forms</v>
      </c>
      <c r="G1163" s="1">
        <v>15</v>
      </c>
      <c r="H1163">
        <v>2015</v>
      </c>
      <c r="I1163" t="str">
        <f t="shared" si="43"/>
        <v>9: 300 - 399</v>
      </c>
      <c r="K1163" t="str">
        <f>"WB - In"</f>
        <v>WB - In</v>
      </c>
      <c r="L1163" s="1">
        <v>40</v>
      </c>
      <c r="M1163" t="s">
        <v>1098</v>
      </c>
      <c r="O1163" t="s">
        <v>28</v>
      </c>
      <c r="P1163">
        <v>0</v>
      </c>
      <c r="Q1163">
        <v>0</v>
      </c>
      <c r="R1163">
        <v>5</v>
      </c>
      <c r="S1163" s="2">
        <v>42040</v>
      </c>
      <c r="T1163" s="2">
        <v>42061</v>
      </c>
      <c r="U1163" s="2">
        <v>42766</v>
      </c>
      <c r="V1163" s="2">
        <v>42249</v>
      </c>
    </row>
    <row r="1164" spans="1:22" x14ac:dyDescent="0.2">
      <c r="A1164" t="str">
        <f>"336.24 DAI"</f>
        <v>336.24 DAI</v>
      </c>
      <c r="B1164" t="str">
        <f>"Surviving an IRS tax audit"</f>
        <v>Surviving an IRS tax audit</v>
      </c>
      <c r="C1164">
        <v>303040</v>
      </c>
      <c r="D1164" t="str">
        <f>"Daily, Frederick W.,"</f>
        <v>Daily, Frederick W.,</v>
      </c>
      <c r="F1164" t="str">
        <f>"215 p., 24 cm., ill., forms"</f>
        <v>215 p., 24 cm., ill., forms</v>
      </c>
      <c r="G1164" s="1">
        <v>11</v>
      </c>
      <c r="H1164">
        <v>2010</v>
      </c>
      <c r="I1164" t="str">
        <f t="shared" si="43"/>
        <v>9: 300 - 399</v>
      </c>
      <c r="K1164" t="str">
        <f>"WB - In"</f>
        <v>WB - In</v>
      </c>
      <c r="L1164" s="1">
        <v>40</v>
      </c>
      <c r="M1164" t="s">
        <v>1099</v>
      </c>
      <c r="O1164" t="s">
        <v>28</v>
      </c>
      <c r="P1164">
        <v>0</v>
      </c>
      <c r="Q1164">
        <v>0</v>
      </c>
      <c r="R1164">
        <v>5</v>
      </c>
      <c r="S1164" s="2">
        <v>40813</v>
      </c>
      <c r="T1164" s="2">
        <v>41053</v>
      </c>
      <c r="U1164" s="2">
        <v>42766</v>
      </c>
    </row>
    <row r="1165" spans="1:22" x14ac:dyDescent="0.2">
      <c r="A1165" t="str">
        <f>"336.24 ERN"</f>
        <v>336.24 ERN</v>
      </c>
      <c r="B1165" t="str">
        <f>"EY tax guide 2018"</f>
        <v>EY tax guide 2018</v>
      </c>
      <c r="C1165">
        <v>298880</v>
      </c>
      <c r="F1165" t="str">
        <f>"1053 p."</f>
        <v>1053 p.</v>
      </c>
      <c r="G1165" s="1">
        <v>17</v>
      </c>
      <c r="H1165">
        <v>2018</v>
      </c>
      <c r="I1165" t="str">
        <f t="shared" si="43"/>
        <v>9: 300 - 399</v>
      </c>
      <c r="K1165" t="str">
        <f>"WB - In"</f>
        <v>WB - In</v>
      </c>
      <c r="L1165" s="1">
        <v>30</v>
      </c>
      <c r="M1165" t="s">
        <v>1100</v>
      </c>
      <c r="O1165" t="s">
        <v>28</v>
      </c>
      <c r="P1165">
        <v>7</v>
      </c>
      <c r="Q1165">
        <v>0</v>
      </c>
      <c r="R1165">
        <v>7</v>
      </c>
      <c r="S1165" s="2">
        <v>43075</v>
      </c>
      <c r="T1165" s="2">
        <v>43080</v>
      </c>
      <c r="U1165" s="2">
        <v>43560</v>
      </c>
    </row>
    <row r="1166" spans="1:22" x14ac:dyDescent="0.2">
      <c r="A1166" t="str">
        <f>"336.24 HOW"</f>
        <v>336.24 HOW</v>
      </c>
      <c r="B1166" t="str">
        <f>"How to pay zero taxes"</f>
        <v>How to pay zero taxes</v>
      </c>
      <c r="C1166">
        <v>330014</v>
      </c>
      <c r="F1166" t="str">
        <f>"v., 24 cm"</f>
        <v>v., 24 cm</v>
      </c>
      <c r="G1166" s="1">
        <v>15</v>
      </c>
      <c r="I1166" t="str">
        <f t="shared" si="43"/>
        <v>9: 300 - 399</v>
      </c>
      <c r="K1166" t="str">
        <f>"LL - In"</f>
        <v>LL - In</v>
      </c>
      <c r="L1166" s="1">
        <v>25</v>
      </c>
      <c r="M1166" t="s">
        <v>1101</v>
      </c>
      <c r="O1166" t="s">
        <v>28</v>
      </c>
      <c r="P1166">
        <v>4</v>
      </c>
      <c r="Q1166">
        <v>1</v>
      </c>
      <c r="R1166">
        <v>15</v>
      </c>
      <c r="S1166" s="2">
        <v>42268</v>
      </c>
      <c r="T1166" s="2">
        <v>42279</v>
      </c>
      <c r="U1166" s="2">
        <v>42879</v>
      </c>
      <c r="V1166" s="2">
        <v>43857</v>
      </c>
    </row>
    <row r="1167" spans="1:22" x14ac:dyDescent="0.2">
      <c r="A1167" t="str">
        <f>"336.24 PIP"</f>
        <v>336.24 PIP</v>
      </c>
      <c r="B1167" t="str">
        <f>"Taxes made simple: income taxes explaine"</f>
        <v>Taxes made simple: income taxes explaine</v>
      </c>
      <c r="C1167">
        <v>349751</v>
      </c>
      <c r="D1167" t="str">
        <f>"Piper, Mike"</f>
        <v>Piper, Mike</v>
      </c>
      <c r="F1167" t="str">
        <f>"100 p."</f>
        <v>100 p.</v>
      </c>
      <c r="G1167" s="1">
        <v>18</v>
      </c>
      <c r="H1167">
        <v>2018</v>
      </c>
      <c r="I1167" t="str">
        <f t="shared" si="43"/>
        <v>9: 300 - 399</v>
      </c>
      <c r="K1167" t="str">
        <f>"LL - Out"</f>
        <v>LL - Out</v>
      </c>
      <c r="L1167" s="1">
        <v>20</v>
      </c>
      <c r="M1167" t="s">
        <v>1102</v>
      </c>
      <c r="O1167" t="s">
        <v>28</v>
      </c>
      <c r="P1167">
        <v>2</v>
      </c>
      <c r="Q1167">
        <v>0</v>
      </c>
      <c r="R1167">
        <v>2</v>
      </c>
      <c r="S1167" s="2">
        <v>43348</v>
      </c>
      <c r="T1167" s="2">
        <v>43357</v>
      </c>
      <c r="U1167" s="2">
        <v>43839</v>
      </c>
    </row>
    <row r="1168" spans="1:22" x14ac:dyDescent="0.2">
      <c r="A1168" t="str">
        <f>"336.3 JOH"</f>
        <v>336.3 JOH</v>
      </c>
      <c r="B1168" t="str">
        <f>"White House burning: the founding Father"</f>
        <v>White House burning: the founding Father</v>
      </c>
      <c r="C1168">
        <v>306442</v>
      </c>
      <c r="D1168" t="str">
        <f>"Johnson, Simon"</f>
        <v>Johnson, Simon</v>
      </c>
      <c r="F1168" t="str">
        <f>"352 p."</f>
        <v>352 p.</v>
      </c>
      <c r="G1168" s="1">
        <v>12</v>
      </c>
      <c r="H1168">
        <v>2012</v>
      </c>
      <c r="I1168" t="str">
        <f t="shared" si="43"/>
        <v>9: 300 - 399</v>
      </c>
      <c r="K1168" t="str">
        <f>"LL - In"</f>
        <v>LL - In</v>
      </c>
      <c r="L1168" s="1">
        <v>32</v>
      </c>
      <c r="M1168" t="s">
        <v>1103</v>
      </c>
      <c r="O1168" t="s">
        <v>28</v>
      </c>
      <c r="P1168">
        <v>1</v>
      </c>
      <c r="Q1168">
        <v>0</v>
      </c>
      <c r="R1168">
        <v>10</v>
      </c>
      <c r="S1168" s="2">
        <v>41003</v>
      </c>
      <c r="T1168" s="2">
        <v>42017</v>
      </c>
      <c r="U1168" s="2">
        <v>43313</v>
      </c>
    </row>
    <row r="1169" spans="1:22" x14ac:dyDescent="0.2">
      <c r="A1169" t="str">
        <f>"336.7 GAL"</f>
        <v>336.7 GAL</v>
      </c>
      <c r="B1169" t="str">
        <f>"Fiscal therapy: curing America's debt ad"</f>
        <v>Fiscal therapy: curing America's debt ad</v>
      </c>
      <c r="C1169">
        <v>355565</v>
      </c>
      <c r="D1169" t="str">
        <f>"Gale, William G."</f>
        <v>Gale, William G.</v>
      </c>
      <c r="F1169" t="str">
        <f>"xiii, 335 pages, 25 cm, illustrations"</f>
        <v>xiii, 335 pages, 25 cm, illustrations</v>
      </c>
      <c r="G1169" s="1">
        <v>19</v>
      </c>
      <c r="H1169">
        <v>2019</v>
      </c>
      <c r="I1169" t="str">
        <f t="shared" si="43"/>
        <v>9: 300 - 399</v>
      </c>
      <c r="K1169" t="str">
        <f>"WB - In"</f>
        <v>WB - In</v>
      </c>
      <c r="L1169" s="1">
        <v>35</v>
      </c>
      <c r="M1169" t="s">
        <v>1104</v>
      </c>
      <c r="O1169" t="s">
        <v>28</v>
      </c>
      <c r="P1169">
        <v>5</v>
      </c>
      <c r="Q1169">
        <v>0</v>
      </c>
      <c r="R1169">
        <v>5</v>
      </c>
      <c r="S1169" s="2">
        <v>43633</v>
      </c>
      <c r="T1169" s="2">
        <v>43803</v>
      </c>
      <c r="U1169" s="2">
        <v>43763</v>
      </c>
    </row>
    <row r="1170" spans="1:22" x14ac:dyDescent="0.2">
      <c r="A1170" t="str">
        <f>"337 DOL"</f>
        <v>337 DOL</v>
      </c>
      <c r="B1170" t="str">
        <f>"When America first met China: an exotic "</f>
        <v xml:space="preserve">When America first met China: an exotic </v>
      </c>
      <c r="C1170">
        <v>309544</v>
      </c>
      <c r="D1170" t="str">
        <f>"Dolin, Eric Jay."</f>
        <v>Dolin, Eric Jay.</v>
      </c>
      <c r="F1170" t="str">
        <f>"394 p."</f>
        <v>394 p.</v>
      </c>
      <c r="G1170" s="1">
        <v>12</v>
      </c>
      <c r="H1170">
        <v>2012</v>
      </c>
      <c r="I1170" t="str">
        <f t="shared" si="43"/>
        <v>9: 300 - 399</v>
      </c>
      <c r="K1170" t="str">
        <f>"WB - In"</f>
        <v>WB - In</v>
      </c>
      <c r="L1170" s="1">
        <v>33</v>
      </c>
      <c r="M1170" t="s">
        <v>1105</v>
      </c>
      <c r="O1170" t="s">
        <v>28</v>
      </c>
      <c r="P1170">
        <v>1</v>
      </c>
      <c r="Q1170">
        <v>0</v>
      </c>
      <c r="R1170">
        <v>18</v>
      </c>
      <c r="S1170" s="2">
        <v>41164</v>
      </c>
      <c r="T1170" s="2">
        <v>41451</v>
      </c>
      <c r="U1170" s="2">
        <v>42840</v>
      </c>
      <c r="V1170" s="2">
        <v>41197</v>
      </c>
    </row>
    <row r="1171" spans="1:22" x14ac:dyDescent="0.2">
      <c r="A1171" t="str">
        <f>"337 FRI"</f>
        <v>337 FRI</v>
      </c>
      <c r="B1171" t="str">
        <f>"world is flat: further updated and expan"</f>
        <v>world is flat: further updated and expan</v>
      </c>
      <c r="C1171">
        <v>127404</v>
      </c>
      <c r="D1171" t="str">
        <f>"Friedman, Thomas L."</f>
        <v>Friedman, Thomas L.</v>
      </c>
      <c r="F1171" t="str">
        <f>"660 p."</f>
        <v>660 p.</v>
      </c>
      <c r="G1171" s="1">
        <v>7</v>
      </c>
      <c r="H1171">
        <v>2008</v>
      </c>
      <c r="I1171" t="str">
        <f t="shared" si="43"/>
        <v>9: 300 - 399</v>
      </c>
      <c r="K1171" t="str">
        <f>"LL - In"</f>
        <v>LL - In</v>
      </c>
      <c r="L1171" s="1">
        <v>40</v>
      </c>
      <c r="M1171" t="s">
        <v>1106</v>
      </c>
      <c r="O1171" t="s">
        <v>28</v>
      </c>
      <c r="P1171">
        <v>2</v>
      </c>
      <c r="Q1171">
        <v>0</v>
      </c>
      <c r="R1171">
        <v>34</v>
      </c>
      <c r="S1171" s="2">
        <v>39315</v>
      </c>
      <c r="T1171" s="2">
        <v>41053</v>
      </c>
      <c r="U1171" s="2">
        <v>43732</v>
      </c>
      <c r="V1171" s="2">
        <v>40240</v>
      </c>
    </row>
    <row r="1172" spans="1:22" x14ac:dyDescent="0.2">
      <c r="A1172" t="str">
        <f>"337 ROD"</f>
        <v>337 ROD</v>
      </c>
      <c r="B1172" t="str">
        <f>"globalization paradox: democracy and the"</f>
        <v>globalization paradox: democracy and the</v>
      </c>
      <c r="C1172">
        <v>147998</v>
      </c>
      <c r="D1172" t="str">
        <f>"Rodrik, Dani."</f>
        <v>Rodrik, Dani.</v>
      </c>
      <c r="F1172" t="str">
        <f>"346 p."</f>
        <v>346 p.</v>
      </c>
      <c r="G1172" s="1">
        <v>11</v>
      </c>
      <c r="H1172">
        <v>2011</v>
      </c>
      <c r="I1172" t="str">
        <f t="shared" si="43"/>
        <v>9: 300 - 399</v>
      </c>
      <c r="K1172" t="str">
        <f t="shared" ref="K1172:K1178" si="44">"WB - In"</f>
        <v>WB - In</v>
      </c>
      <c r="L1172" s="1">
        <v>32</v>
      </c>
      <c r="M1172" t="s">
        <v>1107</v>
      </c>
      <c r="O1172" t="s">
        <v>28</v>
      </c>
      <c r="P1172">
        <v>0</v>
      </c>
      <c r="Q1172">
        <v>0</v>
      </c>
      <c r="R1172">
        <v>10</v>
      </c>
      <c r="S1172" s="2">
        <v>40582</v>
      </c>
      <c r="T1172" s="2">
        <v>41053</v>
      </c>
      <c r="U1172" s="2">
        <v>42595</v>
      </c>
    </row>
    <row r="1173" spans="1:22" x14ac:dyDescent="0.2">
      <c r="A1173" t="str">
        <f>"337 SEL"</f>
        <v>337 SEL</v>
      </c>
      <c r="B1173" t="str">
        <f>"Vanishing frontiers: the forces driving "</f>
        <v xml:space="preserve">Vanishing frontiers: the forces driving </v>
      </c>
      <c r="C1173">
        <v>348936</v>
      </c>
      <c r="D1173" t="str">
        <f>"Selee, Andrew D."</f>
        <v>Selee, Andrew D.</v>
      </c>
      <c r="F1173" t="str">
        <f>"323 pages, 25 cm"</f>
        <v>323 pages, 25 cm</v>
      </c>
      <c r="G1173" s="1">
        <v>18</v>
      </c>
      <c r="H1173">
        <v>2018</v>
      </c>
      <c r="I1173" t="str">
        <f t="shared" si="43"/>
        <v>9: 300 - 399</v>
      </c>
      <c r="K1173" t="str">
        <f t="shared" si="44"/>
        <v>WB - In</v>
      </c>
      <c r="L1173" s="1">
        <v>33</v>
      </c>
      <c r="M1173" t="s">
        <v>1108</v>
      </c>
      <c r="O1173" t="s">
        <v>28</v>
      </c>
      <c r="P1173">
        <v>5</v>
      </c>
      <c r="Q1173">
        <v>1</v>
      </c>
      <c r="R1173">
        <v>6</v>
      </c>
      <c r="S1173" s="2">
        <v>43304</v>
      </c>
      <c r="T1173" s="2">
        <v>43467</v>
      </c>
      <c r="U1173" s="2">
        <v>43434</v>
      </c>
      <c r="V1173" s="2">
        <v>43462</v>
      </c>
    </row>
    <row r="1174" spans="1:22" x14ac:dyDescent="0.2">
      <c r="A1174" t="str">
        <f>"337 VAR"</f>
        <v>337 VAR</v>
      </c>
      <c r="B1174" t="str">
        <f>"Adults in the room: my battle with the E"</f>
        <v>Adults in the room: my battle with the E</v>
      </c>
      <c r="C1174">
        <v>297243</v>
      </c>
      <c r="D1174" t="str">
        <f>"Varoufakis, Yanis"</f>
        <v>Varoufakis, Yanis</v>
      </c>
      <c r="F1174" t="str">
        <f>"485 p."</f>
        <v>485 p.</v>
      </c>
      <c r="G1174" s="1">
        <v>17</v>
      </c>
      <c r="H1174">
        <v>2017</v>
      </c>
      <c r="I1174" t="str">
        <f t="shared" si="43"/>
        <v>9: 300 - 399</v>
      </c>
      <c r="K1174" t="str">
        <f t="shared" si="44"/>
        <v>WB - In</v>
      </c>
      <c r="L1174" s="1">
        <v>33</v>
      </c>
      <c r="M1174" t="s">
        <v>1109</v>
      </c>
      <c r="O1174" t="s">
        <v>28</v>
      </c>
      <c r="P1174">
        <v>4</v>
      </c>
      <c r="Q1174">
        <v>0</v>
      </c>
      <c r="R1174">
        <v>4</v>
      </c>
      <c r="S1174" s="2">
        <v>43013</v>
      </c>
      <c r="T1174" s="2">
        <v>43174</v>
      </c>
      <c r="U1174" s="2">
        <v>43124</v>
      </c>
    </row>
    <row r="1175" spans="1:22" x14ac:dyDescent="0.2">
      <c r="A1175" t="str">
        <f>"338 ALL"</f>
        <v>338 ALL</v>
      </c>
      <c r="B1175" t="str">
        <f>"Industrial Revolution: part 1 of 3"</f>
        <v>Industrial Revolution: part 1 of 3</v>
      </c>
      <c r="C1175">
        <v>286946</v>
      </c>
      <c r="D1175" t="str">
        <f>"Allitt, Patrick N."</f>
        <v>Allitt, Patrick N.</v>
      </c>
      <c r="F1175" t="str">
        <f>"273 p."</f>
        <v>273 p.</v>
      </c>
      <c r="G1175" s="1">
        <v>16</v>
      </c>
      <c r="H1175">
        <v>2014</v>
      </c>
      <c r="I1175" t="str">
        <f t="shared" si="43"/>
        <v>9: 300 - 399</v>
      </c>
      <c r="K1175" t="str">
        <f t="shared" si="44"/>
        <v>WB - In</v>
      </c>
      <c r="L1175" s="1">
        <v>10</v>
      </c>
      <c r="O1175" t="s">
        <v>28</v>
      </c>
      <c r="P1175">
        <v>0</v>
      </c>
      <c r="Q1175">
        <v>0</v>
      </c>
      <c r="R1175">
        <v>1</v>
      </c>
      <c r="S1175" s="2">
        <v>42457</v>
      </c>
      <c r="T1175" s="2">
        <v>42465</v>
      </c>
      <c r="U1175" s="2">
        <v>42693</v>
      </c>
    </row>
    <row r="1176" spans="1:22" x14ac:dyDescent="0.2">
      <c r="A1176" t="str">
        <f>"338 AVE"</f>
        <v>338 AVE</v>
      </c>
      <c r="B1176" t="str">
        <f>"wealth of humans: work, power, and statu"</f>
        <v>wealth of humans: work, power, and statu</v>
      </c>
      <c r="C1176">
        <v>337923</v>
      </c>
      <c r="D1176" t="str">
        <f>"Avent, Ryan"</f>
        <v>Avent, Ryan</v>
      </c>
      <c r="F1176" t="str">
        <f>"viii, 276 pages, 25 cm"</f>
        <v>viii, 276 pages, 25 cm</v>
      </c>
      <c r="G1176" s="1">
        <v>16</v>
      </c>
      <c r="H1176">
        <v>2016</v>
      </c>
      <c r="I1176" t="str">
        <f t="shared" si="43"/>
        <v>9: 300 - 399</v>
      </c>
      <c r="K1176" t="str">
        <f t="shared" si="44"/>
        <v>WB - In</v>
      </c>
      <c r="L1176" s="1">
        <v>32</v>
      </c>
      <c r="M1176" t="s">
        <v>1110</v>
      </c>
      <c r="O1176" t="s">
        <v>28</v>
      </c>
      <c r="P1176">
        <v>3</v>
      </c>
      <c r="Q1176">
        <v>0</v>
      </c>
      <c r="R1176">
        <v>9</v>
      </c>
      <c r="S1176" s="2">
        <v>42661</v>
      </c>
      <c r="T1176" s="2">
        <v>42846</v>
      </c>
      <c r="U1176" s="2">
        <v>43495</v>
      </c>
    </row>
    <row r="1177" spans="1:22" x14ac:dyDescent="0.2">
      <c r="A1177" t="str">
        <f>"338 BIS"</f>
        <v>338 BIS</v>
      </c>
      <c r="B1177" t="str">
        <f>"Raising an entrepreneur: 10 rules for nu"</f>
        <v>Raising an entrepreneur: 10 rules for nu</v>
      </c>
      <c r="C1177">
        <v>337387</v>
      </c>
      <c r="D1177" t="str">
        <f>"Bisnow, Margot Machol,"</f>
        <v>Bisnow, Margot Machol,</v>
      </c>
      <c r="F1177" t="str">
        <f>"286 p."</f>
        <v>286 p.</v>
      </c>
      <c r="G1177" s="1">
        <v>16</v>
      </c>
      <c r="H1177">
        <v>2016</v>
      </c>
      <c r="I1177" t="str">
        <f t="shared" si="43"/>
        <v>9: 300 - 399</v>
      </c>
      <c r="K1177" t="str">
        <f t="shared" si="44"/>
        <v>WB - In</v>
      </c>
      <c r="L1177" s="1">
        <v>24</v>
      </c>
      <c r="M1177" t="s">
        <v>1111</v>
      </c>
      <c r="O1177" t="s">
        <v>28</v>
      </c>
      <c r="P1177">
        <v>3</v>
      </c>
      <c r="Q1177">
        <v>0</v>
      </c>
      <c r="R1177">
        <v>6</v>
      </c>
      <c r="S1177" s="2">
        <v>42628</v>
      </c>
      <c r="T1177" s="2">
        <v>42857</v>
      </c>
      <c r="U1177" s="2">
        <v>42943</v>
      </c>
    </row>
    <row r="1178" spans="1:22" x14ac:dyDescent="0.2">
      <c r="A1178" t="str">
        <f>"338 DIA"</f>
        <v>338 DIA</v>
      </c>
      <c r="B1178" t="str">
        <f>"Bold: how to go big, achieve success, an"</f>
        <v>Bold: how to go big, achieve success, an</v>
      </c>
      <c r="C1178">
        <v>339705</v>
      </c>
      <c r="D1178" t="str">
        <f>"Diamandis, Peter H."</f>
        <v>Diamandis, Peter H.</v>
      </c>
      <c r="F1178" t="str">
        <f>"xv, 317 pages, 22 cm"</f>
        <v>xv, 317 pages, 22 cm</v>
      </c>
      <c r="G1178" s="1">
        <v>17</v>
      </c>
      <c r="H1178">
        <v>2016</v>
      </c>
      <c r="I1178" t="str">
        <f t="shared" si="43"/>
        <v>9: 300 - 399</v>
      </c>
      <c r="K1178" t="str">
        <f t="shared" si="44"/>
        <v>WB - In</v>
      </c>
      <c r="L1178" s="1">
        <v>22</v>
      </c>
      <c r="M1178" t="s">
        <v>1112</v>
      </c>
      <c r="O1178" t="s">
        <v>28</v>
      </c>
      <c r="P1178">
        <v>4</v>
      </c>
      <c r="Q1178">
        <v>0</v>
      </c>
      <c r="R1178">
        <v>4</v>
      </c>
      <c r="S1178" s="2">
        <v>42779</v>
      </c>
      <c r="T1178" s="2">
        <v>42969</v>
      </c>
      <c r="U1178" s="2">
        <v>43245</v>
      </c>
    </row>
    <row r="1179" spans="1:22" x14ac:dyDescent="0.2">
      <c r="A1179" t="str">
        <f>"338 JOH"</f>
        <v>338 JOH</v>
      </c>
      <c r="B1179" t="str">
        <f>"How we got to now: six innovations that "</f>
        <v xml:space="preserve">How we got to now: six innovations that </v>
      </c>
      <c r="C1179">
        <v>324072</v>
      </c>
      <c r="D1179" t="str">
        <f>"Johnson, Steven"</f>
        <v>Johnson, Steven</v>
      </c>
      <c r="F1179" t="str">
        <f>"292 pages, 24 cm, illustrations"</f>
        <v>292 pages, 24 cm, illustrations</v>
      </c>
      <c r="G1179" s="1">
        <v>14</v>
      </c>
      <c r="H1179">
        <v>2014</v>
      </c>
      <c r="I1179" t="str">
        <f t="shared" si="43"/>
        <v>9: 300 - 399</v>
      </c>
      <c r="K1179" t="str">
        <f>"LL - Out"</f>
        <v>LL - Out</v>
      </c>
      <c r="L1179" s="1">
        <v>35</v>
      </c>
      <c r="M1179" t="s">
        <v>1113</v>
      </c>
      <c r="O1179" t="s">
        <v>28</v>
      </c>
      <c r="P1179">
        <v>6</v>
      </c>
      <c r="Q1179">
        <v>0</v>
      </c>
      <c r="R1179">
        <v>23</v>
      </c>
      <c r="S1179" s="2">
        <v>41926</v>
      </c>
      <c r="T1179" s="2">
        <v>42114</v>
      </c>
      <c r="U1179" s="2">
        <v>43859</v>
      </c>
    </row>
    <row r="1180" spans="1:22" x14ac:dyDescent="0.2">
      <c r="A1180" t="str">
        <f>"338 MCG"</f>
        <v>338 MCG</v>
      </c>
      <c r="B1180" t="str">
        <f>"10% entrepreneur: live your start-up dre"</f>
        <v>10% entrepreneur: live your start-up dre</v>
      </c>
      <c r="C1180">
        <v>335759</v>
      </c>
      <c r="D1180" t="str">
        <f>"McGinnis, Patrick J."</f>
        <v>McGinnis, Patrick J.</v>
      </c>
      <c r="F1180" t="str">
        <f>"x, 226 pages, 24 cm, illustrations"</f>
        <v>x, 226 pages, 24 cm, illustrations</v>
      </c>
      <c r="G1180" s="1">
        <v>16</v>
      </c>
      <c r="H1180">
        <v>2016</v>
      </c>
      <c r="I1180" t="str">
        <f t="shared" si="43"/>
        <v>9: 300 - 399</v>
      </c>
      <c r="K1180" t="str">
        <f>"WB - In"</f>
        <v>WB - In</v>
      </c>
      <c r="L1180" s="1">
        <v>33</v>
      </c>
      <c r="M1180" t="s">
        <v>1114</v>
      </c>
      <c r="O1180" t="s">
        <v>28</v>
      </c>
      <c r="P1180">
        <v>2</v>
      </c>
      <c r="Q1180">
        <v>0</v>
      </c>
      <c r="R1180">
        <v>6</v>
      </c>
      <c r="S1180" s="2">
        <v>42541</v>
      </c>
      <c r="T1180" s="2">
        <v>42674</v>
      </c>
      <c r="U1180" s="2">
        <v>43597</v>
      </c>
    </row>
    <row r="1181" spans="1:22" x14ac:dyDescent="0.2">
      <c r="A1181" t="str">
        <f>"338 ORE"</f>
        <v>338 ORE</v>
      </c>
      <c r="B1181" t="str">
        <f>"WTF: what's the future and why it's up t"</f>
        <v>WTF: what's the future and why it's up t</v>
      </c>
      <c r="C1181">
        <v>344348</v>
      </c>
      <c r="D1181" t="str">
        <f>"O'Reilly, Tim"</f>
        <v>O'Reilly, Tim</v>
      </c>
      <c r="F1181" t="str">
        <f>"xxvi, 419 pages, 24 cm, illustrations"</f>
        <v>xxvi, 419 pages, 24 cm, illustrations</v>
      </c>
      <c r="G1181" s="1">
        <v>17</v>
      </c>
      <c r="H1181">
        <v>2017</v>
      </c>
      <c r="I1181" t="str">
        <f t="shared" si="43"/>
        <v>9: 300 - 399</v>
      </c>
      <c r="K1181" t="str">
        <f>"WB - In"</f>
        <v>WB - In</v>
      </c>
      <c r="L1181" s="1">
        <v>38</v>
      </c>
      <c r="M1181" t="s">
        <v>1115</v>
      </c>
      <c r="O1181" t="s">
        <v>28</v>
      </c>
      <c r="P1181">
        <v>7</v>
      </c>
      <c r="Q1181">
        <v>0</v>
      </c>
      <c r="R1181">
        <v>7</v>
      </c>
      <c r="S1181" s="2">
        <v>43032</v>
      </c>
      <c r="T1181" s="2">
        <v>43292</v>
      </c>
      <c r="U1181" s="2">
        <v>43247</v>
      </c>
    </row>
    <row r="1182" spans="1:22" x14ac:dyDescent="0.2">
      <c r="A1182" t="str">
        <f>"338 ROS"</f>
        <v>338 ROS</v>
      </c>
      <c r="B1182" t="str">
        <f>"industries of the future"</f>
        <v>industries of the future</v>
      </c>
      <c r="C1182">
        <v>335250</v>
      </c>
      <c r="D1182" t="str">
        <f>"Ross, Alec,"</f>
        <v>Ross, Alec,</v>
      </c>
      <c r="F1182" t="str">
        <f>"viii, 304 pages, 24 cm"</f>
        <v>viii, 304 pages, 24 cm</v>
      </c>
      <c r="G1182" s="1">
        <v>16</v>
      </c>
      <c r="H1182">
        <v>2016</v>
      </c>
      <c r="I1182" t="str">
        <f t="shared" si="43"/>
        <v>9: 300 - 399</v>
      </c>
      <c r="K1182" t="str">
        <f>"LL - In"</f>
        <v>LL - In</v>
      </c>
      <c r="L1182" s="1">
        <v>33</v>
      </c>
      <c r="M1182" t="s">
        <v>1116</v>
      </c>
      <c r="O1182" t="s">
        <v>28</v>
      </c>
      <c r="P1182">
        <v>3</v>
      </c>
      <c r="Q1182">
        <v>0</v>
      </c>
      <c r="R1182">
        <v>9</v>
      </c>
      <c r="S1182" s="2">
        <v>42513</v>
      </c>
      <c r="T1182" s="2">
        <v>42689</v>
      </c>
      <c r="U1182" s="2">
        <v>43293</v>
      </c>
    </row>
    <row r="1183" spans="1:22" x14ac:dyDescent="0.2">
      <c r="A1183" t="str">
        <f>"338 SAX"</f>
        <v>338 SAX</v>
      </c>
      <c r="B1183" t="str">
        <f>"revenge of analog: real things and why t"</f>
        <v>revenge of analog: real things and why t</v>
      </c>
      <c r="C1183">
        <v>357531</v>
      </c>
      <c r="D1183" t="str">
        <f>"Sax, David,"</f>
        <v>Sax, David,</v>
      </c>
      <c r="F1183" t="str">
        <f>"xix, 282 p., 21 cm"</f>
        <v>xix, 282 p., 21 cm</v>
      </c>
      <c r="G1183" s="1">
        <v>19</v>
      </c>
      <c r="H1183">
        <v>2017</v>
      </c>
      <c r="I1183" t="str">
        <f t="shared" si="43"/>
        <v>9: 300 - 399</v>
      </c>
      <c r="K1183" t="str">
        <f>"WB - In"</f>
        <v>WB - In</v>
      </c>
      <c r="L1183" s="1">
        <v>22</v>
      </c>
      <c r="M1183" t="s">
        <v>1117</v>
      </c>
      <c r="O1183" t="s">
        <v>28</v>
      </c>
      <c r="P1183">
        <v>0</v>
      </c>
      <c r="Q1183">
        <v>0</v>
      </c>
      <c r="R1183">
        <v>0</v>
      </c>
      <c r="S1183" s="2">
        <v>43719</v>
      </c>
      <c r="T1183" s="2">
        <v>43734</v>
      </c>
    </row>
    <row r="1184" spans="1:22" x14ac:dyDescent="0.2">
      <c r="A1184" t="str">
        <f>"338 SEN"</f>
        <v>338 SEN</v>
      </c>
      <c r="B1184" t="str">
        <f>"Recasting India: how entrepreneurship is"</f>
        <v>Recasting India: how entrepreneurship is</v>
      </c>
      <c r="C1184">
        <v>326373</v>
      </c>
      <c r="D1184" t="str">
        <f>"Sengupta, Hindol"</f>
        <v>Sengupta, Hindol</v>
      </c>
      <c r="F1184" t="str">
        <f>"249 pages, 25 cm"</f>
        <v>249 pages, 25 cm</v>
      </c>
      <c r="G1184" s="1">
        <v>15</v>
      </c>
      <c r="H1184">
        <v>2014</v>
      </c>
      <c r="I1184" t="str">
        <f t="shared" si="43"/>
        <v>9: 300 - 399</v>
      </c>
      <c r="K1184" t="str">
        <f>"LL - In"</f>
        <v>LL - In</v>
      </c>
      <c r="L1184" s="1">
        <v>33</v>
      </c>
      <c r="M1184" t="s">
        <v>1118</v>
      </c>
      <c r="O1184" t="s">
        <v>28</v>
      </c>
      <c r="P1184">
        <v>2</v>
      </c>
      <c r="Q1184">
        <v>0</v>
      </c>
      <c r="R1184">
        <v>10</v>
      </c>
      <c r="S1184" s="2">
        <v>42072</v>
      </c>
      <c r="T1184" s="2">
        <v>42323</v>
      </c>
      <c r="U1184" s="2">
        <v>43651</v>
      </c>
      <c r="V1184" s="2">
        <v>42078</v>
      </c>
    </row>
    <row r="1185" spans="1:22" x14ac:dyDescent="0.2">
      <c r="A1185" t="str">
        <f>"338 STO"</f>
        <v>338 STO</v>
      </c>
      <c r="B1185" t="str">
        <f>"upstarts: how Uber, Airbnb, and the kill"</f>
        <v>upstarts: how Uber, Airbnb, and the kill</v>
      </c>
      <c r="C1185">
        <v>340589</v>
      </c>
      <c r="D1185" t="str">
        <f>"Stone, Brad"</f>
        <v>Stone, Brad</v>
      </c>
      <c r="F1185" t="str">
        <f>"x, 372 pages, 16 unnumbered pages of plates, 25 cm, illustrations (chiefly color)"</f>
        <v>x, 372 pages, 16 unnumbered pages of plates, 25 cm, illustrations (chiefly color)</v>
      </c>
      <c r="G1185" s="1">
        <v>17</v>
      </c>
      <c r="H1185">
        <v>2017</v>
      </c>
      <c r="I1185" t="str">
        <f t="shared" si="43"/>
        <v>9: 300 - 399</v>
      </c>
      <c r="K1185" t="str">
        <f>"WB - In"</f>
        <v>WB - In</v>
      </c>
      <c r="L1185" s="1">
        <v>35</v>
      </c>
      <c r="M1185" t="s">
        <v>1119</v>
      </c>
      <c r="O1185" t="s">
        <v>28</v>
      </c>
      <c r="P1185">
        <v>13</v>
      </c>
      <c r="Q1185">
        <v>0</v>
      </c>
      <c r="R1185">
        <v>13</v>
      </c>
      <c r="S1185" s="2">
        <v>42828</v>
      </c>
      <c r="T1185" s="2">
        <v>43009</v>
      </c>
      <c r="U1185" s="2">
        <v>43619</v>
      </c>
    </row>
    <row r="1186" spans="1:22" x14ac:dyDescent="0.2">
      <c r="A1186" t="str">
        <f>"338.09 MOR"</f>
        <v>338.09 MOR</v>
      </c>
      <c r="B1186" t="str">
        <f>"dawn of innovation: the first American i"</f>
        <v>dawn of innovation: the first American i</v>
      </c>
      <c r="C1186">
        <v>310626</v>
      </c>
      <c r="D1186" t="str">
        <f>"Morris, Charles R"</f>
        <v>Morris, Charles R</v>
      </c>
      <c r="F1186" t="str">
        <f>"368 p."</f>
        <v>368 p.</v>
      </c>
      <c r="G1186" s="1">
        <v>12</v>
      </c>
      <c r="H1186">
        <v>2012</v>
      </c>
      <c r="I1186" t="str">
        <f t="shared" si="43"/>
        <v>9: 300 - 399</v>
      </c>
      <c r="K1186" t="str">
        <f>"WB - In"</f>
        <v>WB - In</v>
      </c>
      <c r="L1186" s="1">
        <v>34</v>
      </c>
      <c r="M1186" t="s">
        <v>1120</v>
      </c>
      <c r="O1186" t="s">
        <v>28</v>
      </c>
      <c r="P1186">
        <v>0</v>
      </c>
      <c r="Q1186">
        <v>0</v>
      </c>
      <c r="R1186">
        <v>4</v>
      </c>
      <c r="S1186" s="2">
        <v>41206</v>
      </c>
      <c r="T1186" s="2">
        <v>41387</v>
      </c>
      <c r="U1186" s="2">
        <v>42054</v>
      </c>
    </row>
    <row r="1187" spans="1:22" x14ac:dyDescent="0.2">
      <c r="A1187" t="str">
        <f>"338.1 BER"</f>
        <v>338.1 BER</v>
      </c>
      <c r="B1187" t="str">
        <f>"art of loading brush: new agrarian writi"</f>
        <v>art of loading brush: new agrarian writi</v>
      </c>
      <c r="C1187">
        <v>344578</v>
      </c>
      <c r="D1187" t="str">
        <f>"Berry, Wendell"</f>
        <v>Berry, Wendell</v>
      </c>
      <c r="F1187" t="str">
        <f>"268 p."</f>
        <v>268 p.</v>
      </c>
      <c r="G1187" s="1">
        <v>17</v>
      </c>
      <c r="H1187">
        <v>2017</v>
      </c>
      <c r="I1187" t="str">
        <f t="shared" si="43"/>
        <v>9: 300 - 399</v>
      </c>
      <c r="K1187" t="str">
        <f>"WB - In"</f>
        <v>WB - In</v>
      </c>
      <c r="L1187" s="1">
        <v>31</v>
      </c>
      <c r="M1187" t="s">
        <v>1121</v>
      </c>
      <c r="O1187" t="s">
        <v>28</v>
      </c>
      <c r="P1187">
        <v>10</v>
      </c>
      <c r="Q1187">
        <v>0</v>
      </c>
      <c r="R1187">
        <v>10</v>
      </c>
      <c r="S1187" s="2">
        <v>43047</v>
      </c>
      <c r="T1187" s="2">
        <v>43257</v>
      </c>
      <c r="U1187" s="2">
        <v>43484</v>
      </c>
    </row>
    <row r="1188" spans="1:22" x14ac:dyDescent="0.2">
      <c r="A1188" t="str">
        <f>"338.1 CAR"</f>
        <v>338.1 CAR</v>
      </c>
      <c r="B1188" t="str">
        <f>"food sharing revolution: how start-ups, "</f>
        <v xml:space="preserve">food sharing revolution: how start-ups, </v>
      </c>
      <c r="C1188">
        <v>351528</v>
      </c>
      <c r="D1188" t="str">
        <f>"Carolan, Michael S."</f>
        <v>Carolan, Michael S.</v>
      </c>
      <c r="G1188" s="1">
        <v>18</v>
      </c>
      <c r="H1188">
        <v>2018</v>
      </c>
      <c r="I1188" t="str">
        <f t="shared" si="43"/>
        <v>9: 300 - 399</v>
      </c>
      <c r="K1188" t="str">
        <f>"LL - In"</f>
        <v>LL - In</v>
      </c>
      <c r="L1188" s="1">
        <v>33</v>
      </c>
      <c r="M1188" t="s">
        <v>1122</v>
      </c>
      <c r="O1188" t="s">
        <v>28</v>
      </c>
      <c r="P1188">
        <v>4</v>
      </c>
      <c r="Q1188">
        <v>0</v>
      </c>
      <c r="R1188">
        <v>4</v>
      </c>
      <c r="S1188" s="2">
        <v>43431</v>
      </c>
      <c r="T1188" s="2">
        <v>43663</v>
      </c>
      <c r="U1188" s="2">
        <v>43621</v>
      </c>
    </row>
    <row r="1189" spans="1:22" x14ac:dyDescent="0.2">
      <c r="A1189" t="str">
        <f>"338.1 COL"</f>
        <v>338.1 COL</v>
      </c>
      <c r="B1189" t="str">
        <f>"taste of empire: how Britain's quest for"</f>
        <v>taste of empire: how Britain's quest for</v>
      </c>
      <c r="C1189">
        <v>345337</v>
      </c>
      <c r="D1189" t="str">
        <f>"Collingham, E. M."</f>
        <v>Collingham, E. M.</v>
      </c>
      <c r="F1189" t="str">
        <f>"xvii, 367 pages, 8 unnumbered pages of plates, 25 cm, illustrations (some color)"</f>
        <v>xvii, 367 pages, 8 unnumbered pages of plates, 25 cm, illustrations (some color)</v>
      </c>
      <c r="G1189" s="1">
        <v>17</v>
      </c>
      <c r="H1189">
        <v>2017</v>
      </c>
      <c r="I1189" t="str">
        <f t="shared" si="43"/>
        <v>9: 300 - 399</v>
      </c>
      <c r="K1189" t="str">
        <f>"WB - In"</f>
        <v>WB - In</v>
      </c>
      <c r="L1189" s="1">
        <v>37</v>
      </c>
      <c r="M1189" t="s">
        <v>1123</v>
      </c>
      <c r="O1189" t="s">
        <v>28</v>
      </c>
      <c r="P1189">
        <v>8</v>
      </c>
      <c r="Q1189">
        <v>0</v>
      </c>
      <c r="R1189">
        <v>8</v>
      </c>
      <c r="S1189" s="2">
        <v>43097</v>
      </c>
      <c r="T1189" s="2">
        <v>43665</v>
      </c>
      <c r="U1189" s="2">
        <v>43665</v>
      </c>
    </row>
    <row r="1190" spans="1:22" x14ac:dyDescent="0.2">
      <c r="A1190" t="str">
        <f>"338.1 HAY"</f>
        <v>338.1 HAY</v>
      </c>
      <c r="B1190" t="str">
        <f>"Cowed: the hidden impact of 93 million c"</f>
        <v>Cowed: the hidden impact of 93 million c</v>
      </c>
      <c r="C1190">
        <v>326827</v>
      </c>
      <c r="D1190" t="str">
        <f>"Hayes, Denis,"</f>
        <v>Hayes, Denis,</v>
      </c>
      <c r="F1190" t="str">
        <f>"392 pages, 25 cm, illustrations"</f>
        <v>392 pages, 25 cm, illustrations</v>
      </c>
      <c r="G1190" s="1">
        <v>15</v>
      </c>
      <c r="H1190">
        <v>2015</v>
      </c>
      <c r="I1190" t="str">
        <f t="shared" si="43"/>
        <v>9: 300 - 399</v>
      </c>
      <c r="K1190" t="str">
        <f>"WB - In"</f>
        <v>WB - In</v>
      </c>
      <c r="L1190" s="1">
        <v>33</v>
      </c>
      <c r="M1190" t="s">
        <v>1124</v>
      </c>
      <c r="O1190" t="s">
        <v>28</v>
      </c>
      <c r="P1190">
        <v>0</v>
      </c>
      <c r="Q1190">
        <v>0</v>
      </c>
      <c r="R1190">
        <v>8</v>
      </c>
      <c r="S1190" s="2">
        <v>42107</v>
      </c>
      <c r="T1190" s="2">
        <v>42295</v>
      </c>
      <c r="U1190" s="2">
        <v>42605</v>
      </c>
    </row>
    <row r="1191" spans="1:22" x14ac:dyDescent="0.2">
      <c r="A1191" t="str">
        <f>"338.1 MOY"</f>
        <v>338.1 MOY</v>
      </c>
      <c r="B1191" t="str">
        <f>"Women who dig: farming, feminism, and th"</f>
        <v>Women who dig: farming, feminism, and th</v>
      </c>
      <c r="C1191">
        <v>400330</v>
      </c>
      <c r="D1191" t="str">
        <f>"Moyles, Trina"</f>
        <v>Moyles, Trina</v>
      </c>
      <c r="F1191" t="str">
        <f>"xxvi, 271 pages, 25 cm, color illustrations"</f>
        <v>xxvi, 271 pages, 25 cm, color illustrations</v>
      </c>
      <c r="G1191" s="1">
        <v>18</v>
      </c>
      <c r="H1191">
        <v>2018</v>
      </c>
      <c r="I1191" t="str">
        <f t="shared" si="43"/>
        <v>9: 300 - 399</v>
      </c>
      <c r="K1191" t="str">
        <f>"WB - In"</f>
        <v>WB - In</v>
      </c>
      <c r="L1191" s="1">
        <v>33</v>
      </c>
      <c r="M1191" t="s">
        <v>1125</v>
      </c>
      <c r="O1191" t="s">
        <v>28</v>
      </c>
      <c r="P1191">
        <v>3</v>
      </c>
      <c r="Q1191">
        <v>0</v>
      </c>
      <c r="R1191">
        <v>3</v>
      </c>
      <c r="S1191" s="2">
        <v>43207</v>
      </c>
      <c r="T1191" s="2">
        <v>43369</v>
      </c>
      <c r="U1191" s="2">
        <v>43343</v>
      </c>
    </row>
    <row r="1192" spans="1:22" x14ac:dyDescent="0.2">
      <c r="A1192" t="str">
        <f>"338.1 PAR"</f>
        <v>338.1 PAR</v>
      </c>
      <c r="B1192" t="str">
        <f>"sugar barons: family, corruption, empire"</f>
        <v>sugar barons: family, corruption, empire</v>
      </c>
      <c r="C1192">
        <v>250515</v>
      </c>
      <c r="D1192" t="str">
        <f>"Parker, Matthew."</f>
        <v>Parker, Matthew.</v>
      </c>
      <c r="F1192" t="str">
        <f>"446 p., 24 cm., ill., ports"</f>
        <v>446 p., 24 cm., ill., ports</v>
      </c>
      <c r="G1192" s="1">
        <v>11</v>
      </c>
      <c r="H1192">
        <v>2011</v>
      </c>
      <c r="I1192" t="str">
        <f t="shared" si="43"/>
        <v>9: 300 - 399</v>
      </c>
      <c r="K1192" t="str">
        <f>"WB - In"</f>
        <v>WB - In</v>
      </c>
      <c r="L1192" s="1">
        <v>35</v>
      </c>
      <c r="M1192" t="s">
        <v>1126</v>
      </c>
      <c r="O1192" t="s">
        <v>28</v>
      </c>
      <c r="P1192">
        <v>0</v>
      </c>
      <c r="Q1192">
        <v>1</v>
      </c>
      <c r="R1192">
        <v>16</v>
      </c>
      <c r="S1192" s="2">
        <v>40771</v>
      </c>
      <c r="T1192" s="2">
        <v>41053</v>
      </c>
      <c r="U1192" s="2">
        <v>42331</v>
      </c>
      <c r="V1192" s="2">
        <v>43665</v>
      </c>
    </row>
    <row r="1193" spans="1:22" x14ac:dyDescent="0.2">
      <c r="A1193" t="str">
        <f>"338.1 STU"</f>
        <v>338.1 STU</v>
      </c>
      <c r="B1193" t="str">
        <f>"Sugar in the blood: a family's story of "</f>
        <v xml:space="preserve">Sugar in the blood: a family's story of </v>
      </c>
      <c r="C1193">
        <v>312167</v>
      </c>
      <c r="D1193" t="str">
        <f>"Stuart, Andrea."</f>
        <v>Stuart, Andrea.</v>
      </c>
      <c r="F1193" t="str">
        <f>"353 p."</f>
        <v>353 p.</v>
      </c>
      <c r="G1193" s="1">
        <v>13</v>
      </c>
      <c r="H1193">
        <v>2013</v>
      </c>
      <c r="I1193" t="str">
        <f t="shared" si="43"/>
        <v>9: 300 - 399</v>
      </c>
      <c r="K1193" t="str">
        <f>"WB - In"</f>
        <v>WB - In</v>
      </c>
      <c r="L1193" s="1">
        <v>33</v>
      </c>
      <c r="M1193" t="s">
        <v>1127</v>
      </c>
      <c r="O1193" t="s">
        <v>28</v>
      </c>
      <c r="P1193">
        <v>0</v>
      </c>
      <c r="Q1193">
        <v>0</v>
      </c>
      <c r="R1193">
        <v>16</v>
      </c>
      <c r="S1193" s="2">
        <v>41296</v>
      </c>
      <c r="T1193" s="2">
        <v>41597</v>
      </c>
      <c r="U1193" s="2">
        <v>42525</v>
      </c>
      <c r="V1193" s="2">
        <v>41637</v>
      </c>
    </row>
    <row r="1194" spans="1:22" x14ac:dyDescent="0.2">
      <c r="A1194" t="str">
        <f>"338.1 WAL"</f>
        <v>338.1 WAL</v>
      </c>
      <c r="B1194" t="str">
        <f>"Sugar: the world corrupted : from slaver"</f>
        <v>Sugar: the world corrupted : from slaver</v>
      </c>
      <c r="C1194">
        <v>348655</v>
      </c>
      <c r="D1194" t="str">
        <f>"Walvin, James"</f>
        <v>Walvin, James</v>
      </c>
      <c r="F1194" t="str">
        <f>"xxiv, 325 pages, 24 cm"</f>
        <v>xxiv, 325 pages, 24 cm</v>
      </c>
      <c r="G1194" s="1">
        <v>18</v>
      </c>
      <c r="H1194">
        <v>2018</v>
      </c>
      <c r="I1194" t="str">
        <f t="shared" si="43"/>
        <v>9: 300 - 399</v>
      </c>
      <c r="K1194" t="str">
        <f>"LL - In"</f>
        <v>LL - In</v>
      </c>
      <c r="L1194" s="1">
        <v>33</v>
      </c>
      <c r="M1194" t="s">
        <v>1128</v>
      </c>
      <c r="O1194" t="s">
        <v>28</v>
      </c>
      <c r="P1194">
        <v>10</v>
      </c>
      <c r="Q1194">
        <v>1</v>
      </c>
      <c r="R1194">
        <v>11</v>
      </c>
      <c r="S1194" s="2">
        <v>43292</v>
      </c>
      <c r="T1194" s="2">
        <v>43510</v>
      </c>
      <c r="U1194" s="2">
        <v>43793</v>
      </c>
      <c r="V1194" s="2">
        <v>43510</v>
      </c>
    </row>
    <row r="1195" spans="1:22" x14ac:dyDescent="0.2">
      <c r="A1195" t="str">
        <f>"338.4 BEC"</f>
        <v>338.4 BEC</v>
      </c>
      <c r="B1195" t="str">
        <f>"Empire of cotton: a global history"</f>
        <v>Empire of cotton: a global history</v>
      </c>
      <c r="C1195">
        <v>284900</v>
      </c>
      <c r="D1195" t="str">
        <f>"Beckert, Sven."</f>
        <v>Beckert, Sven.</v>
      </c>
      <c r="F1195" t="str">
        <f>"xxii, 615 pages, 20 cm, illustrations, maps, portraits, facsimiles"</f>
        <v>xxii, 615 pages, 20 cm, illustrations, maps, portraits, facsimiles</v>
      </c>
      <c r="G1195" s="1">
        <v>15</v>
      </c>
      <c r="H1195">
        <v>2015</v>
      </c>
      <c r="I1195" t="str">
        <f t="shared" si="43"/>
        <v>9: 300 - 399</v>
      </c>
      <c r="K1195" t="str">
        <f>"WB - In"</f>
        <v>WB - In</v>
      </c>
      <c r="L1195" s="1">
        <v>23</v>
      </c>
      <c r="M1195" t="s">
        <v>1129</v>
      </c>
      <c r="O1195" t="s">
        <v>28</v>
      </c>
      <c r="P1195">
        <v>1</v>
      </c>
      <c r="Q1195">
        <v>0</v>
      </c>
      <c r="R1195">
        <v>8</v>
      </c>
      <c r="S1195" s="2">
        <v>42367</v>
      </c>
      <c r="T1195" s="2">
        <v>42558</v>
      </c>
      <c r="U1195" s="2">
        <v>42903</v>
      </c>
      <c r="V1195" s="2">
        <v>42499</v>
      </c>
    </row>
    <row r="1196" spans="1:22" x14ac:dyDescent="0.2">
      <c r="A1196" t="str">
        <f>"338.4 BRO"</f>
        <v>338.4 BRO</v>
      </c>
      <c r="B1196" t="str">
        <f>"Clothing poverty: the hidden world of fa"</f>
        <v>Clothing poverty: the hidden world of fa</v>
      </c>
      <c r="C1196">
        <v>330306</v>
      </c>
      <c r="D1196" t="str">
        <f>"Brooks, Andrew"</f>
        <v>Brooks, Andrew</v>
      </c>
      <c r="F1196" t="str">
        <f>"viii, 288 pages, 22 cm, illustrations"</f>
        <v>viii, 288 pages, 22 cm, illustrations</v>
      </c>
      <c r="G1196" s="1">
        <v>15</v>
      </c>
      <c r="H1196">
        <v>2015</v>
      </c>
      <c r="I1196" t="str">
        <f t="shared" si="43"/>
        <v>9: 300 - 399</v>
      </c>
      <c r="K1196" t="str">
        <f>"WB - In"</f>
        <v>WB - In</v>
      </c>
      <c r="L1196" s="1">
        <v>27</v>
      </c>
      <c r="M1196" t="s">
        <v>1130</v>
      </c>
      <c r="O1196" t="s">
        <v>28</v>
      </c>
      <c r="P1196">
        <v>3</v>
      </c>
      <c r="Q1196">
        <v>0</v>
      </c>
      <c r="R1196">
        <v>13</v>
      </c>
      <c r="S1196" s="2">
        <v>42276</v>
      </c>
      <c r="T1196" s="2">
        <v>42452</v>
      </c>
      <c r="U1196" s="2">
        <v>43542</v>
      </c>
      <c r="V1196" s="2">
        <v>42316</v>
      </c>
    </row>
    <row r="1197" spans="1:22" x14ac:dyDescent="0.2">
      <c r="A1197" t="str">
        <f>"338.4 CAS"</f>
        <v>338.4 CAS</v>
      </c>
      <c r="B1197" t="str">
        <f>"third wave: an entrepreneur's vision of "</f>
        <v xml:space="preserve">third wave: an entrepreneur's vision of </v>
      </c>
      <c r="C1197">
        <v>334887</v>
      </c>
      <c r="D1197" t="str">
        <f>"Case, Stephen McConnell"</f>
        <v>Case, Stephen McConnell</v>
      </c>
      <c r="F1197" t="str">
        <f>"xv, 221 pages, 16 unnumbered pages of plates, 22 cm, illustrations"</f>
        <v>xv, 221 pages, 16 unnumbered pages of plates, 22 cm, illustrations</v>
      </c>
      <c r="G1197" s="1">
        <v>16</v>
      </c>
      <c r="H1197">
        <v>2016</v>
      </c>
      <c r="I1197" t="str">
        <f t="shared" si="43"/>
        <v>9: 300 - 399</v>
      </c>
      <c r="K1197" t="str">
        <f>"WB - In"</f>
        <v>WB - In</v>
      </c>
      <c r="L1197" s="1">
        <v>32</v>
      </c>
      <c r="M1197" t="s">
        <v>1131</v>
      </c>
      <c r="O1197" t="s">
        <v>28</v>
      </c>
      <c r="P1197">
        <v>5</v>
      </c>
      <c r="Q1197">
        <v>0</v>
      </c>
      <c r="R1197">
        <v>13</v>
      </c>
      <c r="S1197" s="2">
        <v>42493</v>
      </c>
      <c r="T1197" s="2">
        <v>42669</v>
      </c>
      <c r="U1197" s="2">
        <v>43674</v>
      </c>
    </row>
    <row r="1198" spans="1:22" x14ac:dyDescent="0.2">
      <c r="A1198" t="str">
        <f>"338.4 FIN"</f>
        <v>338.4 FIN</v>
      </c>
      <c r="B1198" t="str">
        <f>"Too high to fail: cannabis and the new g"</f>
        <v>Too high to fail: cannabis and the new g</v>
      </c>
      <c r="C1198">
        <v>308817</v>
      </c>
      <c r="D1198" t="str">
        <f>"Fine, Doug."</f>
        <v>Fine, Doug.</v>
      </c>
      <c r="F1198" t="str">
        <f>"319 p."</f>
        <v>319 p.</v>
      </c>
      <c r="G1198" s="1">
        <v>12</v>
      </c>
      <c r="H1198">
        <v>2012</v>
      </c>
      <c r="I1198" t="str">
        <f t="shared" si="43"/>
        <v>9: 300 - 399</v>
      </c>
      <c r="K1198" t="str">
        <f>"WB - In"</f>
        <v>WB - In</v>
      </c>
      <c r="L1198" s="1">
        <v>33</v>
      </c>
      <c r="M1198" t="s">
        <v>1132</v>
      </c>
      <c r="O1198" t="s">
        <v>28</v>
      </c>
      <c r="P1198">
        <v>2</v>
      </c>
      <c r="Q1198">
        <v>0</v>
      </c>
      <c r="R1198">
        <v>13</v>
      </c>
      <c r="S1198" s="2">
        <v>41122</v>
      </c>
      <c r="T1198" s="2">
        <v>41332</v>
      </c>
      <c r="U1198" s="2">
        <v>42814</v>
      </c>
    </row>
    <row r="1199" spans="1:22" x14ac:dyDescent="0.2">
      <c r="A1199" t="str">
        <f>"338.4 FIS"</f>
        <v>338.4 FIS</v>
      </c>
      <c r="B1199" t="str">
        <f>"Valley of genius: the uncensored history"</f>
        <v>Valley of genius: the uncensored history</v>
      </c>
      <c r="C1199">
        <v>349096</v>
      </c>
      <c r="D1199" t="str">
        <f>"Fisher, Adam"</f>
        <v>Fisher, Adam</v>
      </c>
      <c r="F1199" t="str">
        <f>"xvi, 494 pages, 16 pages of numbered plates, 24 cm, illustrations (chiefly color)"</f>
        <v>xvi, 494 pages, 16 pages of numbered plates, 24 cm, illustrations (chiefly color)</v>
      </c>
      <c r="G1199" s="1">
        <v>18</v>
      </c>
      <c r="H1199">
        <v>2018</v>
      </c>
      <c r="I1199" t="str">
        <f t="shared" si="43"/>
        <v>9: 300 - 399</v>
      </c>
      <c r="K1199" t="str">
        <f>"LL - In"</f>
        <v>LL - In</v>
      </c>
      <c r="L1199" s="1">
        <v>35</v>
      </c>
      <c r="M1199" t="s">
        <v>1133</v>
      </c>
      <c r="O1199" t="s">
        <v>28</v>
      </c>
      <c r="P1199">
        <v>8</v>
      </c>
      <c r="Q1199">
        <v>0</v>
      </c>
      <c r="R1199">
        <v>8</v>
      </c>
      <c r="S1199" s="2">
        <v>43312</v>
      </c>
      <c r="T1199" s="2">
        <v>43502</v>
      </c>
      <c r="U1199" s="2">
        <v>43542</v>
      </c>
    </row>
    <row r="1200" spans="1:22" x14ac:dyDescent="0.2">
      <c r="A1200" t="str">
        <f>"338.4 GAR"</f>
        <v>338.4 GAR</v>
      </c>
      <c r="B1200" t="str">
        <f>"Chaos monkeys: obscene fortune and rando"</f>
        <v>Chaos monkeys: obscene fortune and rando</v>
      </c>
      <c r="C1200">
        <v>336128</v>
      </c>
      <c r="D1200" t="str">
        <f>"Garc�a Mart�nez, Antonio"</f>
        <v>Garc�a Mart�nez, Antonio</v>
      </c>
      <c r="F1200" t="str">
        <f>"xi, 515 pages, 24 cm"</f>
        <v>xi, 515 pages, 24 cm</v>
      </c>
      <c r="G1200" s="1">
        <v>16</v>
      </c>
      <c r="H1200">
        <v>2016</v>
      </c>
      <c r="I1200" t="str">
        <f t="shared" si="43"/>
        <v>9: 300 - 399</v>
      </c>
      <c r="K1200" t="str">
        <f>"WB - In"</f>
        <v>WB - In</v>
      </c>
      <c r="L1200" s="1">
        <v>35</v>
      </c>
      <c r="M1200" t="s">
        <v>1134</v>
      </c>
      <c r="O1200" t="s">
        <v>28</v>
      </c>
      <c r="P1200">
        <v>10</v>
      </c>
      <c r="Q1200">
        <v>0</v>
      </c>
      <c r="R1200">
        <v>18</v>
      </c>
      <c r="S1200" s="2">
        <v>42565</v>
      </c>
      <c r="T1200" s="2">
        <v>42872</v>
      </c>
      <c r="U1200" s="2">
        <v>43467</v>
      </c>
    </row>
    <row r="1201" spans="1:22" x14ac:dyDescent="0.2">
      <c r="A1201" t="str">
        <f>"338.4 GIL"</f>
        <v>338.4 GIL</v>
      </c>
      <c r="B1201" t="str">
        <f>"Life after Google: the fall of big data "</f>
        <v xml:space="preserve">Life after Google: the fall of big data </v>
      </c>
      <c r="C1201">
        <v>351070</v>
      </c>
      <c r="D1201" t="str">
        <f>"Gilder, George F.,"</f>
        <v>Gilder, George F.,</v>
      </c>
      <c r="F1201" t="str">
        <f>"xv, 320 p., 24 cm"</f>
        <v>xv, 320 p., 24 cm</v>
      </c>
      <c r="G1201" s="1">
        <v>18</v>
      </c>
      <c r="H1201">
        <v>2018</v>
      </c>
      <c r="I1201" t="str">
        <f t="shared" si="43"/>
        <v>9: 300 - 399</v>
      </c>
      <c r="K1201" t="str">
        <f>"LL - In"</f>
        <v>LL - In</v>
      </c>
      <c r="L1201" s="1">
        <v>34</v>
      </c>
      <c r="M1201" t="s">
        <v>1135</v>
      </c>
      <c r="O1201" t="s">
        <v>28</v>
      </c>
      <c r="P1201">
        <v>9</v>
      </c>
      <c r="Q1201">
        <v>0</v>
      </c>
      <c r="R1201">
        <v>9</v>
      </c>
      <c r="S1201" s="2">
        <v>43406</v>
      </c>
      <c r="T1201" s="2">
        <v>43641</v>
      </c>
      <c r="U1201" s="2">
        <v>43727</v>
      </c>
    </row>
    <row r="1202" spans="1:22" x14ac:dyDescent="0.2">
      <c r="A1202" t="str">
        <f>"338.4 GIL"</f>
        <v>338.4 GIL</v>
      </c>
      <c r="B1202" t="str">
        <f>"Life after Google: the fall of big data "</f>
        <v xml:space="preserve">Life after Google: the fall of big data </v>
      </c>
      <c r="C1202">
        <v>357297</v>
      </c>
      <c r="D1202" t="str">
        <f>"Gilder, George F.,"</f>
        <v>Gilder, George F.,</v>
      </c>
      <c r="F1202" t="str">
        <f>"xv, 320 p., 24 cm"</f>
        <v>xv, 320 p., 24 cm</v>
      </c>
      <c r="G1202" s="1">
        <v>19</v>
      </c>
      <c r="H1202">
        <v>2018</v>
      </c>
      <c r="I1202" t="str">
        <f t="shared" si="43"/>
        <v>9: 300 - 399</v>
      </c>
      <c r="K1202" t="str">
        <f>"WB - Out"</f>
        <v>WB - Out</v>
      </c>
      <c r="L1202" s="1">
        <v>35</v>
      </c>
      <c r="M1202" t="s">
        <v>1135</v>
      </c>
      <c r="O1202" t="s">
        <v>28</v>
      </c>
      <c r="P1202">
        <v>3</v>
      </c>
      <c r="Q1202">
        <v>1</v>
      </c>
      <c r="R1202">
        <v>4</v>
      </c>
      <c r="S1202" s="2">
        <v>43711</v>
      </c>
      <c r="T1202" s="2">
        <v>43726</v>
      </c>
      <c r="U1202" s="2">
        <v>43848</v>
      </c>
      <c r="V1202" s="2">
        <v>43837</v>
      </c>
    </row>
    <row r="1203" spans="1:22" x14ac:dyDescent="0.2">
      <c r="A1203" t="str">
        <f>"338.4 GOL"</f>
        <v>338.4 GOL</v>
      </c>
      <c r="B1203" t="str">
        <f>"Drive!: Henry Ford, George Selden, and t"</f>
        <v>Drive!: Henry Ford, George Selden, and t</v>
      </c>
      <c r="C1203">
        <v>335286</v>
      </c>
      <c r="D1203" t="str">
        <f>"Goldstone, Lawrence,"</f>
        <v>Goldstone, Lawrence,</v>
      </c>
      <c r="F1203" t="str">
        <f>"x, 372 pages, 25 cm, illustrations"</f>
        <v>x, 372 pages, 25 cm, illustrations</v>
      </c>
      <c r="G1203" s="1">
        <v>16</v>
      </c>
      <c r="H1203">
        <v>2016</v>
      </c>
      <c r="I1203" t="str">
        <f t="shared" si="43"/>
        <v>9: 300 - 399</v>
      </c>
      <c r="K1203" t="str">
        <f>"WB - In"</f>
        <v>WB - In</v>
      </c>
      <c r="L1203" s="1">
        <v>33</v>
      </c>
      <c r="M1203" t="s">
        <v>1136</v>
      </c>
      <c r="O1203" t="s">
        <v>28</v>
      </c>
      <c r="P1203">
        <v>1</v>
      </c>
      <c r="Q1203">
        <v>1</v>
      </c>
      <c r="R1203">
        <v>8</v>
      </c>
      <c r="S1203" s="2">
        <v>42513</v>
      </c>
      <c r="T1203" s="2">
        <v>42661</v>
      </c>
      <c r="U1203" s="2">
        <v>43431</v>
      </c>
      <c r="V1203" s="2">
        <v>43129</v>
      </c>
    </row>
    <row r="1204" spans="1:22" x14ac:dyDescent="0.2">
      <c r="A1204" t="str">
        <f>"338.4 HAA"</f>
        <v>338.4 HAA</v>
      </c>
      <c r="B1204" t="str">
        <f>"gunning of America: business and the mak"</f>
        <v>gunning of America: business and the mak</v>
      </c>
      <c r="C1204">
        <v>334991</v>
      </c>
      <c r="D1204" t="str">
        <f>"Haag, Pamela."</f>
        <v>Haag, Pamela.</v>
      </c>
      <c r="F1204" t="str">
        <f>"xxv, 496 pages, 25 cm, illustrations"</f>
        <v>xxv, 496 pages, 25 cm, illustrations</v>
      </c>
      <c r="G1204" s="1">
        <v>16</v>
      </c>
      <c r="H1204">
        <v>2016</v>
      </c>
      <c r="I1204" t="str">
        <f t="shared" si="43"/>
        <v>9: 300 - 399</v>
      </c>
      <c r="K1204" t="str">
        <f>"WB - In"</f>
        <v>WB - In</v>
      </c>
      <c r="L1204" s="1">
        <v>35</v>
      </c>
      <c r="M1204" t="s">
        <v>1137</v>
      </c>
      <c r="O1204" t="s">
        <v>28</v>
      </c>
      <c r="P1204">
        <v>1</v>
      </c>
      <c r="Q1204">
        <v>1</v>
      </c>
      <c r="R1204">
        <v>7</v>
      </c>
      <c r="S1204" s="2">
        <v>42500</v>
      </c>
      <c r="T1204" s="2">
        <v>42689</v>
      </c>
      <c r="U1204" s="2">
        <v>43715</v>
      </c>
      <c r="V1204" s="2">
        <v>43129</v>
      </c>
    </row>
    <row r="1205" spans="1:22" x14ac:dyDescent="0.2">
      <c r="A1205" t="str">
        <f>"338.4 HAR"</f>
        <v>338.4 HAR</v>
      </c>
      <c r="B1205" t="str">
        <f>"First freedom: a ride through America's "</f>
        <v xml:space="preserve">First freedom: a ride through America's </v>
      </c>
      <c r="C1205">
        <v>355926</v>
      </c>
      <c r="D1205" t="str">
        <f>"Harsanyi, David"</f>
        <v>Harsanyi, David</v>
      </c>
      <c r="F1205" t="str">
        <f>"viii, 310 pages, 24 cm, illustrations"</f>
        <v>viii, 310 pages, 24 cm, illustrations</v>
      </c>
      <c r="G1205" s="1">
        <v>19</v>
      </c>
      <c r="H1205">
        <v>2018</v>
      </c>
      <c r="I1205" t="str">
        <f t="shared" si="43"/>
        <v>9: 300 - 399</v>
      </c>
      <c r="K1205" t="str">
        <f>"LL - In"</f>
        <v>LL - In</v>
      </c>
      <c r="L1205" s="1">
        <v>32</v>
      </c>
      <c r="M1205" t="s">
        <v>1138</v>
      </c>
      <c r="O1205" t="s">
        <v>28</v>
      </c>
      <c r="P1205">
        <v>3</v>
      </c>
      <c r="Q1205">
        <v>0</v>
      </c>
      <c r="R1205">
        <v>3</v>
      </c>
      <c r="S1205" s="2">
        <v>43647</v>
      </c>
      <c r="T1205" s="2">
        <v>43810</v>
      </c>
      <c r="U1205" s="2">
        <v>43802</v>
      </c>
    </row>
    <row r="1206" spans="1:22" x14ac:dyDescent="0.2">
      <c r="A1206" t="str">
        <f>"338.4 KRU"</f>
        <v>338.4 KRU</v>
      </c>
      <c r="B1206" t="str">
        <f>"Rockonomics: a backstage tour of what th"</f>
        <v>Rockonomics: a backstage tour of what th</v>
      </c>
      <c r="C1206">
        <v>355958</v>
      </c>
      <c r="D1206" t="str">
        <f>"Krueger, Alan B."</f>
        <v>Krueger, Alan B.</v>
      </c>
      <c r="F1206" t="str">
        <f>"325 pages, 22 cm, color illustrations"</f>
        <v>325 pages, 22 cm, color illustrations</v>
      </c>
      <c r="G1206" s="1">
        <v>19</v>
      </c>
      <c r="H1206">
        <v>2019</v>
      </c>
      <c r="I1206" t="str">
        <f t="shared" si="43"/>
        <v>9: 300 - 399</v>
      </c>
      <c r="K1206" t="str">
        <f>"WB - In"</f>
        <v>WB - In</v>
      </c>
      <c r="L1206" s="1">
        <v>33</v>
      </c>
      <c r="M1206" t="s">
        <v>1139</v>
      </c>
      <c r="O1206" t="s">
        <v>28</v>
      </c>
      <c r="P1206">
        <v>4</v>
      </c>
      <c r="Q1206">
        <v>0</v>
      </c>
      <c r="R1206">
        <v>4</v>
      </c>
      <c r="S1206" s="2">
        <v>43647</v>
      </c>
      <c r="T1206" s="2">
        <v>43803</v>
      </c>
      <c r="U1206" s="2">
        <v>43783</v>
      </c>
    </row>
    <row r="1207" spans="1:22" x14ac:dyDescent="0.2">
      <c r="A1207" t="str">
        <f>"338.4 LEE"</f>
        <v>338.4 LEE</v>
      </c>
      <c r="B1207" t="str">
        <f>"AI superpowers: China, Silicon Valley, a"</f>
        <v>AI superpowers: China, Silicon Valley, a</v>
      </c>
      <c r="C1207">
        <v>350810</v>
      </c>
      <c r="D1207" t="str">
        <f>"Lee, Kai-Fu"</f>
        <v>Lee, Kai-Fu</v>
      </c>
      <c r="F1207" t="str">
        <f>"xi, 253 pages, 24 cm, illustrations"</f>
        <v>xi, 253 pages, 24 cm, illustrations</v>
      </c>
      <c r="G1207" s="1">
        <v>18</v>
      </c>
      <c r="H1207">
        <v>2018</v>
      </c>
      <c r="I1207" t="str">
        <f t="shared" si="43"/>
        <v>9: 300 - 399</v>
      </c>
      <c r="K1207" t="str">
        <f>"WB - In"</f>
        <v>WB - In</v>
      </c>
      <c r="L1207" s="1">
        <v>33</v>
      </c>
      <c r="M1207" t="s">
        <v>1140</v>
      </c>
      <c r="O1207" t="s">
        <v>28</v>
      </c>
      <c r="P1207">
        <v>8</v>
      </c>
      <c r="Q1207">
        <v>1</v>
      </c>
      <c r="R1207">
        <v>9</v>
      </c>
      <c r="S1207" s="2">
        <v>43396</v>
      </c>
      <c r="T1207" s="2">
        <v>43565</v>
      </c>
      <c r="U1207" s="2">
        <v>43775</v>
      </c>
      <c r="V1207" s="2">
        <v>43574</v>
      </c>
    </row>
    <row r="1208" spans="1:22" x14ac:dyDescent="0.2">
      <c r="A1208" t="str">
        <f>"338.4 LEE"</f>
        <v>338.4 LEE</v>
      </c>
      <c r="B1208" t="str">
        <f>"Smoke signals: a social history of marij"</f>
        <v>Smoke signals: a social history of marij</v>
      </c>
      <c r="C1208">
        <v>308990</v>
      </c>
      <c r="D1208" t="str">
        <f>"Lee, Martin A."</f>
        <v>Lee, Martin A.</v>
      </c>
      <c r="F1208">
        <v>519</v>
      </c>
      <c r="G1208" s="1">
        <v>12</v>
      </c>
      <c r="H1208">
        <v>2012</v>
      </c>
      <c r="I1208" t="str">
        <f t="shared" si="43"/>
        <v>9: 300 - 399</v>
      </c>
      <c r="K1208" t="str">
        <f>"WB - In"</f>
        <v>WB - In</v>
      </c>
      <c r="L1208" s="1">
        <v>40</v>
      </c>
      <c r="M1208" t="s">
        <v>1141</v>
      </c>
      <c r="O1208" t="s">
        <v>28</v>
      </c>
      <c r="P1208">
        <v>0</v>
      </c>
      <c r="Q1208">
        <v>0</v>
      </c>
      <c r="R1208">
        <v>6</v>
      </c>
      <c r="S1208" s="2">
        <v>41135</v>
      </c>
      <c r="T1208" s="2">
        <v>41213</v>
      </c>
      <c r="U1208" s="2">
        <v>42504</v>
      </c>
    </row>
    <row r="1209" spans="1:22" x14ac:dyDescent="0.2">
      <c r="A1209" t="str">
        <f>"338.4 LEN"</f>
        <v>338.4 LEN</v>
      </c>
      <c r="B1209" t="str">
        <f>"danger within us: America's untested, un"</f>
        <v>danger within us: America's untested, un</v>
      </c>
      <c r="C1209">
        <v>298913</v>
      </c>
      <c r="D1209" t="str">
        <f>"Lenzer, Jeanne"</f>
        <v>Lenzer, Jeanne</v>
      </c>
      <c r="F1209" t="str">
        <f>"329 pages, 25 cm, illustrations"</f>
        <v>329 pages, 25 cm, illustrations</v>
      </c>
      <c r="G1209" s="1">
        <v>17</v>
      </c>
      <c r="H1209">
        <v>2017</v>
      </c>
      <c r="I1209" t="str">
        <f t="shared" si="43"/>
        <v>9: 300 - 399</v>
      </c>
      <c r="K1209" t="str">
        <f>"WB - In"</f>
        <v>WB - In</v>
      </c>
      <c r="L1209" s="1">
        <v>33</v>
      </c>
      <c r="M1209" t="s">
        <v>1142</v>
      </c>
      <c r="O1209" t="s">
        <v>28</v>
      </c>
      <c r="P1209">
        <v>7</v>
      </c>
      <c r="Q1209">
        <v>0</v>
      </c>
      <c r="R1209">
        <v>7</v>
      </c>
      <c r="S1209" s="2">
        <v>43082</v>
      </c>
      <c r="T1209" s="2">
        <v>43284</v>
      </c>
      <c r="U1209" s="2">
        <v>43832</v>
      </c>
    </row>
    <row r="1210" spans="1:22" x14ac:dyDescent="0.2">
      <c r="A1210" t="str">
        <f>"338.4 OAT"</f>
        <v>338.4 OAT</v>
      </c>
      <c r="B1210" t="str">
        <f>"political economy of American hegemony: "</f>
        <v xml:space="preserve">political economy of American hegemony: </v>
      </c>
      <c r="C1210">
        <v>335821</v>
      </c>
      <c r="D1210" t="str">
        <f>"Oatley, Thomas H.,"</f>
        <v>Oatley, Thomas H.,</v>
      </c>
      <c r="F1210" t="str">
        <f>"x, 199 pages, 23 cm"</f>
        <v>x, 199 pages, 23 cm</v>
      </c>
      <c r="G1210" s="1">
        <v>16</v>
      </c>
      <c r="H1210">
        <v>2015</v>
      </c>
      <c r="I1210" t="str">
        <f t="shared" si="43"/>
        <v>9: 300 - 399</v>
      </c>
      <c r="K1210" t="str">
        <f>"WB - In"</f>
        <v>WB - In</v>
      </c>
      <c r="L1210" s="1">
        <v>35</v>
      </c>
      <c r="M1210" t="s">
        <v>1143</v>
      </c>
      <c r="O1210" t="s">
        <v>28</v>
      </c>
      <c r="P1210">
        <v>0</v>
      </c>
      <c r="Q1210">
        <v>0</v>
      </c>
      <c r="R1210">
        <v>0</v>
      </c>
      <c r="S1210" s="2">
        <v>42542</v>
      </c>
      <c r="T1210" s="2">
        <v>42587</v>
      </c>
    </row>
    <row r="1211" spans="1:22" x14ac:dyDescent="0.2">
      <c r="A1211" t="str">
        <f>"338.4 ROW"</f>
        <v>338.4 ROW</v>
      </c>
      <c r="B1211" t="str">
        <f>"Jell-O girls: a family history"</f>
        <v>Jell-O girls: a family history</v>
      </c>
      <c r="C1211">
        <v>348944</v>
      </c>
      <c r="D1211" t="str">
        <f>"Rowbottom, Allie"</f>
        <v>Rowbottom, Allie</v>
      </c>
      <c r="F1211" t="str">
        <f>"277 pages, 25 cm"</f>
        <v>277 pages, 25 cm</v>
      </c>
      <c r="G1211" s="1">
        <v>18</v>
      </c>
      <c r="H1211">
        <v>2018</v>
      </c>
      <c r="I1211" t="str">
        <f t="shared" si="43"/>
        <v>9: 300 - 399</v>
      </c>
      <c r="K1211" t="str">
        <f>"LL - In"</f>
        <v>LL - In</v>
      </c>
      <c r="L1211" s="1">
        <v>33</v>
      </c>
      <c r="M1211" t="s">
        <v>1144</v>
      </c>
      <c r="O1211" t="s">
        <v>28</v>
      </c>
      <c r="P1211">
        <v>9</v>
      </c>
      <c r="Q1211">
        <v>0</v>
      </c>
      <c r="R1211">
        <v>9</v>
      </c>
      <c r="S1211" s="2">
        <v>43304</v>
      </c>
      <c r="T1211" s="2">
        <v>43488</v>
      </c>
      <c r="U1211" s="2">
        <v>43473</v>
      </c>
    </row>
    <row r="1212" spans="1:22" x14ac:dyDescent="0.2">
      <c r="A1212" t="str">
        <f>"338.4 SAB"</f>
        <v>338.4 SAB</v>
      </c>
      <c r="B1212" t="str">
        <f>"Reefer sanity: seven great myths about m"</f>
        <v>Reefer sanity: seven great myths about m</v>
      </c>
      <c r="C1212">
        <v>351154</v>
      </c>
      <c r="D1212" t="str">
        <f>"Sabet, Kevin."</f>
        <v>Sabet, Kevin.</v>
      </c>
      <c r="F1212" t="str">
        <f>"242 p."</f>
        <v>242 p.</v>
      </c>
      <c r="G1212" s="1">
        <v>18</v>
      </c>
      <c r="H1212">
        <v>2013</v>
      </c>
      <c r="I1212" t="str">
        <f t="shared" si="43"/>
        <v>9: 300 - 399</v>
      </c>
      <c r="K1212" t="str">
        <f>"WB - In"</f>
        <v>WB - In</v>
      </c>
      <c r="L1212" s="1">
        <v>20</v>
      </c>
      <c r="M1212" t="s">
        <v>1145</v>
      </c>
      <c r="O1212" t="s">
        <v>28</v>
      </c>
      <c r="P1212">
        <v>1</v>
      </c>
      <c r="Q1212">
        <v>0</v>
      </c>
      <c r="R1212">
        <v>1</v>
      </c>
      <c r="S1212" s="2">
        <v>43410</v>
      </c>
      <c r="T1212" s="2">
        <v>43420</v>
      </c>
      <c r="U1212" s="2">
        <v>43421</v>
      </c>
    </row>
    <row r="1213" spans="1:22" x14ac:dyDescent="0.2">
      <c r="A1213" t="str">
        <f>"338.4 WER"</f>
        <v>338.4 WER</v>
      </c>
      <c r="B1213" t="str">
        <f>"antidote: inside the world of new pharma"</f>
        <v>antidote: inside the world of new pharma</v>
      </c>
      <c r="C1213">
        <v>319688</v>
      </c>
      <c r="D1213" t="str">
        <f>"Werth, Barry"</f>
        <v>Werth, Barry</v>
      </c>
      <c r="F1213" t="str">
        <f>"435 p."</f>
        <v>435 p.</v>
      </c>
      <c r="G1213" s="1">
        <v>14</v>
      </c>
      <c r="H1213">
        <v>2014</v>
      </c>
      <c r="I1213" t="str">
        <f t="shared" si="43"/>
        <v>9: 300 - 399</v>
      </c>
      <c r="K1213" t="str">
        <f>"WB - In"</f>
        <v>WB - In</v>
      </c>
      <c r="L1213" s="1">
        <v>35</v>
      </c>
      <c r="M1213" t="s">
        <v>1146</v>
      </c>
      <c r="O1213" t="s">
        <v>28</v>
      </c>
      <c r="P1213">
        <v>1</v>
      </c>
      <c r="Q1213">
        <v>1</v>
      </c>
      <c r="R1213">
        <v>9</v>
      </c>
      <c r="S1213" s="2">
        <v>41676</v>
      </c>
      <c r="T1213" s="2">
        <v>41780</v>
      </c>
      <c r="U1213" s="2">
        <v>43739</v>
      </c>
      <c r="V1213" s="2">
        <v>43165</v>
      </c>
    </row>
    <row r="1214" spans="1:22" x14ac:dyDescent="0.2">
      <c r="A1214" t="str">
        <f>"338.4 WOL"</f>
        <v>338.4 WOL</v>
      </c>
      <c r="B1214" t="str">
        <f>"Valley of the gods: a Silicon Valley sto"</f>
        <v>Valley of the gods: a Silicon Valley sto</v>
      </c>
      <c r="C1214">
        <v>339493</v>
      </c>
      <c r="D1214" t="str">
        <f>"Wolfe, Alexandra"</f>
        <v>Wolfe, Alexandra</v>
      </c>
      <c r="F1214" t="str">
        <f>"x, 261 pages, 22 cm"</f>
        <v>x, 261 pages, 22 cm</v>
      </c>
      <c r="G1214" s="1">
        <v>17</v>
      </c>
      <c r="H1214">
        <v>2017</v>
      </c>
      <c r="I1214" t="str">
        <f t="shared" si="43"/>
        <v>9: 300 - 399</v>
      </c>
      <c r="K1214" t="str">
        <f>"WB - In"</f>
        <v>WB - In</v>
      </c>
      <c r="L1214" s="1">
        <v>32</v>
      </c>
      <c r="M1214" t="s">
        <v>1147</v>
      </c>
      <c r="O1214" t="s">
        <v>28</v>
      </c>
      <c r="P1214">
        <v>7</v>
      </c>
      <c r="Q1214">
        <v>0</v>
      </c>
      <c r="R1214">
        <v>7</v>
      </c>
      <c r="S1214" s="2">
        <v>42772</v>
      </c>
      <c r="T1214" s="2">
        <v>42963</v>
      </c>
      <c r="U1214" s="2">
        <v>43316</v>
      </c>
    </row>
    <row r="1215" spans="1:22" x14ac:dyDescent="0.2">
      <c r="A1215" t="str">
        <f>"338.47 ALE"</f>
        <v>338.47 ALE</v>
      </c>
      <c r="B1215" t="str">
        <f>"Glass house: the 1% economy and the shat"</f>
        <v>Glass house: the 1% economy and the shat</v>
      </c>
      <c r="C1215">
        <v>356657</v>
      </c>
      <c r="D1215" t="str">
        <f>"Alexander, Brian,"</f>
        <v>Alexander, Brian,</v>
      </c>
      <c r="F1215" t="str">
        <f>"xiv, 320 pages, 25 cm, illustration, map"</f>
        <v>xiv, 320 pages, 25 cm, illustration, map</v>
      </c>
      <c r="G1215" s="1">
        <v>19</v>
      </c>
      <c r="H1215">
        <v>2017</v>
      </c>
      <c r="I1215" t="str">
        <f t="shared" si="43"/>
        <v>9: 300 - 399</v>
      </c>
      <c r="K1215" t="str">
        <f>"WB - In"</f>
        <v>WB - In</v>
      </c>
      <c r="L1215" s="1">
        <v>22</v>
      </c>
      <c r="M1215" t="s">
        <v>1148</v>
      </c>
      <c r="O1215" t="s">
        <v>28</v>
      </c>
      <c r="P1215">
        <v>0</v>
      </c>
      <c r="Q1215">
        <v>0</v>
      </c>
      <c r="R1215">
        <v>0</v>
      </c>
      <c r="S1215" s="2">
        <v>43689</v>
      </c>
      <c r="T1215" s="2">
        <v>43700</v>
      </c>
    </row>
    <row r="1216" spans="1:22" x14ac:dyDescent="0.2">
      <c r="A1216" t="str">
        <f>"338.47 MCN"</f>
        <v>338.47 MCN</v>
      </c>
      <c r="B1216" t="str">
        <f>"Losing the signal: the untold story behi"</f>
        <v>Losing the signal: the untold story behi</v>
      </c>
      <c r="C1216">
        <v>333816</v>
      </c>
      <c r="D1216" t="str">
        <f>"McNish, Jacquie."</f>
        <v>McNish, Jacquie.</v>
      </c>
      <c r="F1216" t="str">
        <f>"279 pages, 25 cm"</f>
        <v>279 pages, 25 cm</v>
      </c>
      <c r="G1216" s="1">
        <v>16</v>
      </c>
      <c r="H1216">
        <v>2015</v>
      </c>
      <c r="I1216" t="str">
        <f t="shared" si="43"/>
        <v>9: 300 - 399</v>
      </c>
      <c r="K1216" t="str">
        <f>"LL - In"</f>
        <v>LL - In</v>
      </c>
      <c r="L1216" s="1">
        <v>33</v>
      </c>
      <c r="M1216" t="s">
        <v>1149</v>
      </c>
      <c r="O1216" t="s">
        <v>28</v>
      </c>
      <c r="P1216">
        <v>0</v>
      </c>
      <c r="Q1216">
        <v>0</v>
      </c>
      <c r="R1216">
        <v>8</v>
      </c>
      <c r="S1216" s="2">
        <v>42443</v>
      </c>
      <c r="T1216" s="2">
        <v>42669</v>
      </c>
      <c r="U1216" s="2">
        <v>42622</v>
      </c>
    </row>
    <row r="1217" spans="1:22" x14ac:dyDescent="0.2">
      <c r="A1217" t="str">
        <f>"338.5 MAY"</f>
        <v>338.5 MAY</v>
      </c>
      <c r="B1217" t="str">
        <f>"Prosperity: better business makes the gr"</f>
        <v>Prosperity: better business makes the gr</v>
      </c>
      <c r="C1217">
        <v>353625</v>
      </c>
      <c r="D1217" t="str">
        <f>"Mayer, Colin."</f>
        <v>Mayer, Colin.</v>
      </c>
      <c r="F1217" t="str">
        <f>"229 p."</f>
        <v>229 p.</v>
      </c>
      <c r="G1217" s="1">
        <v>19</v>
      </c>
      <c r="H1217">
        <v>2019</v>
      </c>
      <c r="I1217" t="str">
        <f t="shared" si="43"/>
        <v>9: 300 - 399</v>
      </c>
      <c r="K1217" t="str">
        <f>"LL - In"</f>
        <v>LL - In</v>
      </c>
      <c r="L1217" s="1">
        <v>30</v>
      </c>
      <c r="M1217" t="s">
        <v>1150</v>
      </c>
      <c r="O1217" t="s">
        <v>28</v>
      </c>
      <c r="P1217">
        <v>1</v>
      </c>
      <c r="Q1217">
        <v>1</v>
      </c>
      <c r="R1217">
        <v>2</v>
      </c>
      <c r="S1217" s="2">
        <v>43542</v>
      </c>
      <c r="T1217" s="2">
        <v>43712</v>
      </c>
      <c r="U1217" s="2">
        <v>43633</v>
      </c>
      <c r="V1217" s="2">
        <v>43671</v>
      </c>
    </row>
    <row r="1218" spans="1:22" x14ac:dyDescent="0.2">
      <c r="A1218" t="str">
        <f>"338.5 MAZ"</f>
        <v>338.5 MAZ</v>
      </c>
      <c r="B1218" t="str">
        <f>"value of everything: making and taking i"</f>
        <v>value of everything: making and taking i</v>
      </c>
      <c r="C1218">
        <v>350069</v>
      </c>
      <c r="D1218" t="str">
        <f>"Mazzucato, Mariana,"</f>
        <v>Mazzucato, Mariana,</v>
      </c>
      <c r="F1218" t="str">
        <f>"280 p."</f>
        <v>280 p.</v>
      </c>
      <c r="G1218" s="1">
        <v>18</v>
      </c>
      <c r="H1218">
        <v>2016</v>
      </c>
      <c r="I1218" t="str">
        <f t="shared" si="43"/>
        <v>9: 300 - 399</v>
      </c>
      <c r="K1218" t="str">
        <f t="shared" ref="K1218:K1223" si="45">"WB - In"</f>
        <v>WB - In</v>
      </c>
      <c r="L1218" s="1">
        <v>33</v>
      </c>
      <c r="M1218" t="s">
        <v>1151</v>
      </c>
      <c r="O1218" t="s">
        <v>28</v>
      </c>
      <c r="P1218">
        <v>4</v>
      </c>
      <c r="Q1218">
        <v>0</v>
      </c>
      <c r="R1218">
        <v>4</v>
      </c>
      <c r="S1218" s="2">
        <v>43360</v>
      </c>
      <c r="T1218" s="2">
        <v>43544</v>
      </c>
      <c r="U1218" s="2">
        <v>43497</v>
      </c>
    </row>
    <row r="1219" spans="1:22" x14ac:dyDescent="0.2">
      <c r="A1219" t="str">
        <f>"338.5 MUL"</f>
        <v>338.5 MUL</v>
      </c>
      <c r="B1219" t="str">
        <f>"Scarcity: why having too little means so"</f>
        <v>Scarcity: why having too little means so</v>
      </c>
      <c r="C1219">
        <v>316529</v>
      </c>
      <c r="D1219" t="str">
        <f>"Mullainathan, Sendhil."</f>
        <v>Mullainathan, Sendhil.</v>
      </c>
      <c r="F1219" t="str">
        <f>"288 p."</f>
        <v>288 p.</v>
      </c>
      <c r="G1219" s="1">
        <v>13</v>
      </c>
      <c r="H1219">
        <v>2013</v>
      </c>
      <c r="I1219" t="str">
        <f t="shared" si="43"/>
        <v>9: 300 - 399</v>
      </c>
      <c r="K1219" t="str">
        <f t="shared" si="45"/>
        <v>WB - In</v>
      </c>
      <c r="L1219" s="1">
        <v>33</v>
      </c>
      <c r="M1219" t="s">
        <v>1152</v>
      </c>
      <c r="O1219" t="s">
        <v>28</v>
      </c>
      <c r="P1219">
        <v>1</v>
      </c>
      <c r="Q1219">
        <v>2</v>
      </c>
      <c r="R1219">
        <v>29</v>
      </c>
      <c r="S1219" s="2">
        <v>41522</v>
      </c>
      <c r="T1219" s="2">
        <v>41936</v>
      </c>
      <c r="U1219" s="2">
        <v>43475</v>
      </c>
      <c r="V1219" s="2">
        <v>43092</v>
      </c>
    </row>
    <row r="1220" spans="1:22" x14ac:dyDescent="0.2">
      <c r="A1220" t="str">
        <f>"338.5 REI"</f>
        <v>338.5 REI</v>
      </c>
      <c r="B1220" t="str">
        <f>"This time is different: eight centuries "</f>
        <v xml:space="preserve">This time is different: eight centuries </v>
      </c>
      <c r="C1220">
        <v>353449</v>
      </c>
      <c r="D1220" t="str">
        <f>"Reinhart, Carmen M."</f>
        <v>Reinhart, Carmen M.</v>
      </c>
      <c r="F1220" t="str">
        <f>"463 p."</f>
        <v>463 p.</v>
      </c>
      <c r="G1220" s="1">
        <v>19</v>
      </c>
      <c r="H1220">
        <v>2011</v>
      </c>
      <c r="I1220" t="str">
        <f t="shared" si="43"/>
        <v>9: 300 - 399</v>
      </c>
      <c r="K1220" t="str">
        <f t="shared" si="45"/>
        <v>WB - In</v>
      </c>
      <c r="L1220" s="1">
        <v>25</v>
      </c>
      <c r="M1220" t="s">
        <v>1153</v>
      </c>
      <c r="O1220" t="s">
        <v>28</v>
      </c>
      <c r="P1220">
        <v>3</v>
      </c>
      <c r="Q1220">
        <v>0</v>
      </c>
      <c r="R1220">
        <v>3</v>
      </c>
      <c r="S1220" s="2">
        <v>43535</v>
      </c>
      <c r="T1220" s="2">
        <v>43549</v>
      </c>
      <c r="U1220" s="2">
        <v>43593</v>
      </c>
    </row>
    <row r="1221" spans="1:22" x14ac:dyDescent="0.2">
      <c r="A1221" t="str">
        <f>"338.5 SCH"</f>
        <v>338.5 SCH</v>
      </c>
      <c r="B1221" t="str">
        <f>"economist walks into a brothel: and othe"</f>
        <v>economist walks into a brothel: and othe</v>
      </c>
      <c r="C1221">
        <v>354744</v>
      </c>
      <c r="D1221" t="str">
        <f>"Schrager, Allison"</f>
        <v>Schrager, Allison</v>
      </c>
      <c r="F1221" t="str">
        <f>"204 p."</f>
        <v>204 p.</v>
      </c>
      <c r="G1221" s="1">
        <v>19</v>
      </c>
      <c r="H1221">
        <v>2019</v>
      </c>
      <c r="I1221" t="str">
        <f t="shared" si="43"/>
        <v>9: 300 - 399</v>
      </c>
      <c r="K1221" t="str">
        <f t="shared" si="45"/>
        <v>WB - In</v>
      </c>
      <c r="L1221" s="1">
        <v>32</v>
      </c>
      <c r="M1221" t="s">
        <v>1154</v>
      </c>
      <c r="O1221" t="s">
        <v>28</v>
      </c>
      <c r="P1221">
        <v>8</v>
      </c>
      <c r="Q1221">
        <v>1</v>
      </c>
      <c r="R1221">
        <v>9</v>
      </c>
      <c r="S1221" s="2">
        <v>43602</v>
      </c>
      <c r="T1221" s="2">
        <v>43810</v>
      </c>
      <c r="U1221" s="2">
        <v>43767</v>
      </c>
      <c r="V1221" s="2">
        <v>43716</v>
      </c>
    </row>
    <row r="1222" spans="1:22" x14ac:dyDescent="0.2">
      <c r="A1222" t="str">
        <f>"338.5 SKO"</f>
        <v>338.5 SKO</v>
      </c>
      <c r="B1222" t="str">
        <f>"structure of production"</f>
        <v>structure of production</v>
      </c>
      <c r="C1222">
        <v>347575</v>
      </c>
      <c r="D1222" t="str">
        <f>"Skousen, Mark."</f>
        <v>Skousen, Mark.</v>
      </c>
      <c r="F1222" t="str">
        <f>"363 p."</f>
        <v>363 p.</v>
      </c>
      <c r="G1222" s="1">
        <v>18</v>
      </c>
      <c r="H1222">
        <v>2015</v>
      </c>
      <c r="I1222" t="str">
        <f t="shared" si="43"/>
        <v>9: 300 - 399</v>
      </c>
      <c r="K1222" t="str">
        <f t="shared" si="45"/>
        <v>WB - In</v>
      </c>
      <c r="L1222" s="1">
        <v>31</v>
      </c>
      <c r="M1222" t="s">
        <v>1155</v>
      </c>
      <c r="O1222" t="s">
        <v>28</v>
      </c>
      <c r="P1222">
        <v>1</v>
      </c>
      <c r="Q1222">
        <v>1</v>
      </c>
      <c r="R1222">
        <v>2</v>
      </c>
      <c r="S1222" s="2">
        <v>43228</v>
      </c>
      <c r="T1222" s="2">
        <v>43237</v>
      </c>
      <c r="U1222" s="2">
        <v>43238</v>
      </c>
      <c r="V1222" s="2">
        <v>43240</v>
      </c>
    </row>
    <row r="1223" spans="1:22" x14ac:dyDescent="0.2">
      <c r="A1223" t="str">
        <f>"338.6 FRE"</f>
        <v>338.6 FRE</v>
      </c>
      <c r="B1223" t="str">
        <f>"Behemoth: a history of the factory and t"</f>
        <v>Behemoth: a history of the factory and t</v>
      </c>
      <c r="C1223">
        <v>346787</v>
      </c>
      <c r="D1223" t="str">
        <f>"Freeman, Joshua Benjamin"</f>
        <v>Freeman, Joshua Benjamin</v>
      </c>
      <c r="F1223" t="str">
        <f>"xviii, 427 pages, 25 cm, illustrations"</f>
        <v>xviii, 427 pages, 25 cm, illustrations</v>
      </c>
      <c r="G1223" s="1">
        <v>18</v>
      </c>
      <c r="H1223">
        <v>2018</v>
      </c>
      <c r="I1223" t="str">
        <f t="shared" si="43"/>
        <v>9: 300 - 399</v>
      </c>
      <c r="K1223" t="str">
        <f t="shared" si="45"/>
        <v>WB - In</v>
      </c>
      <c r="L1223" s="1">
        <v>33</v>
      </c>
      <c r="M1223" t="s">
        <v>1156</v>
      </c>
      <c r="O1223" t="s">
        <v>28</v>
      </c>
      <c r="P1223">
        <v>4</v>
      </c>
      <c r="Q1223">
        <v>0</v>
      </c>
      <c r="R1223">
        <v>4</v>
      </c>
      <c r="S1223" s="2">
        <v>43179</v>
      </c>
      <c r="T1223" s="2">
        <v>43368</v>
      </c>
      <c r="U1223" s="2">
        <v>43651</v>
      </c>
    </row>
    <row r="1224" spans="1:22" x14ac:dyDescent="0.2">
      <c r="A1224" t="str">
        <f>"338.6 KAN"</f>
        <v>338.6 KAN</v>
      </c>
      <c r="B1224" t="str">
        <f>"Haunted empire: Apple after Steve Jobs"</f>
        <v>Haunted empire: Apple after Steve Jobs</v>
      </c>
      <c r="C1224">
        <v>272896</v>
      </c>
      <c r="D1224" t="str">
        <f>"Kane, Yukari Iwatani,"</f>
        <v>Kane, Yukari Iwatani,</v>
      </c>
      <c r="F1224" t="str">
        <f>"x, 371 pages, 24 cm"</f>
        <v>x, 371 pages, 24 cm</v>
      </c>
      <c r="G1224" s="1">
        <v>14</v>
      </c>
      <c r="H1224">
        <v>2014</v>
      </c>
      <c r="I1224" t="str">
        <f t="shared" ref="I1224:I1287" si="46">"9: 300 - 399"</f>
        <v>9: 300 - 399</v>
      </c>
      <c r="K1224" t="str">
        <f>"LL - In"</f>
        <v>LL - In</v>
      </c>
      <c r="L1224" s="1">
        <v>33</v>
      </c>
      <c r="M1224" t="s">
        <v>1157</v>
      </c>
      <c r="O1224" t="s">
        <v>28</v>
      </c>
      <c r="P1224">
        <v>0</v>
      </c>
      <c r="Q1224">
        <v>0</v>
      </c>
      <c r="R1224">
        <v>16</v>
      </c>
      <c r="S1224" s="2">
        <v>41739</v>
      </c>
      <c r="T1224" s="2">
        <v>42123</v>
      </c>
      <c r="U1224" s="2">
        <v>42663</v>
      </c>
    </row>
    <row r="1225" spans="1:22" x14ac:dyDescent="0.2">
      <c r="A1225" t="str">
        <f>"338.6 KOC"</f>
        <v>338.6 KOC</v>
      </c>
      <c r="B1225" t="str">
        <f>"Creative selection: inside Apple's desig"</f>
        <v>Creative selection: inside Apple's desig</v>
      </c>
      <c r="C1225">
        <v>350655</v>
      </c>
      <c r="F1225" t="str">
        <f>"291 pages, 25 cm, illustrations"</f>
        <v>291 pages, 25 cm, illustrations</v>
      </c>
      <c r="G1225" s="1">
        <v>18</v>
      </c>
      <c r="H1225">
        <v>2018</v>
      </c>
      <c r="I1225" t="str">
        <f t="shared" si="46"/>
        <v>9: 300 - 399</v>
      </c>
      <c r="K1225" t="str">
        <f>"WB - In"</f>
        <v>WB - In</v>
      </c>
      <c r="L1225" s="1">
        <v>34</v>
      </c>
      <c r="M1225" t="s">
        <v>1158</v>
      </c>
      <c r="O1225" t="s">
        <v>28</v>
      </c>
      <c r="P1225">
        <v>7</v>
      </c>
      <c r="Q1225">
        <v>0</v>
      </c>
      <c r="R1225">
        <v>7</v>
      </c>
      <c r="S1225" s="2">
        <v>43389</v>
      </c>
      <c r="T1225" s="2">
        <v>43558</v>
      </c>
      <c r="U1225" s="2">
        <v>43547</v>
      </c>
    </row>
    <row r="1226" spans="1:22" x14ac:dyDescent="0.2">
      <c r="A1226" t="str">
        <f>"338.7 BER"</f>
        <v>338.7 BER</v>
      </c>
      <c r="B1226" t="str">
        <f>"year without pants: WordPress.com and th"</f>
        <v>year without pants: WordPress.com and th</v>
      </c>
      <c r="C1226">
        <v>340854</v>
      </c>
      <c r="D1226" t="str">
        <f>"Berkun, Scott"</f>
        <v>Berkun, Scott</v>
      </c>
      <c r="F1226" t="str">
        <f>"vi, 258 pages, 24 cm, illustrations"</f>
        <v>vi, 258 pages, 24 cm, illustrations</v>
      </c>
      <c r="G1226" s="1">
        <v>17</v>
      </c>
      <c r="H1226">
        <v>2013</v>
      </c>
      <c r="I1226" t="str">
        <f t="shared" si="46"/>
        <v>9: 300 - 399</v>
      </c>
      <c r="K1226" t="str">
        <f>"WB - In"</f>
        <v>WB - In</v>
      </c>
      <c r="L1226" s="1">
        <v>32</v>
      </c>
      <c r="M1226" t="s">
        <v>1159</v>
      </c>
      <c r="O1226" t="s">
        <v>28</v>
      </c>
      <c r="P1226">
        <v>0</v>
      </c>
      <c r="Q1226">
        <v>0</v>
      </c>
      <c r="R1226">
        <v>0</v>
      </c>
      <c r="S1226" s="2">
        <v>42842</v>
      </c>
      <c r="T1226" s="2">
        <v>42845</v>
      </c>
    </row>
    <row r="1227" spans="1:22" x14ac:dyDescent="0.2">
      <c r="A1227" t="str">
        <f>"338.7 BON"</f>
        <v>338.7 BON</v>
      </c>
      <c r="B1227" t="str">
        <f>"Instant: the story of Polaroid"</f>
        <v>Instant: the story of Polaroid</v>
      </c>
      <c r="C1227">
        <v>312018</v>
      </c>
      <c r="D1227" t="str">
        <f>"Bonanos, Christopher,"</f>
        <v>Bonanos, Christopher,</v>
      </c>
      <c r="F1227" t="str">
        <f>"192 p., 24 cm., ill."</f>
        <v>192 p., 24 cm., ill.</v>
      </c>
      <c r="G1227" s="1">
        <v>12</v>
      </c>
      <c r="H1227">
        <v>2012</v>
      </c>
      <c r="I1227" t="str">
        <f t="shared" si="46"/>
        <v>9: 300 - 399</v>
      </c>
      <c r="K1227" t="str">
        <f>"WB - In"</f>
        <v>WB - In</v>
      </c>
      <c r="L1227" s="1">
        <v>30</v>
      </c>
      <c r="M1227" t="s">
        <v>1160</v>
      </c>
      <c r="O1227" t="s">
        <v>28</v>
      </c>
      <c r="P1227">
        <v>0</v>
      </c>
      <c r="Q1227">
        <v>0</v>
      </c>
      <c r="R1227">
        <v>8</v>
      </c>
      <c r="S1227" s="2">
        <v>41290</v>
      </c>
      <c r="T1227" s="2">
        <v>41424</v>
      </c>
      <c r="U1227" s="2">
        <v>42001</v>
      </c>
      <c r="V1227" s="2">
        <v>41408</v>
      </c>
    </row>
    <row r="1228" spans="1:22" x14ac:dyDescent="0.2">
      <c r="A1228" t="str">
        <f>"338.7 CAB"</f>
        <v>338.7 CAB</v>
      </c>
      <c r="B1228" t="str">
        <f>"Geek girl rising: inside the sisterhood "</f>
        <v xml:space="preserve">Geek girl rising: inside the sisterhood </v>
      </c>
      <c r="C1228">
        <v>341747</v>
      </c>
      <c r="D1228" t="str">
        <f>"Cabot, Heather"</f>
        <v>Cabot, Heather</v>
      </c>
      <c r="F1228" t="str">
        <f>"xii, 258 pages, 22 cm"</f>
        <v>xii, 258 pages, 22 cm</v>
      </c>
      <c r="G1228" s="1">
        <v>17</v>
      </c>
      <c r="H1228">
        <v>2017</v>
      </c>
      <c r="I1228" t="str">
        <f t="shared" si="46"/>
        <v>9: 300 - 399</v>
      </c>
      <c r="K1228" t="str">
        <f>"WB - In"</f>
        <v>WB - In</v>
      </c>
      <c r="L1228" s="1">
        <v>32</v>
      </c>
      <c r="M1228" t="s">
        <v>1161</v>
      </c>
      <c r="O1228" t="s">
        <v>28</v>
      </c>
      <c r="P1228">
        <v>7</v>
      </c>
      <c r="Q1228">
        <v>0</v>
      </c>
      <c r="R1228">
        <v>7</v>
      </c>
      <c r="S1228" s="2">
        <v>42891</v>
      </c>
      <c r="T1228" s="2">
        <v>43066</v>
      </c>
      <c r="U1228" s="2">
        <v>43716</v>
      </c>
    </row>
    <row r="1229" spans="1:22" x14ac:dyDescent="0.2">
      <c r="A1229" t="str">
        <f>"338.7 CAR"</f>
        <v>338.7 CAR</v>
      </c>
      <c r="B1229" t="str">
        <f>"Bad blood: secrets and lies in a Silicon"</f>
        <v>Bad blood: secrets and lies in a Silicon</v>
      </c>
      <c r="C1229">
        <v>348002</v>
      </c>
      <c r="D1229" t="str">
        <f>"Carreyrou, John"</f>
        <v>Carreyrou, John</v>
      </c>
      <c r="F1229" t="str">
        <f>"x, 339 pages, 24 cm"</f>
        <v>x, 339 pages, 24 cm</v>
      </c>
      <c r="G1229" s="1">
        <v>18</v>
      </c>
      <c r="H1229">
        <v>2018</v>
      </c>
      <c r="I1229" t="str">
        <f t="shared" si="46"/>
        <v>9: 300 - 399</v>
      </c>
      <c r="K1229" t="str">
        <f>"LL - In"</f>
        <v>LL - In</v>
      </c>
      <c r="L1229" s="1">
        <v>33</v>
      </c>
      <c r="M1229" t="s">
        <v>1162</v>
      </c>
      <c r="O1229" t="s">
        <v>28</v>
      </c>
      <c r="P1229">
        <v>30</v>
      </c>
      <c r="Q1229">
        <v>0</v>
      </c>
      <c r="R1229">
        <v>30</v>
      </c>
      <c r="S1229" s="2">
        <v>43257</v>
      </c>
      <c r="T1229" s="2">
        <v>43628</v>
      </c>
      <c r="U1229" s="2">
        <v>43812</v>
      </c>
    </row>
    <row r="1230" spans="1:22" x14ac:dyDescent="0.2">
      <c r="A1230" t="str">
        <f>"338.7 CAR"</f>
        <v>338.7 CAR</v>
      </c>
      <c r="B1230" t="str">
        <f>"Bad blood: secrets and lies in a Silicon"</f>
        <v>Bad blood: secrets and lies in a Silicon</v>
      </c>
      <c r="C1230">
        <v>405559</v>
      </c>
      <c r="D1230" t="str">
        <f>"Carreyrou, John"</f>
        <v>Carreyrou, John</v>
      </c>
      <c r="F1230" t="str">
        <f>"x, 339 pages, 24 cm"</f>
        <v>x, 339 pages, 24 cm</v>
      </c>
      <c r="G1230" s="1">
        <v>19</v>
      </c>
      <c r="H1230">
        <v>2018</v>
      </c>
      <c r="I1230" t="str">
        <f t="shared" si="46"/>
        <v>9: 300 - 399</v>
      </c>
      <c r="K1230" t="str">
        <f>"WB - Reserve Cart"</f>
        <v>WB - Reserve Cart</v>
      </c>
      <c r="L1230" s="1">
        <v>33</v>
      </c>
      <c r="M1230" t="s">
        <v>1162</v>
      </c>
      <c r="O1230" t="s">
        <v>28</v>
      </c>
      <c r="P1230">
        <v>13</v>
      </c>
      <c r="Q1230">
        <v>2</v>
      </c>
      <c r="R1230">
        <v>15</v>
      </c>
      <c r="S1230" s="2">
        <v>43557</v>
      </c>
      <c r="T1230" s="2">
        <v>43749</v>
      </c>
      <c r="U1230" s="2">
        <v>43819</v>
      </c>
      <c r="V1230" s="2">
        <v>43812</v>
      </c>
    </row>
    <row r="1231" spans="1:22" x14ac:dyDescent="0.2">
      <c r="A1231" t="str">
        <f>"338.7 COL"</f>
        <v>338.7 COL</v>
      </c>
      <c r="B1231" t="str">
        <f>"Private empire: ExxonMobil and American "</f>
        <v xml:space="preserve">Private empire: ExxonMobil and American </v>
      </c>
      <c r="C1231">
        <v>307401</v>
      </c>
      <c r="D1231" t="str">
        <f>"Coll, Steve"</f>
        <v>Coll, Steve</v>
      </c>
      <c r="F1231" t="str">
        <f>"685 p., 25 cm., maps"</f>
        <v>685 p., 25 cm., maps</v>
      </c>
      <c r="G1231" s="1">
        <v>12</v>
      </c>
      <c r="H1231">
        <v>2012</v>
      </c>
      <c r="I1231" t="str">
        <f t="shared" si="46"/>
        <v>9: 300 - 399</v>
      </c>
      <c r="K1231" t="str">
        <f>"WB - In"</f>
        <v>WB - In</v>
      </c>
      <c r="L1231" s="1">
        <v>41</v>
      </c>
      <c r="M1231" t="s">
        <v>1163</v>
      </c>
      <c r="O1231" t="s">
        <v>28</v>
      </c>
      <c r="P1231">
        <v>2</v>
      </c>
      <c r="Q1231">
        <v>0</v>
      </c>
      <c r="R1231">
        <v>17</v>
      </c>
      <c r="S1231" s="2">
        <v>41037</v>
      </c>
      <c r="T1231" s="2">
        <v>41241</v>
      </c>
      <c r="U1231" s="2">
        <v>42799</v>
      </c>
    </row>
    <row r="1232" spans="1:22" x14ac:dyDescent="0.2">
      <c r="A1232" t="str">
        <f>"338.7 DAV"</f>
        <v>338.7 DAV</v>
      </c>
      <c r="B1232" t="str">
        <f>"space barons: Jeff Bezos, Elon Musk, and"</f>
        <v>space barons: Jeff Bezos, Elon Musk, and</v>
      </c>
      <c r="C1232">
        <v>347061</v>
      </c>
      <c r="D1232" t="str">
        <f>"Davenport, Christian"</f>
        <v>Davenport, Christian</v>
      </c>
      <c r="F1232" t="str">
        <f>"viii, 308 pages, 25 cm, color illustrations"</f>
        <v>viii, 308 pages, 25 cm, color illustrations</v>
      </c>
      <c r="G1232" s="1">
        <v>18</v>
      </c>
      <c r="H1232">
        <v>2018</v>
      </c>
      <c r="I1232" t="str">
        <f t="shared" si="46"/>
        <v>9: 300 - 399</v>
      </c>
      <c r="K1232" t="str">
        <f>"LL - In"</f>
        <v>LL - In</v>
      </c>
      <c r="L1232" s="1">
        <v>33</v>
      </c>
      <c r="M1232" t="s">
        <v>1164</v>
      </c>
      <c r="O1232" t="s">
        <v>28</v>
      </c>
      <c r="P1232">
        <v>9</v>
      </c>
      <c r="Q1232">
        <v>0</v>
      </c>
      <c r="R1232">
        <v>9</v>
      </c>
      <c r="S1232" s="2">
        <v>43192</v>
      </c>
      <c r="T1232" s="2">
        <v>43418</v>
      </c>
      <c r="U1232" s="2">
        <v>43645</v>
      </c>
    </row>
    <row r="1233" spans="1:22" x14ac:dyDescent="0.2">
      <c r="A1233" t="str">
        <f>"338.7 FER"</f>
        <v>338.7 FER</v>
      </c>
      <c r="B1233" t="str">
        <f>"Rocket billionaires: Elon Musk, Jeff Bez"</f>
        <v>Rocket billionaires: Elon Musk, Jeff Bez</v>
      </c>
      <c r="C1233">
        <v>346930</v>
      </c>
      <c r="D1233" t="str">
        <f>"Fernholz, Tim"</f>
        <v>Fernholz, Tim</v>
      </c>
      <c r="F1233" t="str">
        <f>"254 p."</f>
        <v>254 p.</v>
      </c>
      <c r="G1233" s="1">
        <v>18</v>
      </c>
      <c r="H1233">
        <v>2018</v>
      </c>
      <c r="I1233" t="str">
        <f t="shared" si="46"/>
        <v>9: 300 - 399</v>
      </c>
      <c r="K1233" t="str">
        <f>"WB - In"</f>
        <v>WB - In</v>
      </c>
      <c r="L1233" s="1">
        <v>33</v>
      </c>
      <c r="M1233" t="s">
        <v>1165</v>
      </c>
      <c r="O1233" t="s">
        <v>28</v>
      </c>
      <c r="P1233">
        <v>5</v>
      </c>
      <c r="Q1233">
        <v>2</v>
      </c>
      <c r="R1233">
        <v>7</v>
      </c>
      <c r="S1233" s="2">
        <v>43187</v>
      </c>
      <c r="T1233" s="2">
        <v>43355</v>
      </c>
      <c r="U1233" s="2">
        <v>43611</v>
      </c>
      <c r="V1233" s="2">
        <v>43405</v>
      </c>
    </row>
    <row r="1234" spans="1:22" x14ac:dyDescent="0.2">
      <c r="A1234" t="str">
        <f>"338.7 GAL"</f>
        <v>338.7 GAL</v>
      </c>
      <c r="B1234" t="str">
        <f>"How to turn down a billion dollars: the "</f>
        <v xml:space="preserve">How to turn down a billion dollars: the </v>
      </c>
      <c r="C1234">
        <v>346360</v>
      </c>
      <c r="D1234" t="str">
        <f>"Gallagher, Billy,"</f>
        <v>Gallagher, Billy,</v>
      </c>
      <c r="F1234" t="str">
        <f>"xv, 287 pages, 25 cm, illustrations"</f>
        <v>xv, 287 pages, 25 cm, illustrations</v>
      </c>
      <c r="G1234" s="1">
        <v>18</v>
      </c>
      <c r="H1234">
        <v>2018</v>
      </c>
      <c r="I1234" t="str">
        <f t="shared" si="46"/>
        <v>9: 300 - 399</v>
      </c>
      <c r="K1234" t="str">
        <f>"LL - In"</f>
        <v>LL - In</v>
      </c>
      <c r="L1234" s="1">
        <v>32</v>
      </c>
      <c r="M1234" t="s">
        <v>1166</v>
      </c>
      <c r="O1234" t="s">
        <v>28</v>
      </c>
      <c r="P1234">
        <v>5</v>
      </c>
      <c r="Q1234">
        <v>1</v>
      </c>
      <c r="R1234">
        <v>6</v>
      </c>
      <c r="S1234" s="2">
        <v>43159</v>
      </c>
      <c r="T1234" s="2">
        <v>43367</v>
      </c>
      <c r="U1234" s="2">
        <v>43338</v>
      </c>
      <c r="V1234" s="2">
        <v>43270</v>
      </c>
    </row>
    <row r="1235" spans="1:22" x14ac:dyDescent="0.2">
      <c r="A1235" t="str">
        <f>"338.7 GAL"</f>
        <v>338.7 GAL</v>
      </c>
      <c r="B1235" t="str">
        <f>"Airbnb story: how three ordinary guys di"</f>
        <v>Airbnb story: how three ordinary guys di</v>
      </c>
      <c r="C1235">
        <v>339967</v>
      </c>
      <c r="D1235" t="str">
        <f>"Gallagher, Leigh"</f>
        <v>Gallagher, Leigh</v>
      </c>
      <c r="F1235" t="str">
        <f>"214 p."</f>
        <v>214 p.</v>
      </c>
      <c r="G1235" s="1">
        <v>17</v>
      </c>
      <c r="H1235">
        <v>2017</v>
      </c>
      <c r="I1235" t="str">
        <f t="shared" si="46"/>
        <v>9: 300 - 399</v>
      </c>
      <c r="K1235" t="str">
        <f>"LL - In"</f>
        <v>LL - In</v>
      </c>
      <c r="L1235" s="1">
        <v>33</v>
      </c>
      <c r="M1235" t="s">
        <v>1167</v>
      </c>
      <c r="O1235" t="s">
        <v>28</v>
      </c>
      <c r="P1235">
        <v>9</v>
      </c>
      <c r="Q1235">
        <v>0</v>
      </c>
      <c r="R1235">
        <v>9</v>
      </c>
      <c r="S1235" s="2">
        <v>42793</v>
      </c>
      <c r="T1235" s="2">
        <v>42984</v>
      </c>
      <c r="U1235" s="2">
        <v>43588</v>
      </c>
    </row>
    <row r="1236" spans="1:22" x14ac:dyDescent="0.2">
      <c r="A1236" t="str">
        <f>"338.7 GAL"</f>
        <v>338.7 GAL</v>
      </c>
      <c r="B1236" t="str">
        <f>"four: the hidden DNA of Amazon, Apple, F"</f>
        <v>four: the hidden DNA of Amazon, Apple, F</v>
      </c>
      <c r="C1236">
        <v>297225</v>
      </c>
      <c r="D1236" t="str">
        <f>"Galloway, Scott"</f>
        <v>Galloway, Scott</v>
      </c>
      <c r="F1236" t="str">
        <f>"268 p."</f>
        <v>268 p.</v>
      </c>
      <c r="G1236" s="1">
        <v>17</v>
      </c>
      <c r="H1236">
        <v>2017</v>
      </c>
      <c r="I1236" t="str">
        <f t="shared" si="46"/>
        <v>9: 300 - 399</v>
      </c>
      <c r="K1236" t="str">
        <f t="shared" ref="K1236:K1243" si="47">"WB - In"</f>
        <v>WB - In</v>
      </c>
      <c r="L1236" s="1">
        <v>33</v>
      </c>
      <c r="M1236" t="s">
        <v>1168</v>
      </c>
      <c r="O1236" t="s">
        <v>28</v>
      </c>
      <c r="P1236">
        <v>12</v>
      </c>
      <c r="Q1236">
        <v>1</v>
      </c>
      <c r="R1236">
        <v>13</v>
      </c>
      <c r="S1236" s="2">
        <v>43012</v>
      </c>
      <c r="T1236" s="2">
        <v>43236</v>
      </c>
      <c r="U1236" s="2">
        <v>43790</v>
      </c>
      <c r="V1236" s="2">
        <v>43837</v>
      </c>
    </row>
    <row r="1237" spans="1:22" x14ac:dyDescent="0.2">
      <c r="A1237" t="str">
        <f>"338.7 GER"</f>
        <v>338.7 GER</v>
      </c>
      <c r="B1237" t="str">
        <f>"idea factory: the Bell Labs and the grea"</f>
        <v>idea factory: the Bell Labs and the grea</v>
      </c>
      <c r="C1237">
        <v>306191</v>
      </c>
      <c r="D1237" t="str">
        <f>"Gernter, Jon."</f>
        <v>Gernter, Jon.</v>
      </c>
      <c r="F1237" t="str">
        <f>"422 p."</f>
        <v>422 p.</v>
      </c>
      <c r="G1237" s="1">
        <v>12</v>
      </c>
      <c r="H1237">
        <v>2012</v>
      </c>
      <c r="I1237" t="str">
        <f t="shared" si="46"/>
        <v>9: 300 - 399</v>
      </c>
      <c r="K1237" t="str">
        <f t="shared" si="47"/>
        <v>WB - In</v>
      </c>
      <c r="L1237" s="1">
        <v>35</v>
      </c>
      <c r="M1237" t="s">
        <v>1169</v>
      </c>
      <c r="O1237" t="s">
        <v>28</v>
      </c>
      <c r="P1237">
        <v>2</v>
      </c>
      <c r="Q1237">
        <v>0</v>
      </c>
      <c r="R1237">
        <v>20</v>
      </c>
      <c r="S1237" s="2">
        <v>40991</v>
      </c>
      <c r="T1237" s="2">
        <v>41388</v>
      </c>
      <c r="U1237" s="2">
        <v>43639</v>
      </c>
    </row>
    <row r="1238" spans="1:22" x14ac:dyDescent="0.2">
      <c r="A1238" t="str">
        <f>"338.7 GJE"</f>
        <v>338.7 GJE</v>
      </c>
      <c r="B1238" t="str">
        <f>"Bacardi and the long fight for Cuba: the"</f>
        <v>Bacardi and the long fight for Cuba: the</v>
      </c>
      <c r="C1238">
        <v>292711</v>
      </c>
      <c r="D1238" t="str">
        <f>"Gjelten, Tom"</f>
        <v>Gjelten, Tom</v>
      </c>
      <c r="F1238" t="str">
        <f>"xiii, 413p., 23 cm, ill."</f>
        <v>xiii, 413p., 23 cm, ill.</v>
      </c>
      <c r="G1238" s="1">
        <v>16</v>
      </c>
      <c r="H1238">
        <v>2009</v>
      </c>
      <c r="I1238" t="str">
        <f t="shared" si="46"/>
        <v>9: 300 - 399</v>
      </c>
      <c r="K1238" t="str">
        <f t="shared" si="47"/>
        <v>WB - In</v>
      </c>
      <c r="L1238" s="1">
        <v>23</v>
      </c>
      <c r="M1238" t="s">
        <v>1170</v>
      </c>
      <c r="O1238" t="s">
        <v>28</v>
      </c>
      <c r="P1238">
        <v>0</v>
      </c>
      <c r="Q1238">
        <v>0</v>
      </c>
      <c r="R1238">
        <v>1</v>
      </c>
      <c r="S1238" s="2">
        <v>42738</v>
      </c>
      <c r="T1238" s="2">
        <v>42741</v>
      </c>
      <c r="U1238" s="2">
        <v>42742</v>
      </c>
    </row>
    <row r="1239" spans="1:22" x14ac:dyDescent="0.2">
      <c r="A1239" t="str">
        <f>"338.7 HOF"</f>
        <v>338.7 HOF</v>
      </c>
      <c r="B1239" t="str">
        <f>"American icon: Alan Mulally and the figh"</f>
        <v>American icon: Alan Mulally and the figh</v>
      </c>
      <c r="C1239">
        <v>306156</v>
      </c>
      <c r="D1239" t="str">
        <f>"Hoffman, Bryce G."</f>
        <v>Hoffman, Bryce G.</v>
      </c>
      <c r="F1239" t="str">
        <f>"422 p."</f>
        <v>422 p.</v>
      </c>
      <c r="G1239" s="1">
        <v>12</v>
      </c>
      <c r="H1239">
        <v>2012</v>
      </c>
      <c r="I1239" t="str">
        <f t="shared" si="46"/>
        <v>9: 300 - 399</v>
      </c>
      <c r="K1239" t="str">
        <f t="shared" si="47"/>
        <v>WB - In</v>
      </c>
      <c r="L1239" s="1">
        <v>31</v>
      </c>
      <c r="M1239" t="s">
        <v>1171</v>
      </c>
      <c r="O1239" t="s">
        <v>28</v>
      </c>
      <c r="P1239">
        <v>1</v>
      </c>
      <c r="Q1239">
        <v>0</v>
      </c>
      <c r="R1239">
        <v>9</v>
      </c>
      <c r="S1239" s="2">
        <v>40991</v>
      </c>
      <c r="T1239" s="2">
        <v>41164</v>
      </c>
      <c r="U1239" s="2">
        <v>43686</v>
      </c>
    </row>
    <row r="1240" spans="1:22" x14ac:dyDescent="0.2">
      <c r="A1240" t="str">
        <f>"338.7 KIL"</f>
        <v>338.7 KIL</v>
      </c>
      <c r="B1240" t="str">
        <f>"Never lost again: the Google mapping rev"</f>
        <v>Never lost again: the Google mapping rev</v>
      </c>
      <c r="C1240">
        <v>354757</v>
      </c>
      <c r="D1240" t="str">
        <f>"Kilday, Bill"</f>
        <v>Kilday, Bill</v>
      </c>
      <c r="F1240" t="str">
        <f>"xvi, 347 pages, 24 cm"</f>
        <v>xvi, 347 pages, 24 cm</v>
      </c>
      <c r="G1240" s="1">
        <v>19</v>
      </c>
      <c r="H1240">
        <v>2018</v>
      </c>
      <c r="I1240" t="str">
        <f t="shared" si="46"/>
        <v>9: 300 - 399</v>
      </c>
      <c r="K1240" t="str">
        <f t="shared" si="47"/>
        <v>WB - In</v>
      </c>
      <c r="L1240" s="1">
        <v>35</v>
      </c>
      <c r="M1240" t="s">
        <v>1172</v>
      </c>
      <c r="O1240" t="s">
        <v>28</v>
      </c>
      <c r="P1240">
        <v>0</v>
      </c>
      <c r="Q1240">
        <v>0</v>
      </c>
      <c r="R1240">
        <v>0</v>
      </c>
      <c r="S1240" s="2">
        <v>43602</v>
      </c>
      <c r="T1240" s="2">
        <v>43607</v>
      </c>
    </row>
    <row r="1241" spans="1:22" x14ac:dyDescent="0.2">
      <c r="A1241" t="str">
        <f>"338.7 KIR"</f>
        <v>338.7 KIR</v>
      </c>
      <c r="B1241" t="str">
        <f>"Facebook effect: the inside story of the"</f>
        <v>Facebook effect: the inside story of the</v>
      </c>
      <c r="C1241">
        <v>143308</v>
      </c>
      <c r="D1241" t="str">
        <f>"Kirkpatrick, David,"</f>
        <v>Kirkpatrick, David,</v>
      </c>
      <c r="F1241" t="str">
        <f>"372 p., cm."</f>
        <v>372 p., cm.</v>
      </c>
      <c r="G1241" s="1">
        <v>10</v>
      </c>
      <c r="H1241">
        <v>2010</v>
      </c>
      <c r="I1241" t="str">
        <f t="shared" si="46"/>
        <v>9: 300 - 399</v>
      </c>
      <c r="K1241" t="str">
        <f t="shared" si="47"/>
        <v>WB - In</v>
      </c>
      <c r="L1241" s="1">
        <v>31</v>
      </c>
      <c r="M1241" t="s">
        <v>1173</v>
      </c>
      <c r="O1241" t="s">
        <v>28</v>
      </c>
      <c r="P1241">
        <v>4</v>
      </c>
      <c r="Q1241">
        <v>0</v>
      </c>
      <c r="R1241">
        <v>25</v>
      </c>
      <c r="S1241" s="2">
        <v>40340</v>
      </c>
      <c r="T1241" s="2">
        <v>41053</v>
      </c>
      <c r="U1241" s="2">
        <v>43400</v>
      </c>
      <c r="V1241" s="2">
        <v>42289</v>
      </c>
    </row>
    <row r="1242" spans="1:22" x14ac:dyDescent="0.2">
      <c r="A1242" t="str">
        <f>"338.7 KNO"</f>
        <v>338.7 KNO</v>
      </c>
      <c r="B1242" t="str">
        <f>"Bitter brew: the rise and fall of Anheus"</f>
        <v>Bitter brew: the rise and fall of Anheus</v>
      </c>
      <c r="C1242">
        <v>329637</v>
      </c>
      <c r="D1242" t="str">
        <f>"Knoedelseder, William,"</f>
        <v>Knoedelseder, William,</v>
      </c>
      <c r="F1242" t="str">
        <f>"ix, 396 p., 21 cm, ill., geneal. table"</f>
        <v>ix, 396 p., 21 cm, ill., geneal. table</v>
      </c>
      <c r="G1242" s="1">
        <v>15</v>
      </c>
      <c r="H1242">
        <v>2014</v>
      </c>
      <c r="I1242" t="str">
        <f t="shared" si="46"/>
        <v>9: 300 - 399</v>
      </c>
      <c r="K1242" t="str">
        <f t="shared" si="47"/>
        <v>WB - In</v>
      </c>
      <c r="L1242" s="1">
        <v>23</v>
      </c>
      <c r="M1242" t="s">
        <v>1174</v>
      </c>
      <c r="O1242" t="s">
        <v>28</v>
      </c>
      <c r="P1242">
        <v>0</v>
      </c>
      <c r="Q1242">
        <v>0</v>
      </c>
      <c r="R1242">
        <v>2</v>
      </c>
      <c r="S1242" s="2">
        <v>42248</v>
      </c>
      <c r="T1242" s="2">
        <v>42251</v>
      </c>
      <c r="U1242" s="2">
        <v>42289</v>
      </c>
    </row>
    <row r="1243" spans="1:22" x14ac:dyDescent="0.2">
      <c r="A1243" t="str">
        <f>"338.7 LAG"</f>
        <v>338.7 LAG</v>
      </c>
      <c r="B1243" t="str">
        <f>"We are the nerds: the birth and tumultuo"</f>
        <v>We are the nerds: the birth and tumultuo</v>
      </c>
      <c r="C1243">
        <v>350988</v>
      </c>
      <c r="D1243" t="str">
        <f>"Lagorio-Chafkin, Christine"</f>
        <v>Lagorio-Chafkin, Christine</v>
      </c>
      <c r="F1243" t="str">
        <f>"pages cm"</f>
        <v>pages cm</v>
      </c>
      <c r="G1243" s="1">
        <v>18</v>
      </c>
      <c r="H1243">
        <v>2018</v>
      </c>
      <c r="I1243" t="str">
        <f t="shared" si="46"/>
        <v>9: 300 - 399</v>
      </c>
      <c r="K1243" t="str">
        <f t="shared" si="47"/>
        <v>WB - In</v>
      </c>
      <c r="L1243" s="1">
        <v>33</v>
      </c>
      <c r="M1243" t="s">
        <v>1175</v>
      </c>
      <c r="O1243" t="s">
        <v>28</v>
      </c>
      <c r="P1243">
        <v>6</v>
      </c>
      <c r="Q1243">
        <v>1</v>
      </c>
      <c r="R1243">
        <v>7</v>
      </c>
      <c r="S1243" s="2">
        <v>43402</v>
      </c>
      <c r="T1243" s="2">
        <v>43614</v>
      </c>
      <c r="U1243" s="2">
        <v>43666</v>
      </c>
      <c r="V1243" s="2">
        <v>43615</v>
      </c>
    </row>
    <row r="1244" spans="1:22" x14ac:dyDescent="0.2">
      <c r="A1244" t="str">
        <f>"338.7 LAS"</f>
        <v>338.7 LAS</v>
      </c>
      <c r="B1244" t="str">
        <f>"Inside Apple: how America's most admired"</f>
        <v>Inside Apple: how America's most admired</v>
      </c>
      <c r="C1244">
        <v>267439</v>
      </c>
      <c r="D1244" t="str">
        <f>"Lashinsky, Adam."</f>
        <v>Lashinsky, Adam.</v>
      </c>
      <c r="F1244" t="str">
        <f>"viii, 223 p., 24 cm."</f>
        <v>viii, 223 p., 24 cm.</v>
      </c>
      <c r="G1244" s="1">
        <v>13</v>
      </c>
      <c r="H1244">
        <v>2012</v>
      </c>
      <c r="I1244" t="str">
        <f t="shared" si="46"/>
        <v>9: 300 - 399</v>
      </c>
      <c r="K1244" t="str">
        <f>"LL - In"</f>
        <v>LL - In</v>
      </c>
      <c r="L1244" s="1">
        <v>22</v>
      </c>
      <c r="M1244" t="s">
        <v>1176</v>
      </c>
      <c r="O1244" t="s">
        <v>28</v>
      </c>
      <c r="P1244">
        <v>3</v>
      </c>
      <c r="Q1244">
        <v>0</v>
      </c>
      <c r="R1244">
        <v>13</v>
      </c>
      <c r="S1244" s="2">
        <v>41458</v>
      </c>
      <c r="T1244" s="2">
        <v>41471</v>
      </c>
      <c r="U1244" s="2">
        <v>43349</v>
      </c>
      <c r="V1244" s="2">
        <v>42024</v>
      </c>
    </row>
    <row r="1245" spans="1:22" x14ac:dyDescent="0.2">
      <c r="A1245" t="str">
        <f>"338.7 LEO"</f>
        <v>338.7 LEO</v>
      </c>
      <c r="B1245" t="str">
        <f>"Kochland: the secret history of Koch Ind"</f>
        <v>Kochland: the secret history of Koch Ind</v>
      </c>
      <c r="C1245">
        <v>356942</v>
      </c>
      <c r="D1245" t="str">
        <f>"Leonard, Christopher,"</f>
        <v>Leonard, Christopher,</v>
      </c>
      <c r="F1245" t="str">
        <f>"x, 687 pages, 25 cm, illustrations"</f>
        <v>x, 687 pages, 25 cm, illustrations</v>
      </c>
      <c r="G1245" s="1">
        <v>19</v>
      </c>
      <c r="H1245">
        <v>2019</v>
      </c>
      <c r="I1245" t="str">
        <f t="shared" si="46"/>
        <v>9: 300 - 399</v>
      </c>
      <c r="K1245" t="str">
        <f>"LL - In"</f>
        <v>LL - In</v>
      </c>
      <c r="L1245" s="1">
        <v>40</v>
      </c>
      <c r="M1245" t="s">
        <v>1177</v>
      </c>
      <c r="O1245" t="s">
        <v>28</v>
      </c>
      <c r="P1245">
        <v>4</v>
      </c>
      <c r="Q1245">
        <v>0</v>
      </c>
      <c r="R1245">
        <v>4</v>
      </c>
      <c r="S1245" s="2">
        <v>43696</v>
      </c>
      <c r="T1245" s="2">
        <v>43852</v>
      </c>
      <c r="U1245" s="2">
        <v>43841</v>
      </c>
    </row>
    <row r="1246" spans="1:22" x14ac:dyDescent="0.2">
      <c r="A1246" t="str">
        <f>"338.7 LEV"</f>
        <v>338.7 LEV</v>
      </c>
      <c r="B1246" t="str">
        <f>"great A&amp;P and the struggle for small bus"</f>
        <v>great A&amp;P and the struggle for small bus</v>
      </c>
      <c r="C1246">
        <v>305444</v>
      </c>
      <c r="D1246" t="str">
        <f>"Levinson, Marc."</f>
        <v>Levinson, Marc.</v>
      </c>
      <c r="F1246" t="str">
        <f>"358 p., 24 cm., ill."</f>
        <v>358 p., 24 cm., ill.</v>
      </c>
      <c r="G1246" s="1">
        <v>12</v>
      </c>
      <c r="H1246">
        <v>2011</v>
      </c>
      <c r="I1246" t="str">
        <f t="shared" si="46"/>
        <v>9: 300 - 399</v>
      </c>
      <c r="K1246" t="str">
        <f>"WB - In"</f>
        <v>WB - In</v>
      </c>
      <c r="L1246" s="1">
        <v>33</v>
      </c>
      <c r="M1246" t="s">
        <v>1178</v>
      </c>
      <c r="O1246" t="s">
        <v>28</v>
      </c>
      <c r="P1246">
        <v>2</v>
      </c>
      <c r="Q1246">
        <v>0</v>
      </c>
      <c r="R1246">
        <v>14</v>
      </c>
      <c r="S1246" s="2">
        <v>40946</v>
      </c>
      <c r="T1246" s="2">
        <v>41262</v>
      </c>
      <c r="U1246" s="2">
        <v>43001</v>
      </c>
    </row>
    <row r="1247" spans="1:22" x14ac:dyDescent="0.2">
      <c r="A1247" t="str">
        <f>"338.7 LEV"</f>
        <v>338.7 LEV</v>
      </c>
      <c r="B1247" t="str">
        <f>"In the plex: how Google thinks, works, a"</f>
        <v>In the plex: how Google thinks, works, a</v>
      </c>
      <c r="C1247">
        <v>149630</v>
      </c>
      <c r="D1247" t="str">
        <f>"Levy, Steven."</f>
        <v>Levy, Steven.</v>
      </c>
      <c r="F1247" t="str">
        <f>"424 p."</f>
        <v>424 p.</v>
      </c>
      <c r="G1247" s="1">
        <v>11</v>
      </c>
      <c r="H1247">
        <v>2011</v>
      </c>
      <c r="I1247" t="str">
        <f t="shared" si="46"/>
        <v>9: 300 - 399</v>
      </c>
      <c r="K1247" t="str">
        <f>"LL - In"</f>
        <v>LL - In</v>
      </c>
      <c r="L1247" s="1">
        <v>31</v>
      </c>
      <c r="M1247" t="s">
        <v>1179</v>
      </c>
      <c r="O1247" t="s">
        <v>28</v>
      </c>
      <c r="P1247">
        <v>0</v>
      </c>
      <c r="Q1247">
        <v>0</v>
      </c>
      <c r="R1247">
        <v>23</v>
      </c>
      <c r="S1247" s="2">
        <v>40652</v>
      </c>
      <c r="T1247" s="2">
        <v>41053</v>
      </c>
      <c r="U1247" s="2">
        <v>42561</v>
      </c>
    </row>
    <row r="1248" spans="1:22" x14ac:dyDescent="0.2">
      <c r="A1248" t="str">
        <f>"338.7 LOS"</f>
        <v>338.7 LOS</v>
      </c>
      <c r="B1248" t="str">
        <f>"boy kings: a journey into the heart of t"</f>
        <v>boy kings: a journey into the heart of t</v>
      </c>
      <c r="C1248">
        <v>258573</v>
      </c>
      <c r="D1248" t="str">
        <f>"Losse, Katherine."</f>
        <v>Losse, Katherine.</v>
      </c>
      <c r="F1248" t="str">
        <f>"232 p., 23 cm."</f>
        <v>232 p., 23 cm.</v>
      </c>
      <c r="G1248" s="1">
        <v>12</v>
      </c>
      <c r="H1248">
        <v>2012</v>
      </c>
      <c r="I1248" t="str">
        <f t="shared" si="46"/>
        <v>9: 300 - 399</v>
      </c>
      <c r="K1248" t="str">
        <f>"LL - In"</f>
        <v>LL - In</v>
      </c>
      <c r="L1248" s="1">
        <v>31</v>
      </c>
      <c r="M1248" t="s">
        <v>1180</v>
      </c>
      <c r="O1248" t="s">
        <v>28</v>
      </c>
      <c r="P1248">
        <v>1</v>
      </c>
      <c r="Q1248">
        <v>0</v>
      </c>
      <c r="R1248">
        <v>9</v>
      </c>
      <c r="S1248" s="2">
        <v>41087</v>
      </c>
      <c r="T1248" s="2">
        <v>41150</v>
      </c>
      <c r="U1248" s="2">
        <v>42788</v>
      </c>
      <c r="V1248" s="2">
        <v>42024</v>
      </c>
    </row>
    <row r="1249" spans="1:22" x14ac:dyDescent="0.2">
      <c r="A1249" t="str">
        <f>"338.7 OMA"</f>
        <v>338.7 OMA</v>
      </c>
      <c r="B1249" t="str">
        <f>"code: Silicon Valley and the remaking of"</f>
        <v>code: Silicon Valley and the remaking of</v>
      </c>
      <c r="C1249">
        <v>356159</v>
      </c>
      <c r="D1249" t="str">
        <f>"O'Mara, Margaret Pugh,"</f>
        <v>O'Mara, Margaret Pugh,</v>
      </c>
      <c r="F1249" t="str">
        <f>"496 pages, 25 cm, illustrations"</f>
        <v>496 pages, 25 cm, illustrations</v>
      </c>
      <c r="G1249" s="1">
        <v>19</v>
      </c>
      <c r="H1249">
        <v>2019</v>
      </c>
      <c r="I1249" t="str">
        <f t="shared" si="46"/>
        <v>9: 300 - 399</v>
      </c>
      <c r="K1249" t="str">
        <f>"LL - In"</f>
        <v>LL - In</v>
      </c>
      <c r="L1249" s="1">
        <v>35</v>
      </c>
      <c r="M1249" t="s">
        <v>1181</v>
      </c>
      <c r="O1249" t="s">
        <v>28</v>
      </c>
      <c r="P1249">
        <v>6</v>
      </c>
      <c r="Q1249">
        <v>0</v>
      </c>
      <c r="R1249">
        <v>6</v>
      </c>
      <c r="S1249" s="2">
        <v>43655</v>
      </c>
      <c r="T1249" s="2">
        <v>43822</v>
      </c>
      <c r="U1249" s="2">
        <v>43801</v>
      </c>
    </row>
    <row r="1250" spans="1:22" x14ac:dyDescent="0.2">
      <c r="A1250" t="str">
        <f>"338.7 OPP"</f>
        <v>338.7 OPP</v>
      </c>
      <c r="B1250" t="str">
        <f>"Crazy rich: power, scandal, and tragedy "</f>
        <v xml:space="preserve">Crazy rich: power, scandal, and tragedy </v>
      </c>
      <c r="C1250">
        <v>325148</v>
      </c>
      <c r="D1250" t="str">
        <f>"Oppenheimer, Jerry"</f>
        <v>Oppenheimer, Jerry</v>
      </c>
      <c r="F1250" t="str">
        <f>"xi, 478 pages, 25 cm, illustrations"</f>
        <v>xi, 478 pages, 25 cm, illustrations</v>
      </c>
      <c r="G1250" s="1">
        <v>14</v>
      </c>
      <c r="H1250">
        <v>2013</v>
      </c>
      <c r="I1250" t="str">
        <f t="shared" si="46"/>
        <v>9: 300 - 399</v>
      </c>
      <c r="K1250" t="str">
        <f>"WB - Out"</f>
        <v>WB - Out</v>
      </c>
      <c r="L1250" s="1">
        <v>33</v>
      </c>
      <c r="M1250" t="s">
        <v>1182</v>
      </c>
      <c r="O1250" t="s">
        <v>28</v>
      </c>
      <c r="P1250">
        <v>1</v>
      </c>
      <c r="Q1250">
        <v>0</v>
      </c>
      <c r="R1250">
        <v>3</v>
      </c>
      <c r="S1250" s="2">
        <v>41995</v>
      </c>
      <c r="T1250" s="2">
        <v>42002</v>
      </c>
      <c r="U1250" s="2">
        <v>43848</v>
      </c>
    </row>
    <row r="1251" spans="1:22" x14ac:dyDescent="0.2">
      <c r="A1251" t="str">
        <f>"338.7 SCH"</f>
        <v>338.7 SCH</v>
      </c>
      <c r="B1251" t="str">
        <f>"How Google works"</f>
        <v>How Google works</v>
      </c>
      <c r="C1251">
        <v>324167</v>
      </c>
      <c r="D1251" t="str">
        <f>"Schmidt, Eric,"</f>
        <v>Schmidt, Eric,</v>
      </c>
      <c r="F1251" t="str">
        <f>"xiv, 286 pages, 24 cm, illustrations"</f>
        <v>xiv, 286 pages, 24 cm, illustrations</v>
      </c>
      <c r="G1251" s="1">
        <v>14</v>
      </c>
      <c r="H1251">
        <v>2014</v>
      </c>
      <c r="I1251" t="str">
        <f t="shared" si="46"/>
        <v>9: 300 - 399</v>
      </c>
      <c r="K1251" t="str">
        <f>"LL - In"</f>
        <v>LL - In</v>
      </c>
      <c r="L1251" s="1">
        <v>35</v>
      </c>
      <c r="M1251" t="s">
        <v>1183</v>
      </c>
      <c r="O1251" t="s">
        <v>28</v>
      </c>
      <c r="P1251">
        <v>3</v>
      </c>
      <c r="Q1251">
        <v>1</v>
      </c>
      <c r="R1251">
        <v>21</v>
      </c>
      <c r="S1251" s="2">
        <v>41932</v>
      </c>
      <c r="T1251" s="2">
        <v>42176</v>
      </c>
      <c r="U1251" s="2">
        <v>43169</v>
      </c>
      <c r="V1251" s="2">
        <v>43528</v>
      </c>
    </row>
    <row r="1252" spans="1:22" x14ac:dyDescent="0.2">
      <c r="A1252" t="str">
        <f>"338.7 SCH"</f>
        <v>338.7 SCH</v>
      </c>
      <c r="B1252" t="str">
        <f>"How Google works: updated with a new cha"</f>
        <v>How Google works: updated with a new cha</v>
      </c>
      <c r="C1252">
        <v>293833</v>
      </c>
      <c r="D1252" t="str">
        <f>"Schmidt, Eric,"</f>
        <v>Schmidt, Eric,</v>
      </c>
      <c r="F1252" t="str">
        <f>"xiv, 286 pages, 24 cm, illustrations"</f>
        <v>xiv, 286 pages, 24 cm, illustrations</v>
      </c>
      <c r="G1252" s="1">
        <v>17</v>
      </c>
      <c r="H1252">
        <v>2017</v>
      </c>
      <c r="I1252" t="str">
        <f t="shared" si="46"/>
        <v>9: 300 - 399</v>
      </c>
      <c r="K1252" t="str">
        <f>"WB - In"</f>
        <v>WB - In</v>
      </c>
      <c r="L1252" s="1">
        <v>24</v>
      </c>
      <c r="M1252" t="s">
        <v>1184</v>
      </c>
      <c r="O1252" t="s">
        <v>28</v>
      </c>
      <c r="P1252">
        <v>6</v>
      </c>
      <c r="Q1252">
        <v>3</v>
      </c>
      <c r="R1252">
        <v>9</v>
      </c>
      <c r="S1252" s="2">
        <v>42809</v>
      </c>
      <c r="T1252" s="2">
        <v>42822</v>
      </c>
      <c r="U1252" s="2">
        <v>43643</v>
      </c>
      <c r="V1252" s="2">
        <v>43711</v>
      </c>
    </row>
    <row r="1253" spans="1:22" x14ac:dyDescent="0.2">
      <c r="A1253" t="str">
        <f>"338.7 SCH"</f>
        <v>338.7 SCH</v>
      </c>
      <c r="B1253" t="str">
        <f>"Onward: how Starbucks fought for its lif"</f>
        <v>Onward: how Starbucks fought for its lif</v>
      </c>
      <c r="C1253">
        <v>149099</v>
      </c>
      <c r="D1253" t="str">
        <f>"Schultz, Howard."</f>
        <v>Schultz, Howard.</v>
      </c>
      <c r="F1253" t="str">
        <f>"350 p."</f>
        <v>350 p.</v>
      </c>
      <c r="G1253" s="1">
        <v>11</v>
      </c>
      <c r="H1253">
        <v>2011</v>
      </c>
      <c r="I1253" t="str">
        <f t="shared" si="46"/>
        <v>9: 300 - 399</v>
      </c>
      <c r="K1253" t="str">
        <f>"WB - In"</f>
        <v>WB - In</v>
      </c>
      <c r="L1253" s="1">
        <v>31</v>
      </c>
      <c r="M1253" t="s">
        <v>1185</v>
      </c>
      <c r="O1253" t="s">
        <v>28</v>
      </c>
      <c r="P1253">
        <v>2</v>
      </c>
      <c r="Q1253">
        <v>1</v>
      </c>
      <c r="R1253">
        <v>23</v>
      </c>
      <c r="S1253" s="2">
        <v>40631</v>
      </c>
      <c r="T1253" s="2">
        <v>41053</v>
      </c>
      <c r="U1253" s="2">
        <v>43670</v>
      </c>
      <c r="V1253" s="2">
        <v>43711</v>
      </c>
    </row>
    <row r="1254" spans="1:22" x14ac:dyDescent="0.2">
      <c r="A1254" t="str">
        <f>"338.7 SCH"</f>
        <v>338.7 SCH</v>
      </c>
      <c r="B1254" t="str">
        <f>"Onward: how Starbucks fought for its lif"</f>
        <v>Onward: how Starbucks fought for its lif</v>
      </c>
      <c r="C1254">
        <v>149100</v>
      </c>
      <c r="D1254" t="str">
        <f>"Schultz, Howard."</f>
        <v>Schultz, Howard.</v>
      </c>
      <c r="F1254" t="str">
        <f>"350 p."</f>
        <v>350 p.</v>
      </c>
      <c r="G1254" s="1">
        <v>11</v>
      </c>
      <c r="H1254">
        <v>2011</v>
      </c>
      <c r="I1254" t="str">
        <f t="shared" si="46"/>
        <v>9: 300 - 399</v>
      </c>
      <c r="K1254" t="str">
        <f>"LL - In"</f>
        <v>LL - In</v>
      </c>
      <c r="L1254" s="1">
        <v>31</v>
      </c>
      <c r="M1254" t="s">
        <v>1185</v>
      </c>
      <c r="O1254" t="s">
        <v>28</v>
      </c>
      <c r="P1254">
        <v>4</v>
      </c>
      <c r="Q1254">
        <v>2</v>
      </c>
      <c r="R1254">
        <v>26</v>
      </c>
      <c r="S1254" s="2">
        <v>40631</v>
      </c>
      <c r="T1254" s="2">
        <v>41053</v>
      </c>
      <c r="U1254" s="2">
        <v>43688</v>
      </c>
      <c r="V1254" s="2">
        <v>43082</v>
      </c>
    </row>
    <row r="1255" spans="1:22" x14ac:dyDescent="0.2">
      <c r="A1255" t="str">
        <f>"338.7 SHA"</f>
        <v>338.7 SHA</v>
      </c>
      <c r="B1255" t="str">
        <f>"Shakespeare and Company, Paris: A Histor"</f>
        <v>Shakespeare and Company, Paris: A Histor</v>
      </c>
      <c r="C1255">
        <v>337575</v>
      </c>
      <c r="F1255" t="str">
        <f>"384 pages, 25 cm, illustrations (some color)"</f>
        <v>384 pages, 25 cm, illustrations (some color)</v>
      </c>
      <c r="G1255" s="1">
        <v>16</v>
      </c>
      <c r="H1255">
        <v>2016</v>
      </c>
      <c r="I1255" t="str">
        <f t="shared" si="46"/>
        <v>9: 300 - 399</v>
      </c>
      <c r="K1255" t="str">
        <f>"LL - In"</f>
        <v>LL - In</v>
      </c>
      <c r="L1255" s="1">
        <v>40</v>
      </c>
      <c r="M1255" t="s">
        <v>1186</v>
      </c>
      <c r="O1255" t="s">
        <v>28</v>
      </c>
      <c r="P1255">
        <v>2</v>
      </c>
      <c r="Q1255">
        <v>0</v>
      </c>
      <c r="R1255">
        <v>9</v>
      </c>
      <c r="S1255" s="2">
        <v>42639</v>
      </c>
      <c r="T1255" s="2">
        <v>43349</v>
      </c>
      <c r="U1255" s="2">
        <v>42804</v>
      </c>
    </row>
    <row r="1256" spans="1:22" x14ac:dyDescent="0.2">
      <c r="A1256" t="str">
        <f>"338.7 TAN"</f>
        <v>338.7 TAN</v>
      </c>
      <c r="B1256" t="str">
        <f>"What stays in Vegas: the world of person"</f>
        <v>What stays in Vegas: the world of person</v>
      </c>
      <c r="C1256">
        <v>326505</v>
      </c>
      <c r="D1256" t="str">
        <f>"Tanner, Adam"</f>
        <v>Tanner, Adam</v>
      </c>
      <c r="F1256" t="str">
        <f>"xvii, 316 pages, 25 cm, illustrations"</f>
        <v>xvii, 316 pages, 25 cm, illustrations</v>
      </c>
      <c r="G1256" s="1">
        <v>15</v>
      </c>
      <c r="H1256">
        <v>2014</v>
      </c>
      <c r="I1256" t="str">
        <f t="shared" si="46"/>
        <v>9: 300 - 399</v>
      </c>
      <c r="K1256" t="str">
        <f>"WB - In"</f>
        <v>WB - In</v>
      </c>
      <c r="L1256" s="1">
        <v>33</v>
      </c>
      <c r="M1256" t="s">
        <v>1187</v>
      </c>
      <c r="O1256" t="s">
        <v>28</v>
      </c>
      <c r="P1256">
        <v>0</v>
      </c>
      <c r="Q1256">
        <v>0</v>
      </c>
      <c r="R1256">
        <v>12</v>
      </c>
      <c r="S1256" s="2">
        <v>42080</v>
      </c>
      <c r="T1256" s="2">
        <v>42486</v>
      </c>
      <c r="U1256" s="2">
        <v>42465</v>
      </c>
    </row>
    <row r="1257" spans="1:22" x14ac:dyDescent="0.2">
      <c r="A1257" t="str">
        <f>"338.7 THO"</f>
        <v>338.7 THO</v>
      </c>
      <c r="B1257" t="str">
        <f>"Warner Bros: the making of an American m"</f>
        <v>Warner Bros: the making of an American m</v>
      </c>
      <c r="C1257">
        <v>343471</v>
      </c>
      <c r="D1257" t="str">
        <f>"Thomson, David,"</f>
        <v>Thomson, David,</v>
      </c>
      <c r="E1257" t="str">
        <f>"Jewish lives"</f>
        <v>Jewish lives</v>
      </c>
      <c r="F1257" t="str">
        <f>"viii, 220 pages, 22 cm, illustrations"</f>
        <v>viii, 220 pages, 22 cm, illustrations</v>
      </c>
      <c r="G1257" s="1">
        <v>17</v>
      </c>
      <c r="H1257">
        <v>2017</v>
      </c>
      <c r="I1257" t="str">
        <f t="shared" si="46"/>
        <v>9: 300 - 399</v>
      </c>
      <c r="K1257" t="str">
        <f>"WB - In"</f>
        <v>WB - In</v>
      </c>
      <c r="L1257" s="1">
        <v>30</v>
      </c>
      <c r="M1257" t="s">
        <v>1188</v>
      </c>
      <c r="O1257" t="s">
        <v>28</v>
      </c>
      <c r="P1257">
        <v>9</v>
      </c>
      <c r="Q1257">
        <v>2</v>
      </c>
      <c r="R1257">
        <v>11</v>
      </c>
      <c r="S1257" s="2">
        <v>42984</v>
      </c>
      <c r="T1257" s="2">
        <v>43180</v>
      </c>
      <c r="U1257" s="2">
        <v>43494</v>
      </c>
      <c r="V1257" s="2">
        <v>43082</v>
      </c>
    </row>
    <row r="1258" spans="1:22" x14ac:dyDescent="0.2">
      <c r="A1258" t="str">
        <f>"338.76 KEA"</f>
        <v>338.76 KEA</v>
      </c>
      <c r="B1258" t="str">
        <f>"Life of the party: the remarkable story "</f>
        <v xml:space="preserve">Life of the party: the remarkable story </v>
      </c>
      <c r="C1258">
        <v>339110</v>
      </c>
      <c r="D1258" t="str">
        <f>"Kealing, Bob"</f>
        <v>Kealing, Bob</v>
      </c>
      <c r="F1258" t="str">
        <f>"xx, 298 pages, 22 cm, illustrations"</f>
        <v>xx, 298 pages, 22 cm, illustrations</v>
      </c>
      <c r="G1258" s="1">
        <v>17</v>
      </c>
      <c r="H1258">
        <v>2016</v>
      </c>
      <c r="I1258" t="str">
        <f t="shared" si="46"/>
        <v>9: 300 - 399</v>
      </c>
      <c r="K1258" t="str">
        <f>"WB - In"</f>
        <v>WB - In</v>
      </c>
      <c r="L1258" s="1">
        <v>31</v>
      </c>
      <c r="M1258" t="s">
        <v>1189</v>
      </c>
      <c r="O1258" t="s">
        <v>28</v>
      </c>
      <c r="P1258">
        <v>4</v>
      </c>
      <c r="Q1258">
        <v>1</v>
      </c>
      <c r="R1258">
        <v>5</v>
      </c>
      <c r="S1258" s="2">
        <v>42754</v>
      </c>
      <c r="T1258" s="2">
        <v>42907</v>
      </c>
      <c r="U1258" s="2">
        <v>42897</v>
      </c>
      <c r="V1258" s="2">
        <v>42848</v>
      </c>
    </row>
    <row r="1259" spans="1:22" x14ac:dyDescent="0.2">
      <c r="A1259" t="str">
        <f>"338.8 BUR"</f>
        <v>338.8 BUR</v>
      </c>
      <c r="B1259" t="str">
        <f>"Barbarians at the gate: the fall of RJR "</f>
        <v xml:space="preserve">Barbarians at the gate: the fall of RJR </v>
      </c>
      <c r="C1259">
        <v>356290</v>
      </c>
      <c r="D1259" t="str">
        <f>"Burrough, Bryan"</f>
        <v>Burrough, Bryan</v>
      </c>
      <c r="F1259" t="str">
        <f>"xxiii, 563 p., [32] p. of plates, 21 cm, ill."</f>
        <v>xxiii, 563 p., [32] p. of plates, 21 cm, ill.</v>
      </c>
      <c r="G1259" s="1">
        <v>19</v>
      </c>
      <c r="H1259">
        <v>2009</v>
      </c>
      <c r="I1259" t="str">
        <f t="shared" si="46"/>
        <v>9: 300 - 399</v>
      </c>
      <c r="K1259" t="str">
        <f>"WB - In"</f>
        <v>WB - In</v>
      </c>
      <c r="L1259" s="1">
        <v>23</v>
      </c>
      <c r="M1259" t="s">
        <v>1190</v>
      </c>
      <c r="O1259" t="s">
        <v>28</v>
      </c>
      <c r="P1259">
        <v>1</v>
      </c>
      <c r="Q1259">
        <v>0</v>
      </c>
      <c r="R1259">
        <v>1</v>
      </c>
      <c r="S1259" s="2">
        <v>43668</v>
      </c>
      <c r="T1259" s="2">
        <v>43675</v>
      </c>
      <c r="U1259" s="2">
        <v>43677</v>
      </c>
    </row>
    <row r="1260" spans="1:22" x14ac:dyDescent="0.2">
      <c r="A1260" t="str">
        <f>"338.9 MOY"</f>
        <v>338.9 MOY</v>
      </c>
      <c r="B1260" t="str">
        <f>"Edge of chaos: why democracy is failing "</f>
        <v xml:space="preserve">Edge of chaos: why democracy is failing </v>
      </c>
      <c r="C1260">
        <v>348006</v>
      </c>
      <c r="D1260" t="str">
        <f>"Moyo, Dambisa."</f>
        <v>Moyo, Dambisa.</v>
      </c>
      <c r="F1260" t="str">
        <f>"296 pages, 25 cm"</f>
        <v>296 pages, 25 cm</v>
      </c>
      <c r="G1260" s="1">
        <v>18</v>
      </c>
      <c r="H1260">
        <v>2018</v>
      </c>
      <c r="I1260" t="str">
        <f t="shared" si="46"/>
        <v>9: 300 - 399</v>
      </c>
      <c r="K1260" t="str">
        <f>"LL - In"</f>
        <v>LL - In</v>
      </c>
      <c r="L1260" s="1">
        <v>35</v>
      </c>
      <c r="M1260" t="s">
        <v>1191</v>
      </c>
      <c r="O1260" t="s">
        <v>28</v>
      </c>
      <c r="P1260">
        <v>2</v>
      </c>
      <c r="Q1260">
        <v>0</v>
      </c>
      <c r="R1260">
        <v>2</v>
      </c>
      <c r="S1260" s="2">
        <v>43257</v>
      </c>
      <c r="T1260" s="2">
        <v>43416</v>
      </c>
      <c r="U1260" s="2">
        <v>43321</v>
      </c>
    </row>
    <row r="1261" spans="1:22" x14ac:dyDescent="0.2">
      <c r="A1261" t="str">
        <f>"338.9 ROC"</f>
        <v>338.9 ROC</v>
      </c>
      <c r="B1261" t="str">
        <f>"Big world, small planet: abundance withi"</f>
        <v>Big world, small planet: abundance withi</v>
      </c>
      <c r="C1261">
        <v>283294</v>
      </c>
      <c r="D1261" t="str">
        <f>"Rockstrom, Johan"</f>
        <v>Rockstrom, Johan</v>
      </c>
      <c r="F1261" t="str">
        <f>"206 pages, 22 cm, color illustrations, color maps"</f>
        <v>206 pages, 22 cm, color illustrations, color maps</v>
      </c>
      <c r="G1261" s="1">
        <v>15</v>
      </c>
      <c r="H1261">
        <v>2015</v>
      </c>
      <c r="I1261" t="str">
        <f t="shared" si="46"/>
        <v>9: 300 - 399</v>
      </c>
      <c r="K1261" t="str">
        <f t="shared" ref="K1261:K1267" si="48">"WB - In"</f>
        <v>WB - In</v>
      </c>
      <c r="L1261" s="1">
        <v>33</v>
      </c>
      <c r="M1261" t="s">
        <v>1192</v>
      </c>
      <c r="O1261" t="s">
        <v>28</v>
      </c>
      <c r="P1261">
        <v>0</v>
      </c>
      <c r="Q1261">
        <v>0</v>
      </c>
      <c r="R1261">
        <v>7</v>
      </c>
      <c r="S1261" s="2">
        <v>42325</v>
      </c>
      <c r="T1261" s="2">
        <v>42477</v>
      </c>
      <c r="U1261" s="2">
        <v>42651</v>
      </c>
      <c r="V1261" s="2">
        <v>42477</v>
      </c>
    </row>
    <row r="1262" spans="1:22" x14ac:dyDescent="0.2">
      <c r="A1262" t="str">
        <f>"338.9 SAC"</f>
        <v>338.9 SAC</v>
      </c>
      <c r="B1262" t="str">
        <f>"age of sustainable development"</f>
        <v>age of sustainable development</v>
      </c>
      <c r="C1262">
        <v>327156</v>
      </c>
      <c r="D1262" t="str">
        <f>"Sachs, Jeffrey"</f>
        <v>Sachs, Jeffrey</v>
      </c>
      <c r="F1262" t="str">
        <f>"xvi, 543 pages, 23 cm, illustrations (chiefly color), color maps"</f>
        <v>xvi, 543 pages, 23 cm, illustrations (chiefly color), color maps</v>
      </c>
      <c r="G1262" s="1">
        <v>15</v>
      </c>
      <c r="H1262">
        <v>2015</v>
      </c>
      <c r="I1262" t="str">
        <f t="shared" si="46"/>
        <v>9: 300 - 399</v>
      </c>
      <c r="K1262" t="str">
        <f t="shared" si="48"/>
        <v>WB - In</v>
      </c>
      <c r="L1262" s="1">
        <v>40</v>
      </c>
      <c r="M1262" t="s">
        <v>1193</v>
      </c>
      <c r="O1262" t="s">
        <v>28</v>
      </c>
      <c r="P1262">
        <v>1</v>
      </c>
      <c r="Q1262">
        <v>0</v>
      </c>
      <c r="R1262">
        <v>8</v>
      </c>
      <c r="S1262" s="2">
        <v>42124</v>
      </c>
      <c r="T1262" s="2">
        <v>42332</v>
      </c>
      <c r="U1262" s="2">
        <v>42944</v>
      </c>
    </row>
    <row r="1263" spans="1:22" x14ac:dyDescent="0.2">
      <c r="A1263" t="str">
        <f>"338.9 SMI"</f>
        <v>338.9 SMI</v>
      </c>
      <c r="B1263" t="str">
        <f>"great equalizer: how Main Street capital"</f>
        <v>great equalizer: how Main Street capital</v>
      </c>
      <c r="C1263">
        <v>339686</v>
      </c>
      <c r="D1263" t="str">
        <f>"Smick, David M"</f>
        <v>Smick, David M</v>
      </c>
      <c r="F1263" t="str">
        <f>"xxii, 232 pages, 25 cm"</f>
        <v>xxii, 232 pages, 25 cm</v>
      </c>
      <c r="G1263" s="1">
        <v>17</v>
      </c>
      <c r="H1263">
        <v>2017</v>
      </c>
      <c r="I1263" t="str">
        <f t="shared" si="46"/>
        <v>9: 300 - 399</v>
      </c>
      <c r="K1263" t="str">
        <f t="shared" si="48"/>
        <v>WB - In</v>
      </c>
      <c r="L1263" s="1">
        <v>33</v>
      </c>
      <c r="M1263" t="s">
        <v>1194</v>
      </c>
      <c r="O1263" t="s">
        <v>28</v>
      </c>
      <c r="P1263">
        <v>3</v>
      </c>
      <c r="Q1263">
        <v>0</v>
      </c>
      <c r="R1263">
        <v>3</v>
      </c>
      <c r="S1263" s="2">
        <v>42774</v>
      </c>
      <c r="T1263" s="2">
        <v>42935</v>
      </c>
      <c r="U1263" s="2">
        <v>42882</v>
      </c>
    </row>
    <row r="1264" spans="1:22" x14ac:dyDescent="0.2">
      <c r="A1264" t="str">
        <f>"338.9 SPE"</f>
        <v>338.9 SPE</v>
      </c>
      <c r="B1264" t="str">
        <f>"next convergence: the future of economic"</f>
        <v>next convergence: the future of economic</v>
      </c>
      <c r="C1264">
        <v>300424</v>
      </c>
      <c r="D1264" t="str">
        <f>"Spence, Michael,"</f>
        <v>Spence, Michael,</v>
      </c>
      <c r="F1264" t="str">
        <f>"296 p."</f>
        <v>296 p.</v>
      </c>
      <c r="G1264" s="1">
        <v>11</v>
      </c>
      <c r="H1264">
        <v>2011</v>
      </c>
      <c r="I1264" t="str">
        <f t="shared" si="46"/>
        <v>9: 300 - 399</v>
      </c>
      <c r="K1264" t="str">
        <f t="shared" si="48"/>
        <v>WB - In</v>
      </c>
      <c r="L1264" s="1">
        <v>32</v>
      </c>
      <c r="M1264" t="s">
        <v>1195</v>
      </c>
      <c r="O1264" t="s">
        <v>28</v>
      </c>
      <c r="P1264">
        <v>1</v>
      </c>
      <c r="Q1264">
        <v>0</v>
      </c>
      <c r="R1264">
        <v>15</v>
      </c>
      <c r="S1264" s="2">
        <v>40687</v>
      </c>
      <c r="T1264" s="2">
        <v>41060</v>
      </c>
      <c r="U1264" s="2">
        <v>42939</v>
      </c>
      <c r="V1264" s="2">
        <v>41312</v>
      </c>
    </row>
    <row r="1265" spans="1:22" x14ac:dyDescent="0.2">
      <c r="A1265" t="str">
        <f>"338.9 TEP"</f>
        <v>338.9 TEP</v>
      </c>
      <c r="B1265" t="str">
        <f>"fix: how countries use crises to solve t"</f>
        <v>fix: how countries use crises to solve t</v>
      </c>
      <c r="C1265">
        <v>346006</v>
      </c>
      <c r="D1265" t="str">
        <f>"Tepperman, Jonathan,"</f>
        <v>Tepperman, Jonathan,</v>
      </c>
      <c r="F1265" t="str">
        <f>"x, 307 pages, 21 cm"</f>
        <v>x, 307 pages, 21 cm</v>
      </c>
      <c r="G1265" s="1">
        <v>18</v>
      </c>
      <c r="H1265">
        <v>2017</v>
      </c>
      <c r="I1265" t="str">
        <f t="shared" si="46"/>
        <v>9: 300 - 399</v>
      </c>
      <c r="K1265" t="str">
        <f t="shared" si="48"/>
        <v>WB - In</v>
      </c>
      <c r="L1265" s="1">
        <v>21</v>
      </c>
      <c r="M1265" t="s">
        <v>1196</v>
      </c>
      <c r="O1265" t="s">
        <v>28</v>
      </c>
      <c r="P1265">
        <v>0</v>
      </c>
      <c r="Q1265">
        <v>0</v>
      </c>
      <c r="R1265">
        <v>0</v>
      </c>
      <c r="S1265" s="2">
        <v>43144</v>
      </c>
      <c r="T1265" s="2">
        <v>43147</v>
      </c>
    </row>
    <row r="1266" spans="1:22" x14ac:dyDescent="0.2">
      <c r="A1266" t="str">
        <f>"338.9 THI"</f>
        <v>338.9 THI</v>
      </c>
      <c r="B1266" t="str">
        <f>"Permissionless innovation: the continuin"</f>
        <v>Permissionless innovation: the continuin</v>
      </c>
      <c r="C1266">
        <v>336391</v>
      </c>
      <c r="D1266" t="str">
        <f>"Thierer, Adam D."</f>
        <v>Thierer, Adam D.</v>
      </c>
      <c r="F1266" t="str">
        <f>"204 p."</f>
        <v>204 p.</v>
      </c>
      <c r="G1266" s="1">
        <v>16</v>
      </c>
      <c r="H1266">
        <v>2016</v>
      </c>
      <c r="I1266" t="str">
        <f t="shared" si="46"/>
        <v>9: 300 - 399</v>
      </c>
      <c r="K1266" t="str">
        <f t="shared" si="48"/>
        <v>WB - In</v>
      </c>
      <c r="L1266" s="1">
        <v>20</v>
      </c>
      <c r="M1266" t="s">
        <v>1197</v>
      </c>
      <c r="O1266" t="s">
        <v>28</v>
      </c>
      <c r="P1266">
        <v>0</v>
      </c>
      <c r="Q1266">
        <v>1</v>
      </c>
      <c r="R1266">
        <v>2</v>
      </c>
      <c r="S1266" s="2">
        <v>42576</v>
      </c>
      <c r="T1266" s="2">
        <v>42587</v>
      </c>
      <c r="U1266" s="2">
        <v>42588</v>
      </c>
      <c r="V1266" s="2">
        <v>43577</v>
      </c>
    </row>
    <row r="1267" spans="1:22" x14ac:dyDescent="0.2">
      <c r="A1267" t="str">
        <f>"339 MON"</f>
        <v>339 MON</v>
      </c>
      <c r="B1267" t="str">
        <f>"Money and sustainability: the missing li"</f>
        <v>Money and sustainability: the missing li</v>
      </c>
      <c r="C1267">
        <v>260303</v>
      </c>
      <c r="F1267" t="str">
        <f>"211 p., 26 cm., col. ill."</f>
        <v>211 p., 26 cm., col. ill.</v>
      </c>
      <c r="G1267" s="1">
        <v>12</v>
      </c>
      <c r="H1267">
        <v>2012</v>
      </c>
      <c r="I1267" t="str">
        <f t="shared" si="46"/>
        <v>9: 300 - 399</v>
      </c>
      <c r="K1267" t="str">
        <f t="shared" si="48"/>
        <v>WB - In</v>
      </c>
      <c r="L1267" s="1">
        <v>30</v>
      </c>
      <c r="M1267" t="s">
        <v>1198</v>
      </c>
      <c r="O1267" t="s">
        <v>28</v>
      </c>
      <c r="P1267">
        <v>0</v>
      </c>
      <c r="Q1267">
        <v>0</v>
      </c>
      <c r="R1267">
        <v>2</v>
      </c>
      <c r="S1267" s="2">
        <v>41165</v>
      </c>
      <c r="T1267" s="2">
        <v>41170</v>
      </c>
      <c r="U1267" s="2">
        <v>41366</v>
      </c>
    </row>
    <row r="1268" spans="1:22" x14ac:dyDescent="0.2">
      <c r="A1268" t="str">
        <f>"339.2 CHR"</f>
        <v>339.2 CHR</v>
      </c>
      <c r="B1268" t="str">
        <f>"prosperity paradox: how innovations can "</f>
        <v xml:space="preserve">prosperity paradox: how innovations can </v>
      </c>
      <c r="C1268">
        <v>354921</v>
      </c>
      <c r="D1268" t="str">
        <f>"Christensen, Clayton M."</f>
        <v>Christensen, Clayton M.</v>
      </c>
      <c r="F1268" t="str">
        <f>"xviii, 344 pages, 24 cm, illustrations"</f>
        <v>xviii, 344 pages, 24 cm, illustrations</v>
      </c>
      <c r="G1268" s="1">
        <v>19</v>
      </c>
      <c r="H1268">
        <v>2019</v>
      </c>
      <c r="I1268" t="str">
        <f t="shared" si="46"/>
        <v>9: 300 - 399</v>
      </c>
      <c r="K1268" t="str">
        <f>"LL - In"</f>
        <v>LL - In</v>
      </c>
      <c r="L1268" s="1">
        <v>35</v>
      </c>
      <c r="M1268" t="s">
        <v>1199</v>
      </c>
      <c r="O1268" t="s">
        <v>28</v>
      </c>
      <c r="P1268">
        <v>5</v>
      </c>
      <c r="Q1268">
        <v>1</v>
      </c>
      <c r="R1268">
        <v>6</v>
      </c>
      <c r="S1268" s="2">
        <v>43606</v>
      </c>
      <c r="T1268" s="2">
        <v>43794</v>
      </c>
      <c r="U1268" s="2">
        <v>43789</v>
      </c>
      <c r="V1268" s="2">
        <v>43794</v>
      </c>
    </row>
    <row r="1269" spans="1:22" x14ac:dyDescent="0.2">
      <c r="A1269" t="str">
        <f>"339.2 DIM"</f>
        <v>339.2 DIM</v>
      </c>
      <c r="B1269" t="str">
        <f>"1% and the rest of us: a political econo"</f>
        <v>1% and the rest of us: a political econo</v>
      </c>
      <c r="C1269">
        <v>282662</v>
      </c>
      <c r="D1269" t="str">
        <f>"Di Muzio, Tim"</f>
        <v>Di Muzio, Tim</v>
      </c>
      <c r="F1269" t="str">
        <f>"248 p."</f>
        <v>248 p.</v>
      </c>
      <c r="G1269" s="1">
        <v>15</v>
      </c>
      <c r="H1269">
        <v>2015</v>
      </c>
      <c r="I1269" t="str">
        <f t="shared" si="46"/>
        <v>9: 300 - 399</v>
      </c>
      <c r="K1269" t="str">
        <f>"WB - In"</f>
        <v>WB - In</v>
      </c>
      <c r="L1269" s="1">
        <v>30</v>
      </c>
      <c r="M1269" t="s">
        <v>1200</v>
      </c>
      <c r="O1269" t="s">
        <v>28</v>
      </c>
      <c r="P1269">
        <v>1</v>
      </c>
      <c r="Q1269">
        <v>1</v>
      </c>
      <c r="R1269">
        <v>7</v>
      </c>
      <c r="S1269" s="2">
        <v>42250</v>
      </c>
      <c r="T1269" s="2">
        <v>42486</v>
      </c>
      <c r="U1269" s="2">
        <v>42784</v>
      </c>
      <c r="V1269" s="2">
        <v>43155</v>
      </c>
    </row>
    <row r="1270" spans="1:22" x14ac:dyDescent="0.2">
      <c r="A1270" t="str">
        <f>"339.2 GAR"</f>
        <v>339.2 GAR</v>
      </c>
      <c r="B1270" t="str">
        <f>"Down the up escalator: how the 99 percen"</f>
        <v>Down the up escalator: how the 99 percen</v>
      </c>
      <c r="C1270">
        <v>313777</v>
      </c>
      <c r="D1270" t="str">
        <f>"Garson, Barbara."</f>
        <v>Garson, Barbara.</v>
      </c>
      <c r="F1270" t="str">
        <f>"271 p., 25 cm."</f>
        <v>271 p., 25 cm.</v>
      </c>
      <c r="G1270" s="1">
        <v>13</v>
      </c>
      <c r="H1270">
        <v>2013</v>
      </c>
      <c r="I1270" t="str">
        <f t="shared" si="46"/>
        <v>9: 300 - 399</v>
      </c>
      <c r="K1270" t="str">
        <f>"WB - In"</f>
        <v>WB - In</v>
      </c>
      <c r="L1270" s="1">
        <v>32</v>
      </c>
      <c r="M1270" t="s">
        <v>1201</v>
      </c>
      <c r="O1270" t="s">
        <v>28</v>
      </c>
      <c r="P1270">
        <v>1</v>
      </c>
      <c r="Q1270">
        <v>0</v>
      </c>
      <c r="R1270">
        <v>9</v>
      </c>
      <c r="S1270" s="2">
        <v>41395</v>
      </c>
      <c r="T1270" s="2">
        <v>41605</v>
      </c>
      <c r="U1270" s="2">
        <v>42882</v>
      </c>
      <c r="V1270" s="2">
        <v>41584</v>
      </c>
    </row>
    <row r="1271" spans="1:22" x14ac:dyDescent="0.2">
      <c r="A1271" t="str">
        <f>"339.2 KRU"</f>
        <v>339.2 KRU</v>
      </c>
      <c r="B1271" t="str">
        <f>"conscience of a liberal"</f>
        <v>conscience of a liberal</v>
      </c>
      <c r="C1271">
        <v>330307</v>
      </c>
      <c r="D1271" t="str">
        <f>"Krugman, Paul R."</f>
        <v>Krugman, Paul R.</v>
      </c>
      <c r="F1271" t="str">
        <f>"viii, 296 p., 25 cm"</f>
        <v>viii, 296 p., 25 cm</v>
      </c>
      <c r="G1271" s="1">
        <v>15</v>
      </c>
      <c r="H1271">
        <v>2009</v>
      </c>
      <c r="I1271" t="str">
        <f t="shared" si="46"/>
        <v>9: 300 - 399</v>
      </c>
      <c r="K1271" t="str">
        <f>"WB - In"</f>
        <v>WB - In</v>
      </c>
      <c r="L1271" s="1">
        <v>21</v>
      </c>
      <c r="M1271" t="s">
        <v>1202</v>
      </c>
      <c r="O1271" t="s">
        <v>28</v>
      </c>
      <c r="P1271">
        <v>4</v>
      </c>
      <c r="Q1271">
        <v>0</v>
      </c>
      <c r="R1271">
        <v>4</v>
      </c>
      <c r="S1271" s="2">
        <v>42276</v>
      </c>
      <c r="T1271" s="2">
        <v>42286</v>
      </c>
      <c r="U1271" s="2">
        <v>42905</v>
      </c>
    </row>
    <row r="1272" spans="1:22" x14ac:dyDescent="0.2">
      <c r="A1272" t="str">
        <f>"339.4 DES"</f>
        <v>339.4 DES</v>
      </c>
      <c r="B1272" t="str">
        <f>"Evicted: poverty and profit in the Ameri"</f>
        <v>Evicted: poverty and profit in the Ameri</v>
      </c>
      <c r="C1272">
        <v>333802</v>
      </c>
      <c r="D1272" t="str">
        <f>"Desmond, Matthew"</f>
        <v>Desmond, Matthew</v>
      </c>
      <c r="F1272" t="str">
        <f>"x, 418 pages, 25 cm"</f>
        <v>x, 418 pages, 25 cm</v>
      </c>
      <c r="G1272" s="1">
        <v>16</v>
      </c>
      <c r="H1272">
        <v>2016</v>
      </c>
      <c r="I1272" t="str">
        <f t="shared" si="46"/>
        <v>9: 300 - 399</v>
      </c>
      <c r="K1272" t="str">
        <f>"WB - Out"</f>
        <v>WB - Out</v>
      </c>
      <c r="L1272" s="1">
        <v>33</v>
      </c>
      <c r="M1272" t="s">
        <v>1203</v>
      </c>
      <c r="O1272" t="s">
        <v>28</v>
      </c>
      <c r="P1272">
        <v>28</v>
      </c>
      <c r="Q1272">
        <v>0</v>
      </c>
      <c r="R1272">
        <v>41</v>
      </c>
      <c r="S1272" s="2">
        <v>42443</v>
      </c>
      <c r="T1272" s="2">
        <v>42588</v>
      </c>
      <c r="U1272" s="2">
        <v>43859</v>
      </c>
    </row>
    <row r="1273" spans="1:22" x14ac:dyDescent="0.2">
      <c r="A1273" t="str">
        <f>"339.4 EDI"</f>
        <v>339.4 EDI</v>
      </c>
      <c r="B1273" t="str">
        <f>"$2.00 a day: living on almost nothing in"</f>
        <v>$2.00 a day: living on almost nothing in</v>
      </c>
      <c r="C1273">
        <v>335758</v>
      </c>
      <c r="D1273" t="str">
        <f>"Edin, Kathryn,"</f>
        <v>Edin, Kathryn,</v>
      </c>
      <c r="F1273" t="str">
        <f>"xxiv, 210 pages, 24 cm"</f>
        <v>xxiv, 210 pages, 24 cm</v>
      </c>
      <c r="G1273" s="1">
        <v>16</v>
      </c>
      <c r="H1273">
        <v>2015</v>
      </c>
      <c r="I1273" t="str">
        <f t="shared" si="46"/>
        <v>9: 300 - 399</v>
      </c>
      <c r="K1273" t="str">
        <f>"WB - In"</f>
        <v>WB - In</v>
      </c>
      <c r="L1273" s="1">
        <v>33</v>
      </c>
      <c r="M1273" t="s">
        <v>1204</v>
      </c>
      <c r="O1273" t="s">
        <v>28</v>
      </c>
      <c r="P1273">
        <v>3</v>
      </c>
      <c r="Q1273">
        <v>0</v>
      </c>
      <c r="R1273">
        <v>17</v>
      </c>
      <c r="S1273" s="2">
        <v>42541</v>
      </c>
      <c r="T1273" s="2">
        <v>42781</v>
      </c>
      <c r="U1273" s="2">
        <v>43553</v>
      </c>
    </row>
    <row r="1274" spans="1:22" x14ac:dyDescent="0.2">
      <c r="A1274" t="str">
        <f>"339.4 GOR"</f>
        <v>339.4 GOR</v>
      </c>
      <c r="B1274" t="str">
        <f>"rise and fall of American growth: the U."</f>
        <v>rise and fall of American growth: the U.</v>
      </c>
      <c r="C1274">
        <v>333690</v>
      </c>
      <c r="D1274" t="str">
        <f>"Gordon, Robert J."</f>
        <v>Gordon, Robert J.</v>
      </c>
      <c r="F1274" t="str">
        <f>"xii, 762 pages, 25 cm, illustrations"</f>
        <v>xii, 762 pages, 25 cm, illustrations</v>
      </c>
      <c r="G1274" s="1">
        <v>16</v>
      </c>
      <c r="H1274">
        <v>2016</v>
      </c>
      <c r="I1274" t="str">
        <f t="shared" si="46"/>
        <v>9: 300 - 399</v>
      </c>
      <c r="K1274" t="str">
        <f>"LL - In"</f>
        <v>LL - In</v>
      </c>
      <c r="L1274" s="1">
        <v>45</v>
      </c>
      <c r="M1274" t="s">
        <v>1205</v>
      </c>
      <c r="O1274" t="s">
        <v>28</v>
      </c>
      <c r="P1274">
        <v>3</v>
      </c>
      <c r="Q1274">
        <v>0</v>
      </c>
      <c r="R1274">
        <v>16</v>
      </c>
      <c r="S1274" s="2">
        <v>42437</v>
      </c>
      <c r="T1274" s="2">
        <v>42655</v>
      </c>
      <c r="U1274" s="2">
        <v>43839</v>
      </c>
      <c r="V1274" s="2">
        <v>42649</v>
      </c>
    </row>
    <row r="1275" spans="1:22" x14ac:dyDescent="0.2">
      <c r="A1275" t="str">
        <f>"339.4 MIL"</f>
        <v>339.4 MIL</v>
      </c>
      <c r="B1275" t="str">
        <f>"alternative: most of what you believe ab"</f>
        <v>alternative: most of what you believe ab</v>
      </c>
      <c r="C1275">
        <v>400912</v>
      </c>
      <c r="D1275" t="str">
        <f>"Miller, Mauricio L."</f>
        <v>Miller, Mauricio L.</v>
      </c>
      <c r="F1275" t="str">
        <f>"197 p."</f>
        <v>197 p.</v>
      </c>
      <c r="G1275" s="1">
        <v>18</v>
      </c>
      <c r="H1275">
        <v>2017</v>
      </c>
      <c r="I1275" t="str">
        <f t="shared" si="46"/>
        <v>9: 300 - 399</v>
      </c>
      <c r="K1275" t="str">
        <f>"WB - In"</f>
        <v>WB - In</v>
      </c>
      <c r="L1275" s="1">
        <v>39</v>
      </c>
      <c r="M1275" t="s">
        <v>1206</v>
      </c>
      <c r="O1275" t="s">
        <v>28</v>
      </c>
      <c r="P1275">
        <v>3</v>
      </c>
      <c r="Q1275">
        <v>1</v>
      </c>
      <c r="R1275">
        <v>4</v>
      </c>
      <c r="S1275" s="2">
        <v>43269</v>
      </c>
      <c r="T1275" s="2">
        <v>43432</v>
      </c>
      <c r="U1275" s="2">
        <v>43388</v>
      </c>
      <c r="V1275" s="2">
        <v>43430</v>
      </c>
    </row>
    <row r="1276" spans="1:22" x14ac:dyDescent="0.2">
      <c r="A1276" t="str">
        <f>"339.4 NOV"</f>
        <v>339.4 NOV</v>
      </c>
      <c r="B1276" t="str">
        <f>"blue sweater: bridging the gap between r"</f>
        <v>blue sweater: bridging the gap between r</v>
      </c>
      <c r="C1276">
        <v>322229</v>
      </c>
      <c r="D1276" t="str">
        <f>"Novogratz, Jacqueline."</f>
        <v>Novogratz, Jacqueline.</v>
      </c>
      <c r="F1276" t="str">
        <f>"xiv, 306 p., 22 cm"</f>
        <v>xiv, 306 p., 22 cm</v>
      </c>
      <c r="G1276" s="1">
        <v>14</v>
      </c>
      <c r="H1276">
        <v>2009</v>
      </c>
      <c r="I1276" t="str">
        <f t="shared" si="46"/>
        <v>9: 300 - 399</v>
      </c>
      <c r="K1276" t="str">
        <f>"WB - In"</f>
        <v>WB - In</v>
      </c>
      <c r="L1276" s="1">
        <v>21</v>
      </c>
      <c r="M1276" t="s">
        <v>1207</v>
      </c>
      <c r="O1276" t="s">
        <v>28</v>
      </c>
      <c r="P1276">
        <v>4</v>
      </c>
      <c r="Q1276">
        <v>1</v>
      </c>
      <c r="R1276">
        <v>9</v>
      </c>
      <c r="S1276" s="2">
        <v>41821</v>
      </c>
      <c r="T1276" s="2">
        <v>41828</v>
      </c>
      <c r="U1276" s="2">
        <v>43613</v>
      </c>
      <c r="V1276" s="2">
        <v>43553</v>
      </c>
    </row>
    <row r="1277" spans="1:22" x14ac:dyDescent="0.2">
      <c r="A1277" t="str">
        <f>"339.4 NOV"</f>
        <v>339.4 NOV</v>
      </c>
      <c r="B1277" t="str">
        <f>"blue sweater: bridging the gap between r"</f>
        <v>blue sweater: bridging the gap between r</v>
      </c>
      <c r="C1277">
        <v>356723</v>
      </c>
      <c r="D1277" t="str">
        <f>"Novogratz, Jacqueline."</f>
        <v>Novogratz, Jacqueline.</v>
      </c>
      <c r="F1277" t="str">
        <f>"xiv, 306 p., 22 cm"</f>
        <v>xiv, 306 p., 22 cm</v>
      </c>
      <c r="G1277" s="1">
        <v>19</v>
      </c>
      <c r="H1277">
        <v>2009</v>
      </c>
      <c r="I1277" t="str">
        <f t="shared" si="46"/>
        <v>9: 300 - 399</v>
      </c>
      <c r="K1277" t="str">
        <f>"WB - In"</f>
        <v>WB - In</v>
      </c>
      <c r="L1277" s="1">
        <v>21</v>
      </c>
      <c r="M1277" t="s">
        <v>1207</v>
      </c>
      <c r="O1277" t="s">
        <v>28</v>
      </c>
      <c r="P1277">
        <v>0</v>
      </c>
      <c r="Q1277">
        <v>1</v>
      </c>
      <c r="R1277">
        <v>1</v>
      </c>
      <c r="S1277" s="2">
        <v>43683</v>
      </c>
      <c r="T1277" s="2">
        <v>43684</v>
      </c>
      <c r="V1277" s="2">
        <v>43711</v>
      </c>
    </row>
    <row r="1278" spans="1:22" x14ac:dyDescent="0.2">
      <c r="A1278" t="str">
        <f>"339.4 SHA"</f>
        <v>339.4 SHA</v>
      </c>
      <c r="B1278" t="str">
        <f>"Toxic inequality: the true costs of pove"</f>
        <v>Toxic inequality: the true costs of pove</v>
      </c>
      <c r="C1278">
        <v>341377</v>
      </c>
      <c r="D1278" t="str">
        <f>"Shapiro, Thomas M."</f>
        <v>Shapiro, Thomas M.</v>
      </c>
      <c r="F1278" t="str">
        <f>"pages cm"</f>
        <v>pages cm</v>
      </c>
      <c r="G1278" s="1">
        <v>17</v>
      </c>
      <c r="H1278">
        <v>2017</v>
      </c>
      <c r="I1278" t="str">
        <f t="shared" si="46"/>
        <v>9: 300 - 399</v>
      </c>
      <c r="K1278" t="str">
        <f>"LL - In"</f>
        <v>LL - In</v>
      </c>
      <c r="L1278" s="1">
        <v>33</v>
      </c>
      <c r="M1278" t="s">
        <v>1208</v>
      </c>
      <c r="O1278" t="s">
        <v>28</v>
      </c>
      <c r="P1278">
        <v>8</v>
      </c>
      <c r="Q1278">
        <v>0</v>
      </c>
      <c r="R1278">
        <v>8</v>
      </c>
      <c r="S1278" s="2">
        <v>42873</v>
      </c>
      <c r="T1278" s="2">
        <v>43045</v>
      </c>
      <c r="U1278" s="2">
        <v>43552</v>
      </c>
    </row>
    <row r="1279" spans="1:22" x14ac:dyDescent="0.2">
      <c r="A1279" t="str">
        <f>"339.5 KUT"</f>
        <v>339.5 KUT</v>
      </c>
      <c r="B1279" t="str">
        <f>"Debtors' prison: the politics of austeri"</f>
        <v>Debtors' prison: the politics of austeri</v>
      </c>
      <c r="C1279">
        <v>313935</v>
      </c>
      <c r="D1279" t="str">
        <f>"Kuttner, Robert"</f>
        <v>Kuttner, Robert</v>
      </c>
      <c r="F1279" t="str">
        <f>"331 p."</f>
        <v>331 p.</v>
      </c>
      <c r="G1279" s="1">
        <v>13</v>
      </c>
      <c r="H1279">
        <v>2013</v>
      </c>
      <c r="I1279" t="str">
        <f t="shared" si="46"/>
        <v>9: 300 - 399</v>
      </c>
      <c r="K1279" t="str">
        <f>"WB - In"</f>
        <v>WB - In</v>
      </c>
      <c r="L1279" s="1">
        <v>32</v>
      </c>
      <c r="M1279" t="s">
        <v>1209</v>
      </c>
      <c r="O1279" t="s">
        <v>28</v>
      </c>
      <c r="P1279">
        <v>1</v>
      </c>
      <c r="Q1279">
        <v>1</v>
      </c>
      <c r="R1279">
        <v>12</v>
      </c>
      <c r="S1279" s="2">
        <v>41404</v>
      </c>
      <c r="T1279" s="2">
        <v>41654</v>
      </c>
      <c r="U1279" s="2">
        <v>43270</v>
      </c>
      <c r="V1279" s="2">
        <v>42883</v>
      </c>
    </row>
    <row r="1280" spans="1:22" x14ac:dyDescent="0.2">
      <c r="A1280" t="str">
        <f>"340 FOO"</f>
        <v>340 FOO</v>
      </c>
      <c r="B1280" t="str">
        <f>"How to start and build a law practice"</f>
        <v>How to start and build a law practice</v>
      </c>
      <c r="C1280">
        <v>329891</v>
      </c>
      <c r="D1280" t="str">
        <f>"Foonberg, Jay G.,"</f>
        <v>Foonberg, Jay G.,</v>
      </c>
      <c r="F1280" t="str">
        <f>"xxxiii, 663 p., 23 cm, ill., forms"</f>
        <v>xxxiii, 663 p., 23 cm, ill., forms</v>
      </c>
      <c r="G1280" s="1">
        <v>15</v>
      </c>
      <c r="H1280">
        <v>2004</v>
      </c>
      <c r="I1280" t="str">
        <f t="shared" si="46"/>
        <v>9: 300 - 399</v>
      </c>
      <c r="K1280" t="str">
        <f>"WB - In"</f>
        <v>WB - In</v>
      </c>
      <c r="L1280" s="1">
        <v>75</v>
      </c>
      <c r="M1280" t="s">
        <v>1210</v>
      </c>
      <c r="O1280" t="s">
        <v>28</v>
      </c>
      <c r="P1280">
        <v>1</v>
      </c>
      <c r="Q1280">
        <v>1</v>
      </c>
      <c r="R1280">
        <v>4</v>
      </c>
      <c r="S1280" s="2">
        <v>42255</v>
      </c>
      <c r="T1280" s="2">
        <v>42258</v>
      </c>
      <c r="U1280" s="2">
        <v>43471</v>
      </c>
      <c r="V1280" s="2">
        <v>42774</v>
      </c>
    </row>
    <row r="1281" spans="1:22" x14ac:dyDescent="0.2">
      <c r="A1281" t="str">
        <f>"340 FRI"</f>
        <v>340 FRI</v>
      </c>
      <c r="B1281" t="str">
        <f>"Open book: succeeding on exams from the "</f>
        <v xml:space="preserve">Open book: succeeding on exams from the </v>
      </c>
      <c r="C1281">
        <v>321049</v>
      </c>
      <c r="D1281" t="str">
        <f>"Friedman, Barry,"</f>
        <v>Friedman, Barry,</v>
      </c>
      <c r="F1281" t="str">
        <f>"xix, 180 p., 26 cm, ill."</f>
        <v>xix, 180 p., 26 cm, ill.</v>
      </c>
      <c r="G1281" s="1">
        <v>14</v>
      </c>
      <c r="H1281">
        <v>2011</v>
      </c>
      <c r="I1281" t="str">
        <f t="shared" si="46"/>
        <v>9: 300 - 399</v>
      </c>
      <c r="K1281" t="str">
        <f>"WB - In"</f>
        <v>WB - In</v>
      </c>
      <c r="L1281" s="1">
        <v>38</v>
      </c>
      <c r="M1281" t="s">
        <v>1211</v>
      </c>
      <c r="O1281" t="s">
        <v>28</v>
      </c>
      <c r="P1281">
        <v>2</v>
      </c>
      <c r="Q1281">
        <v>0</v>
      </c>
      <c r="R1281">
        <v>4</v>
      </c>
      <c r="S1281" s="2">
        <v>41758</v>
      </c>
      <c r="T1281" s="2">
        <v>41760</v>
      </c>
      <c r="U1281" s="2">
        <v>43136</v>
      </c>
      <c r="V1281" s="2">
        <v>42478</v>
      </c>
    </row>
    <row r="1282" spans="1:22" x14ac:dyDescent="0.2">
      <c r="A1282" t="str">
        <f>"341.4 FAB"</f>
        <v>341.4 FAB</v>
      </c>
      <c r="B1282" t="str">
        <f>"Crashback: the power clash between the U"</f>
        <v>Crashback: the power clash between the U</v>
      </c>
      <c r="C1282">
        <v>345309</v>
      </c>
      <c r="D1282" t="str">
        <f>"Fabey, Michael"</f>
        <v>Fabey, Michael</v>
      </c>
      <c r="F1282" t="str">
        <f>"xiii, 305 pages, 24 cm, color illustrations, map"</f>
        <v>xiii, 305 pages, 24 cm, color illustrations, map</v>
      </c>
      <c r="G1282" s="1">
        <v>17</v>
      </c>
      <c r="H1282">
        <v>2017</v>
      </c>
      <c r="I1282" t="str">
        <f t="shared" si="46"/>
        <v>9: 300 - 399</v>
      </c>
      <c r="K1282" t="str">
        <f>"LL - In"</f>
        <v>LL - In</v>
      </c>
      <c r="L1282" s="1">
        <v>32</v>
      </c>
      <c r="M1282" t="s">
        <v>1212</v>
      </c>
      <c r="O1282" t="s">
        <v>28</v>
      </c>
      <c r="P1282">
        <v>5</v>
      </c>
      <c r="Q1282">
        <v>0</v>
      </c>
      <c r="R1282">
        <v>5</v>
      </c>
      <c r="S1282" s="2">
        <v>43097</v>
      </c>
      <c r="T1282" s="2">
        <v>43287</v>
      </c>
      <c r="U1282" s="2">
        <v>43251</v>
      </c>
    </row>
    <row r="1283" spans="1:22" x14ac:dyDescent="0.2">
      <c r="A1283" t="str">
        <f>"342 CON"</f>
        <v>342 CON</v>
      </c>
      <c r="B1283" t="str">
        <f>"Constitution 3.0: freedom and technologi"</f>
        <v>Constitution 3.0: freedom and technologi</v>
      </c>
      <c r="C1283">
        <v>253881</v>
      </c>
      <c r="F1283" t="str">
        <f>"viii, 271 p., 24 cm., ill."</f>
        <v>viii, 271 p., 24 cm., ill.</v>
      </c>
      <c r="G1283" s="1">
        <v>12</v>
      </c>
      <c r="H1283">
        <v>2011</v>
      </c>
      <c r="I1283" t="str">
        <f t="shared" si="46"/>
        <v>9: 300 - 399</v>
      </c>
      <c r="K1283" t="str">
        <f>"WB - In"</f>
        <v>WB - In</v>
      </c>
      <c r="L1283" s="1">
        <v>35</v>
      </c>
      <c r="M1283" t="s">
        <v>1213</v>
      </c>
      <c r="O1283" t="s">
        <v>28</v>
      </c>
      <c r="P1283">
        <v>2</v>
      </c>
      <c r="Q1283">
        <v>0</v>
      </c>
      <c r="R1283">
        <v>9</v>
      </c>
      <c r="S1283" s="2">
        <v>40913</v>
      </c>
      <c r="T1283" s="2">
        <v>41053</v>
      </c>
      <c r="U1283" s="2">
        <v>43378</v>
      </c>
    </row>
    <row r="1284" spans="1:22" x14ac:dyDescent="0.2">
      <c r="A1284" t="str">
        <f>"342.73 ABR"</f>
        <v>342.73 ABR</v>
      </c>
      <c r="B1284" t="str">
        <f>"soul of the First Amendment"</f>
        <v>soul of the First Amendment</v>
      </c>
      <c r="C1284">
        <v>342316</v>
      </c>
      <c r="D1284" t="str">
        <f>"Abrams, Floyd"</f>
        <v>Abrams, Floyd</v>
      </c>
      <c r="F1284" t="str">
        <f>"xxiii, 145 pages, 22 cm"</f>
        <v>xxiii, 145 pages, 22 cm</v>
      </c>
      <c r="G1284" s="1">
        <v>17</v>
      </c>
      <c r="H1284">
        <v>2017</v>
      </c>
      <c r="I1284" t="str">
        <f t="shared" si="46"/>
        <v>9: 300 - 399</v>
      </c>
      <c r="K1284" t="str">
        <f>"LL - In"</f>
        <v>LL - In</v>
      </c>
      <c r="L1284" s="1">
        <v>31</v>
      </c>
      <c r="M1284" t="s">
        <v>1214</v>
      </c>
      <c r="O1284" t="s">
        <v>28</v>
      </c>
      <c r="P1284">
        <v>6</v>
      </c>
      <c r="Q1284">
        <v>0</v>
      </c>
      <c r="R1284">
        <v>6</v>
      </c>
      <c r="S1284" s="2">
        <v>42919</v>
      </c>
      <c r="T1284" s="2">
        <v>43102</v>
      </c>
      <c r="U1284" s="2">
        <v>43742</v>
      </c>
    </row>
    <row r="1285" spans="1:22" x14ac:dyDescent="0.2">
      <c r="A1285" t="str">
        <f>"342.73 AMA"</f>
        <v>342.73 AMA</v>
      </c>
      <c r="B1285" t="str">
        <f>"America's unwritten constitution: the pr"</f>
        <v>America's unwritten constitution: the pr</v>
      </c>
      <c r="C1285">
        <v>309505</v>
      </c>
      <c r="D1285" t="str">
        <f>"Amar, Akhil Reed"</f>
        <v>Amar, Akhil Reed</v>
      </c>
      <c r="F1285" t="str">
        <f>"xvi, 615 p., 25 cm."</f>
        <v>xvi, 615 p., 25 cm.</v>
      </c>
      <c r="G1285" s="1">
        <v>12</v>
      </c>
      <c r="H1285">
        <v>2012</v>
      </c>
      <c r="I1285" t="str">
        <f t="shared" si="46"/>
        <v>9: 300 - 399</v>
      </c>
      <c r="K1285" t="str">
        <f>"WB - In"</f>
        <v>WB - In</v>
      </c>
      <c r="L1285" s="1">
        <v>35</v>
      </c>
      <c r="M1285" t="s">
        <v>1215</v>
      </c>
      <c r="O1285" t="s">
        <v>28</v>
      </c>
      <c r="P1285">
        <v>2</v>
      </c>
      <c r="Q1285">
        <v>0</v>
      </c>
      <c r="R1285">
        <v>8</v>
      </c>
      <c r="S1285" s="2">
        <v>41164</v>
      </c>
      <c r="T1285" s="2">
        <v>41240</v>
      </c>
      <c r="U1285" s="2">
        <v>43378</v>
      </c>
      <c r="V1285" s="2">
        <v>42437</v>
      </c>
    </row>
    <row r="1286" spans="1:22" x14ac:dyDescent="0.2">
      <c r="A1286" t="str">
        <f>"342.73 AMA"</f>
        <v>342.73 AMA</v>
      </c>
      <c r="B1286" t="str">
        <f>"constitution today: timeless lessons for"</f>
        <v>constitution today: timeless lessons for</v>
      </c>
      <c r="C1286">
        <v>337550</v>
      </c>
      <c r="D1286" t="str">
        <f>"Amar, Akhil Reed"</f>
        <v>Amar, Akhil Reed</v>
      </c>
      <c r="F1286" t="str">
        <f>"454 p."</f>
        <v>454 p.</v>
      </c>
      <c r="G1286" s="1">
        <v>16</v>
      </c>
      <c r="H1286">
        <v>2016</v>
      </c>
      <c r="I1286" t="str">
        <f t="shared" si="46"/>
        <v>9: 300 - 399</v>
      </c>
      <c r="K1286" t="str">
        <f>"WB - In"</f>
        <v>WB - In</v>
      </c>
      <c r="L1286" s="1">
        <v>35</v>
      </c>
      <c r="M1286" t="s">
        <v>1216</v>
      </c>
      <c r="O1286" t="s">
        <v>28</v>
      </c>
      <c r="P1286">
        <v>2</v>
      </c>
      <c r="Q1286">
        <v>0</v>
      </c>
      <c r="R1286">
        <v>6</v>
      </c>
      <c r="S1286" s="2">
        <v>42639</v>
      </c>
      <c r="T1286" s="2">
        <v>42823</v>
      </c>
      <c r="U1286" s="2">
        <v>42902</v>
      </c>
    </row>
    <row r="1287" spans="1:22" x14ac:dyDescent="0.2">
      <c r="A1287" t="str">
        <f>"342.73 AMA"</f>
        <v>342.73 AMA</v>
      </c>
      <c r="B1287" t="str">
        <f>"law of the land: a grand tour of our con"</f>
        <v>law of the land: a grand tour of our con</v>
      </c>
      <c r="C1287">
        <v>327490</v>
      </c>
      <c r="D1287" t="str">
        <f>"Amar, Akhil Reed"</f>
        <v>Amar, Akhil Reed</v>
      </c>
      <c r="F1287" t="str">
        <f>"xii, 357 pages, 25 cm"</f>
        <v>xii, 357 pages, 25 cm</v>
      </c>
      <c r="G1287" s="1">
        <v>15</v>
      </c>
      <c r="H1287">
        <v>2015</v>
      </c>
      <c r="I1287" t="str">
        <f t="shared" si="46"/>
        <v>9: 300 - 399</v>
      </c>
      <c r="K1287" t="str">
        <f>"WB - Out"</f>
        <v>WB - Out</v>
      </c>
      <c r="L1287" s="1">
        <v>35</v>
      </c>
      <c r="M1287" t="s">
        <v>1217</v>
      </c>
      <c r="O1287" t="s">
        <v>28</v>
      </c>
      <c r="P1287">
        <v>3</v>
      </c>
      <c r="Q1287">
        <v>0</v>
      </c>
      <c r="R1287">
        <v>13</v>
      </c>
      <c r="S1287" s="2">
        <v>42150</v>
      </c>
      <c r="T1287" s="2">
        <v>42341</v>
      </c>
      <c r="U1287" s="2">
        <v>43839</v>
      </c>
      <c r="V1287" s="2">
        <v>42437</v>
      </c>
    </row>
    <row r="1288" spans="1:22" x14ac:dyDescent="0.2">
      <c r="A1288" t="str">
        <f>"342.73 BRE"</f>
        <v>342.73 BRE</v>
      </c>
      <c r="B1288" t="str">
        <f>"oath and the office: a guide to the Cons"</f>
        <v>oath and the office: a guide to the Cons</v>
      </c>
      <c r="C1288">
        <v>350316</v>
      </c>
      <c r="D1288" t="str">
        <f>"Brettschneider, Corey Lang"</f>
        <v>Brettschneider, Corey Lang</v>
      </c>
      <c r="F1288" t="str">
        <f>"xxvi, 289 pages, 22 cm"</f>
        <v>xxvi, 289 pages, 22 cm</v>
      </c>
      <c r="G1288" s="1">
        <v>18</v>
      </c>
      <c r="H1288">
        <v>2018</v>
      </c>
      <c r="I1288" t="str">
        <f t="shared" ref="I1288:I1351" si="49">"9: 300 - 399"</f>
        <v>9: 300 - 399</v>
      </c>
      <c r="K1288" t="str">
        <f>"WB - In"</f>
        <v>WB - In</v>
      </c>
      <c r="L1288" s="1">
        <v>28</v>
      </c>
      <c r="M1288" t="s">
        <v>1218</v>
      </c>
      <c r="O1288" t="s">
        <v>28</v>
      </c>
      <c r="P1288">
        <v>2</v>
      </c>
      <c r="Q1288">
        <v>0</v>
      </c>
      <c r="R1288">
        <v>2</v>
      </c>
      <c r="S1288" s="2">
        <v>43375</v>
      </c>
      <c r="T1288" s="2">
        <v>43537</v>
      </c>
      <c r="U1288" s="2">
        <v>43483</v>
      </c>
    </row>
    <row r="1289" spans="1:22" x14ac:dyDescent="0.2">
      <c r="A1289" t="str">
        <f>"342.73 BRY"</f>
        <v>342.73 BRY</v>
      </c>
      <c r="B1289" t="str">
        <f>"Dark places of the earth: the voyage of "</f>
        <v xml:space="preserve">Dark places of the earth: the voyage of </v>
      </c>
      <c r="C1289">
        <v>328911</v>
      </c>
      <c r="D1289" t="str">
        <f>"Bryant, Jonathan M."</f>
        <v>Bryant, Jonathan M.</v>
      </c>
      <c r="F1289" t="str">
        <f>"xx, 376 pages, 25 cm, illustrations"</f>
        <v>xx, 376 pages, 25 cm, illustrations</v>
      </c>
      <c r="G1289" s="1">
        <v>15</v>
      </c>
      <c r="H1289">
        <v>2015</v>
      </c>
      <c r="I1289" t="str">
        <f t="shared" si="49"/>
        <v>9: 300 - 399</v>
      </c>
      <c r="K1289" t="str">
        <f>"LL - In"</f>
        <v>LL - In</v>
      </c>
      <c r="L1289" s="1">
        <v>34</v>
      </c>
      <c r="M1289" t="s">
        <v>1219</v>
      </c>
      <c r="O1289" t="s">
        <v>28</v>
      </c>
      <c r="P1289">
        <v>0</v>
      </c>
      <c r="Q1289">
        <v>0</v>
      </c>
      <c r="R1289">
        <v>7</v>
      </c>
      <c r="S1289" s="2">
        <v>42212</v>
      </c>
      <c r="T1289" s="2">
        <v>42375</v>
      </c>
      <c r="U1289" s="2">
        <v>42619</v>
      </c>
      <c r="V1289" s="2">
        <v>42674</v>
      </c>
    </row>
    <row r="1290" spans="1:22" x14ac:dyDescent="0.2">
      <c r="A1290" t="str">
        <f>"342.73 CHA"</f>
        <v>342.73 CHA</v>
      </c>
      <c r="B1290" t="str">
        <f>"Congress's Constitution: legislative aut"</f>
        <v>Congress's Constitution: legislative aut</v>
      </c>
      <c r="C1290">
        <v>296627</v>
      </c>
      <c r="D1290" t="str">
        <f>"Chafetz, Joshua A."</f>
        <v>Chafetz, Joshua A.</v>
      </c>
      <c r="F1290" t="str">
        <f>"x, 438 pages, 25 cm"</f>
        <v>x, 438 pages, 25 cm</v>
      </c>
      <c r="G1290" s="1">
        <v>17</v>
      </c>
      <c r="H1290">
        <v>2017</v>
      </c>
      <c r="I1290" t="str">
        <f t="shared" si="49"/>
        <v>9: 300 - 399</v>
      </c>
      <c r="K1290" t="str">
        <f>"LL - In"</f>
        <v>LL - In</v>
      </c>
      <c r="L1290" s="1">
        <v>50</v>
      </c>
      <c r="M1290" t="s">
        <v>1220</v>
      </c>
      <c r="O1290" t="s">
        <v>28</v>
      </c>
      <c r="P1290">
        <v>1</v>
      </c>
      <c r="Q1290">
        <v>0</v>
      </c>
      <c r="R1290">
        <v>1</v>
      </c>
      <c r="S1290" s="2">
        <v>42971</v>
      </c>
      <c r="T1290" s="2">
        <v>43124</v>
      </c>
      <c r="U1290" s="2">
        <v>42977</v>
      </c>
    </row>
    <row r="1291" spans="1:22" x14ac:dyDescent="0.2">
      <c r="A1291" t="str">
        <f>"342.73 ELL"</f>
        <v>342.73 ELL</v>
      </c>
      <c r="B1291" t="str">
        <f>"quartet: orchestrating the second Americ"</f>
        <v>quartet: orchestrating the second Americ</v>
      </c>
      <c r="C1291">
        <v>333259</v>
      </c>
      <c r="D1291" t="str">
        <f>"Ellis, Joseph J."</f>
        <v>Ellis, Joseph J.</v>
      </c>
      <c r="F1291" t="str">
        <f>"xx, 290 pages, 24 cm"</f>
        <v>xx, 290 pages, 24 cm</v>
      </c>
      <c r="G1291" s="1">
        <v>16</v>
      </c>
      <c r="H1291">
        <v>2015</v>
      </c>
      <c r="I1291" t="str">
        <f t="shared" si="49"/>
        <v>9: 300 - 399</v>
      </c>
      <c r="K1291" t="str">
        <f>"WB - In"</f>
        <v>WB - In</v>
      </c>
      <c r="L1291" s="1">
        <v>33</v>
      </c>
      <c r="M1291" t="s">
        <v>1221</v>
      </c>
      <c r="O1291" t="s">
        <v>28</v>
      </c>
      <c r="P1291">
        <v>3</v>
      </c>
      <c r="Q1291">
        <v>0</v>
      </c>
      <c r="R1291">
        <v>8</v>
      </c>
      <c r="S1291" s="2">
        <v>42416</v>
      </c>
      <c r="T1291" s="2">
        <v>42590</v>
      </c>
      <c r="U1291" s="2">
        <v>43327</v>
      </c>
    </row>
    <row r="1292" spans="1:22" x14ac:dyDescent="0.2">
      <c r="A1292" t="str">
        <f>"342.73 FIN"</f>
        <v>342.73 FIN</v>
      </c>
      <c r="B1292" t="str">
        <f>"first amendment and you course guidebook"</f>
        <v>first amendment and you course guidebook</v>
      </c>
      <c r="C1292">
        <v>263241</v>
      </c>
      <c r="D1292" t="str">
        <f>"Finn, John E."</f>
        <v>Finn, John E.</v>
      </c>
      <c r="E1292" t="str">
        <f>"Great Courses series"</f>
        <v>Great Courses series</v>
      </c>
      <c r="F1292" t="str">
        <f>"104 p."</f>
        <v>104 p.</v>
      </c>
      <c r="G1292" s="1">
        <v>12</v>
      </c>
      <c r="H1292">
        <v>2012</v>
      </c>
      <c r="I1292" t="str">
        <f t="shared" si="49"/>
        <v>9: 300 - 399</v>
      </c>
      <c r="K1292" t="str">
        <f>"LL - In"</f>
        <v>LL - In</v>
      </c>
      <c r="L1292" s="1">
        <v>15</v>
      </c>
      <c r="O1292" t="s">
        <v>28</v>
      </c>
      <c r="P1292">
        <v>2</v>
      </c>
      <c r="Q1292">
        <v>2</v>
      </c>
      <c r="R1292">
        <v>8</v>
      </c>
      <c r="S1292" s="2">
        <v>41285</v>
      </c>
      <c r="T1292" s="2">
        <v>42017</v>
      </c>
      <c r="U1292" s="2">
        <v>43775</v>
      </c>
      <c r="V1292" s="2">
        <v>43627</v>
      </c>
    </row>
    <row r="1293" spans="1:22" x14ac:dyDescent="0.2">
      <c r="A1293" t="str">
        <f>"342.73 HOF"</f>
        <v>342.73 HOF</v>
      </c>
      <c r="B1293" t="str">
        <f>"Uncivil warriors: the lawyers' civil war"</f>
        <v>Uncivil warriors: the lawyers' civil war</v>
      </c>
      <c r="C1293">
        <v>349644</v>
      </c>
      <c r="D1293" t="str">
        <f>"Hoffer, Peter Charles,"</f>
        <v>Hoffer, Peter Charles,</v>
      </c>
      <c r="F1293" t="str">
        <f>"184 p."</f>
        <v>184 p.</v>
      </c>
      <c r="G1293" s="1">
        <v>18</v>
      </c>
      <c r="H1293">
        <v>2018</v>
      </c>
      <c r="I1293" t="str">
        <f t="shared" si="49"/>
        <v>9: 300 - 399</v>
      </c>
      <c r="K1293" t="str">
        <f>"WB - In"</f>
        <v>WB - In</v>
      </c>
      <c r="L1293" s="1">
        <v>35</v>
      </c>
      <c r="M1293" t="s">
        <v>1222</v>
      </c>
      <c r="O1293" t="s">
        <v>28</v>
      </c>
      <c r="P1293">
        <v>4</v>
      </c>
      <c r="Q1293">
        <v>0</v>
      </c>
      <c r="R1293">
        <v>4</v>
      </c>
      <c r="S1293" s="2">
        <v>43343</v>
      </c>
      <c r="T1293" s="2">
        <v>43537</v>
      </c>
      <c r="U1293" s="2">
        <v>43512</v>
      </c>
    </row>
    <row r="1294" spans="1:22" x14ac:dyDescent="0.2">
      <c r="A1294" t="str">
        <f>"342.73 IMP"</f>
        <v>342.73 IMP</v>
      </c>
      <c r="B1294" t="str">
        <f>"Impeachment: an American history"</f>
        <v>Impeachment: an American history</v>
      </c>
      <c r="C1294">
        <v>351910</v>
      </c>
      <c r="F1294" t="str">
        <f>"xxiv, 270 pages, 20 cm"</f>
        <v>xxiv, 270 pages, 20 cm</v>
      </c>
      <c r="G1294" s="1">
        <v>18</v>
      </c>
      <c r="H1294">
        <v>2018</v>
      </c>
      <c r="I1294" t="str">
        <f t="shared" si="49"/>
        <v>9: 300 - 399</v>
      </c>
      <c r="K1294" t="str">
        <f>"LL - In"</f>
        <v>LL - In</v>
      </c>
      <c r="L1294" s="1">
        <v>31</v>
      </c>
      <c r="M1294" t="s">
        <v>1223</v>
      </c>
      <c r="O1294" t="s">
        <v>28</v>
      </c>
      <c r="P1294">
        <v>4</v>
      </c>
      <c r="Q1294">
        <v>0</v>
      </c>
      <c r="R1294">
        <v>4</v>
      </c>
      <c r="S1294" s="2">
        <v>43452</v>
      </c>
      <c r="T1294" s="2">
        <v>43649</v>
      </c>
      <c r="U1294" s="2">
        <v>43627</v>
      </c>
    </row>
    <row r="1295" spans="1:22" x14ac:dyDescent="0.2">
      <c r="A1295" t="str">
        <f>"342.73 LUX"</f>
        <v>342.73 LUX</v>
      </c>
      <c r="B1295" t="str">
        <f>"Separate: the story of Plessy v. Ferguso"</f>
        <v>Separate: the story of Plessy v. Ferguso</v>
      </c>
      <c r="C1295">
        <v>353151</v>
      </c>
      <c r="D1295" t="str">
        <f>"Luxenberg, Steve"</f>
        <v>Luxenberg, Steve</v>
      </c>
      <c r="F1295" t="str">
        <f>"xxii, 600 pages, 25 cm, illustrations"</f>
        <v>xxii, 600 pages, 25 cm, illustrations</v>
      </c>
      <c r="G1295" s="1">
        <v>19</v>
      </c>
      <c r="H1295">
        <v>2019</v>
      </c>
      <c r="I1295" t="str">
        <f t="shared" si="49"/>
        <v>9: 300 - 399</v>
      </c>
      <c r="K1295" t="str">
        <f>"WB - In"</f>
        <v>WB - In</v>
      </c>
      <c r="L1295" s="1">
        <v>40</v>
      </c>
      <c r="M1295" t="s">
        <v>1224</v>
      </c>
      <c r="O1295" t="s">
        <v>28</v>
      </c>
      <c r="P1295">
        <v>6</v>
      </c>
      <c r="Q1295">
        <v>0</v>
      </c>
      <c r="R1295">
        <v>6</v>
      </c>
      <c r="S1295" s="2">
        <v>43522</v>
      </c>
      <c r="T1295" s="2">
        <v>43691</v>
      </c>
      <c r="U1295" s="2">
        <v>43676</v>
      </c>
    </row>
    <row r="1296" spans="1:22" x14ac:dyDescent="0.2">
      <c r="A1296" t="str">
        <f>"342.73 MCC"</f>
        <v>342.73 MCC</v>
      </c>
      <c r="B1296" t="str">
        <f>"Truth in our times: inside the fight for"</f>
        <v>Truth in our times: inside the fight for</v>
      </c>
      <c r="C1296">
        <v>353905</v>
      </c>
      <c r="D1296" t="str">
        <f>"McCraw, David Edward"</f>
        <v>McCraw, David Edward</v>
      </c>
      <c r="F1296" t="str">
        <f>"xi, 288 pages, 22 cm"</f>
        <v>xi, 288 pages, 22 cm</v>
      </c>
      <c r="G1296" s="1">
        <v>19</v>
      </c>
      <c r="H1296">
        <v>2019</v>
      </c>
      <c r="I1296" t="str">
        <f t="shared" si="49"/>
        <v>9: 300 - 399</v>
      </c>
      <c r="K1296" t="str">
        <f>"WB - In"</f>
        <v>WB - In</v>
      </c>
      <c r="L1296" s="1">
        <v>34</v>
      </c>
      <c r="M1296" t="s">
        <v>1225</v>
      </c>
      <c r="O1296" t="s">
        <v>28</v>
      </c>
      <c r="P1296">
        <v>2</v>
      </c>
      <c r="Q1296">
        <v>0</v>
      </c>
      <c r="R1296">
        <v>2</v>
      </c>
      <c r="S1296" s="2">
        <v>43556</v>
      </c>
      <c r="T1296" s="2">
        <v>43712</v>
      </c>
      <c r="U1296" s="2">
        <v>43647</v>
      </c>
    </row>
    <row r="1297" spans="1:22" x14ac:dyDescent="0.2">
      <c r="A1297" t="str">
        <f>"342.73 RIS"</f>
        <v>342.73 RIS</v>
      </c>
      <c r="B1297" t="str">
        <f>"bill of the century: the epic battle for"</f>
        <v>bill of the century: the epic battle for</v>
      </c>
      <c r="C1297">
        <v>328002</v>
      </c>
      <c r="D1297" t="str">
        <f>"Risen, Clay"</f>
        <v>Risen, Clay</v>
      </c>
      <c r="F1297" t="str">
        <f>"308 pages, 8 unnumbered pages of plates, 25 cm, illustrations"</f>
        <v>308 pages, 8 unnumbered pages of plates, 25 cm, illustrations</v>
      </c>
      <c r="G1297" s="1">
        <v>15</v>
      </c>
      <c r="H1297">
        <v>2014</v>
      </c>
      <c r="I1297" t="str">
        <f t="shared" si="49"/>
        <v>9: 300 - 399</v>
      </c>
      <c r="K1297" t="str">
        <f>"LL - In"</f>
        <v>LL - In</v>
      </c>
      <c r="L1297" s="1">
        <v>33</v>
      </c>
      <c r="M1297" t="s">
        <v>1226</v>
      </c>
      <c r="O1297" t="s">
        <v>28</v>
      </c>
      <c r="P1297">
        <v>1</v>
      </c>
      <c r="Q1297">
        <v>0</v>
      </c>
      <c r="R1297">
        <v>3</v>
      </c>
      <c r="S1297" s="2">
        <v>42172</v>
      </c>
      <c r="T1297" s="2">
        <v>42345</v>
      </c>
      <c r="U1297" s="2">
        <v>43368</v>
      </c>
      <c r="V1297" s="2">
        <v>42270</v>
      </c>
    </row>
    <row r="1298" spans="1:22" x14ac:dyDescent="0.2">
      <c r="A1298" t="str">
        <f>"342.73 ROS"</f>
        <v>342.73 ROS</v>
      </c>
      <c r="B1298" t="str">
        <f>"Privacy, property, and free speech : cou"</f>
        <v>Privacy, property, and free speech : cou</v>
      </c>
      <c r="C1298">
        <v>276542</v>
      </c>
      <c r="E1298" t="str">
        <f>"Great Courses series"</f>
        <v>Great Courses series</v>
      </c>
      <c r="F1298" t="str">
        <f>"202 p."</f>
        <v>202 p.</v>
      </c>
      <c r="G1298" s="1">
        <v>14</v>
      </c>
      <c r="H1298">
        <v>2012</v>
      </c>
      <c r="I1298" t="str">
        <f t="shared" si="49"/>
        <v>9: 300 - 399</v>
      </c>
      <c r="K1298" t="str">
        <f>"LL - In"</f>
        <v>LL - In</v>
      </c>
      <c r="L1298" s="1">
        <v>30</v>
      </c>
      <c r="O1298" t="s">
        <v>28</v>
      </c>
      <c r="P1298">
        <v>0</v>
      </c>
      <c r="Q1298">
        <v>0</v>
      </c>
      <c r="R1298">
        <v>3</v>
      </c>
      <c r="S1298" s="2">
        <v>41901</v>
      </c>
      <c r="T1298" s="2">
        <v>41922</v>
      </c>
      <c r="U1298" s="2">
        <v>42133</v>
      </c>
    </row>
    <row r="1299" spans="1:22" x14ac:dyDescent="0.2">
      <c r="A1299" t="str">
        <f>"342.73 SUN"</f>
        <v>342.73 SUN</v>
      </c>
      <c r="B1299" t="str">
        <f>"Impeachment: a citizen's guide"</f>
        <v>Impeachment: a citizen's guide</v>
      </c>
      <c r="C1299">
        <v>347044</v>
      </c>
      <c r="D1299" t="str">
        <f>"Sunstein, Cass R."</f>
        <v>Sunstein, Cass R.</v>
      </c>
      <c r="F1299" t="str">
        <f>"199 pages, 18 cm"</f>
        <v>199 pages, 18 cm</v>
      </c>
      <c r="G1299" s="1">
        <v>18</v>
      </c>
      <c r="H1299">
        <v>2017</v>
      </c>
      <c r="I1299" t="str">
        <f t="shared" si="49"/>
        <v>9: 300 - 399</v>
      </c>
      <c r="K1299" t="str">
        <f>"WB - In"</f>
        <v>WB - In</v>
      </c>
      <c r="L1299" s="1">
        <v>13</v>
      </c>
      <c r="M1299" t="s">
        <v>1227</v>
      </c>
      <c r="O1299" t="s">
        <v>28</v>
      </c>
      <c r="P1299">
        <v>0</v>
      </c>
      <c r="Q1299">
        <v>0</v>
      </c>
      <c r="R1299">
        <v>0</v>
      </c>
      <c r="S1299" s="2">
        <v>43192</v>
      </c>
      <c r="T1299" s="2">
        <v>43223</v>
      </c>
    </row>
    <row r="1300" spans="1:22" x14ac:dyDescent="0.2">
      <c r="A1300" t="str">
        <f>"342.73 TRI"</f>
        <v>342.73 TRI</v>
      </c>
      <c r="B1300" t="str">
        <f>"To end a presidency: the power of impeac"</f>
        <v>To end a presidency: the power of impeac</v>
      </c>
      <c r="C1300">
        <v>347908</v>
      </c>
      <c r="D1300" t="str">
        <f>"Tribe, Laurence H."</f>
        <v>Tribe, Laurence H.</v>
      </c>
      <c r="F1300" t="str">
        <f>"xxii, 281 pages, 25 cm"</f>
        <v>xxii, 281 pages, 25 cm</v>
      </c>
      <c r="G1300" s="1">
        <v>18</v>
      </c>
      <c r="H1300">
        <v>2018</v>
      </c>
      <c r="I1300" t="str">
        <f t="shared" si="49"/>
        <v>9: 300 - 399</v>
      </c>
      <c r="K1300" t="str">
        <f>"LL - In"</f>
        <v>LL - In</v>
      </c>
      <c r="L1300" s="1">
        <v>33</v>
      </c>
      <c r="M1300" t="s">
        <v>1228</v>
      </c>
      <c r="O1300" t="s">
        <v>28</v>
      </c>
      <c r="P1300">
        <v>3</v>
      </c>
      <c r="Q1300">
        <v>0</v>
      </c>
      <c r="R1300">
        <v>3</v>
      </c>
      <c r="S1300" s="2">
        <v>43249</v>
      </c>
      <c r="T1300" s="2">
        <v>43416</v>
      </c>
      <c r="U1300" s="2">
        <v>43367</v>
      </c>
    </row>
    <row r="1301" spans="1:22" x14ac:dyDescent="0.2">
      <c r="A1301" t="str">
        <f>"342.73 WEH"</f>
        <v>342.73 WEH</v>
      </c>
      <c r="B1301" t="str">
        <f>"How to read the Constitution and why"</f>
        <v>How to read the Constitution and why</v>
      </c>
      <c r="C1301">
        <v>356128</v>
      </c>
      <c r="D1301" t="str">
        <f>"Wehle, Kimberly"</f>
        <v>Wehle, Kimberly</v>
      </c>
      <c r="F1301" t="str">
        <f>"viii, 334 pages, 24 cm"</f>
        <v>viii, 334 pages, 24 cm</v>
      </c>
      <c r="G1301" s="1">
        <v>19</v>
      </c>
      <c r="H1301">
        <v>2019</v>
      </c>
      <c r="I1301" t="str">
        <f t="shared" si="49"/>
        <v>9: 300 - 399</v>
      </c>
      <c r="K1301" t="str">
        <f>"WB - In"</f>
        <v>WB - In</v>
      </c>
      <c r="L1301" s="1">
        <v>32</v>
      </c>
      <c r="M1301" t="s">
        <v>1229</v>
      </c>
      <c r="O1301" t="s">
        <v>28</v>
      </c>
      <c r="P1301">
        <v>5</v>
      </c>
      <c r="Q1301">
        <v>0</v>
      </c>
      <c r="R1301">
        <v>5</v>
      </c>
      <c r="S1301" s="2">
        <v>43655</v>
      </c>
      <c r="T1301" s="2">
        <v>43832</v>
      </c>
      <c r="U1301" s="2">
        <v>43816</v>
      </c>
    </row>
    <row r="1302" spans="1:22" x14ac:dyDescent="0.2">
      <c r="A1302" t="str">
        <f>"343 KOS"</f>
        <v>343 KOS</v>
      </c>
      <c r="B1302" t="str">
        <f>"twenty-six words that created the Intern"</f>
        <v>twenty-six words that created the Intern</v>
      </c>
      <c r="C1302">
        <v>354813</v>
      </c>
      <c r="D1302" t="str">
        <f>"Kosseff, Jeff,"</f>
        <v>Kosseff, Jeff,</v>
      </c>
      <c r="F1302" t="str">
        <f>"x, 313 pages, 24 cm"</f>
        <v>x, 313 pages, 24 cm</v>
      </c>
      <c r="G1302" s="1">
        <v>19</v>
      </c>
      <c r="H1302">
        <v>2019</v>
      </c>
      <c r="I1302" t="str">
        <f t="shared" si="49"/>
        <v>9: 300 - 399</v>
      </c>
      <c r="K1302" t="str">
        <f>"WB - In"</f>
        <v>WB - In</v>
      </c>
      <c r="L1302" s="1">
        <v>32</v>
      </c>
      <c r="M1302" t="s">
        <v>1230</v>
      </c>
      <c r="O1302" t="s">
        <v>28</v>
      </c>
      <c r="P1302">
        <v>1</v>
      </c>
      <c r="Q1302">
        <v>2</v>
      </c>
      <c r="R1302">
        <v>3</v>
      </c>
      <c r="S1302" s="2">
        <v>43595</v>
      </c>
      <c r="T1302" s="2">
        <v>43754</v>
      </c>
      <c r="U1302" s="2">
        <v>43689</v>
      </c>
      <c r="V1302" s="2">
        <v>43769</v>
      </c>
    </row>
    <row r="1303" spans="1:22" x14ac:dyDescent="0.2">
      <c r="A1303" t="str">
        <f>"343.73 FIS"</f>
        <v>343.73 FIS</v>
      </c>
      <c r="B1303" t="str">
        <f>"Home business tax deductions: keep what "</f>
        <v xml:space="preserve">Home business tax deductions: keep what </v>
      </c>
      <c r="C1303">
        <v>350492</v>
      </c>
      <c r="D1303" t="str">
        <f>"Fishman, Stephen"</f>
        <v>Fishman, Stephen</v>
      </c>
      <c r="F1303" t="str">
        <f>"410 pages, 24 cm, illustrations"</f>
        <v>410 pages, 24 cm, illustrations</v>
      </c>
      <c r="G1303" s="1">
        <v>18</v>
      </c>
      <c r="H1303">
        <v>2018</v>
      </c>
      <c r="I1303" t="str">
        <f t="shared" si="49"/>
        <v>9: 300 - 399</v>
      </c>
      <c r="K1303" t="str">
        <f>"LL - In"</f>
        <v>LL - In</v>
      </c>
      <c r="L1303" s="1">
        <v>40</v>
      </c>
      <c r="M1303" t="s">
        <v>1231</v>
      </c>
      <c r="O1303" t="s">
        <v>28</v>
      </c>
      <c r="P1303">
        <v>3</v>
      </c>
      <c r="Q1303">
        <v>0</v>
      </c>
      <c r="R1303">
        <v>3</v>
      </c>
      <c r="S1303" s="2">
        <v>43381</v>
      </c>
      <c r="T1303" s="2">
        <v>43386</v>
      </c>
      <c r="U1303" s="2">
        <v>43626</v>
      </c>
    </row>
    <row r="1304" spans="1:22" x14ac:dyDescent="0.2">
      <c r="A1304" t="str">
        <f>"343.73 FIS"</f>
        <v>343.73 FIS</v>
      </c>
      <c r="B1304" t="str">
        <f>"Tax deductions for professionals: pay le"</f>
        <v>Tax deductions for professionals: pay le</v>
      </c>
      <c r="C1304">
        <v>351803</v>
      </c>
      <c r="D1304" t="str">
        <f>"Fishman, Stephen"</f>
        <v>Fishman, Stephen</v>
      </c>
      <c r="F1304" t="str">
        <f>"444 pages : illustrations, charts, 23 cm"</f>
        <v>444 pages : illustrations, charts, 23 cm</v>
      </c>
      <c r="G1304" s="1">
        <v>18</v>
      </c>
      <c r="H1304">
        <v>2018</v>
      </c>
      <c r="I1304" t="str">
        <f t="shared" si="49"/>
        <v>9: 300 - 399</v>
      </c>
      <c r="K1304" t="str">
        <f>"LL - In"</f>
        <v>LL - In</v>
      </c>
      <c r="L1304" s="1">
        <v>45</v>
      </c>
      <c r="M1304" t="s">
        <v>1232</v>
      </c>
      <c r="O1304" t="s">
        <v>28</v>
      </c>
      <c r="P1304">
        <v>3</v>
      </c>
      <c r="Q1304">
        <v>1</v>
      </c>
      <c r="R1304">
        <v>4</v>
      </c>
      <c r="S1304" s="2">
        <v>43444</v>
      </c>
      <c r="T1304" s="2">
        <v>43446</v>
      </c>
      <c r="U1304" s="2">
        <v>43626</v>
      </c>
      <c r="V1304" s="2">
        <v>43529</v>
      </c>
    </row>
    <row r="1305" spans="1:22" x14ac:dyDescent="0.2">
      <c r="A1305" t="str">
        <f>"343.73 ROS"</f>
        <v>343.73 ROS</v>
      </c>
      <c r="B1305" t="str">
        <f>"Trump tax cut: your personal guide to th"</f>
        <v>Trump tax cut: your personal guide to th</v>
      </c>
      <c r="C1305">
        <v>355387</v>
      </c>
      <c r="D1305" t="str">
        <f>"Rosenberg, Eva"</f>
        <v>Rosenberg, Eva</v>
      </c>
      <c r="F1305" t="str">
        <f>"vi, 290 pages, 23 cm"</f>
        <v>vi, 290 pages, 23 cm</v>
      </c>
      <c r="G1305" s="1">
        <v>19</v>
      </c>
      <c r="H1305">
        <v>2019</v>
      </c>
      <c r="I1305" t="str">
        <f t="shared" si="49"/>
        <v>9: 300 - 399</v>
      </c>
      <c r="K1305" t="str">
        <f>"WB - In"</f>
        <v>WB - In</v>
      </c>
      <c r="L1305" s="1">
        <v>25</v>
      </c>
      <c r="M1305" t="s">
        <v>1233</v>
      </c>
      <c r="O1305" t="s">
        <v>28</v>
      </c>
      <c r="P1305">
        <v>2</v>
      </c>
      <c r="Q1305">
        <v>0</v>
      </c>
      <c r="R1305">
        <v>2</v>
      </c>
      <c r="S1305" s="2">
        <v>43628</v>
      </c>
      <c r="T1305" s="2">
        <v>43637</v>
      </c>
      <c r="U1305" s="2">
        <v>43731</v>
      </c>
    </row>
    <row r="1306" spans="1:22" x14ac:dyDescent="0.2">
      <c r="A1306" t="str">
        <f>"343.73 WEL"</f>
        <v>343.73 WEL</v>
      </c>
      <c r="B1306" t="str">
        <f>"J.K. Lasser's 1001 deductions and tax br"</f>
        <v>J.K. Lasser's 1001 deductions and tax br</v>
      </c>
      <c r="C1306">
        <v>360160</v>
      </c>
      <c r="D1306" t="str">
        <f>"Weltman, Barbara,"</f>
        <v>Weltman, Barbara,</v>
      </c>
      <c r="F1306" t="str">
        <f>"xiv, 424 pages, 23 cm"</f>
        <v>xiv, 424 pages, 23 cm</v>
      </c>
      <c r="G1306" s="1">
        <v>19</v>
      </c>
      <c r="H1306">
        <v>2020</v>
      </c>
      <c r="I1306" t="str">
        <f t="shared" si="49"/>
        <v>9: 300 - 399</v>
      </c>
      <c r="K1306" t="str">
        <f>"LL - In"</f>
        <v>LL - In</v>
      </c>
      <c r="L1306" s="1">
        <v>28</v>
      </c>
      <c r="M1306" t="s">
        <v>1234</v>
      </c>
      <c r="O1306" t="s">
        <v>28</v>
      </c>
      <c r="P1306">
        <v>0</v>
      </c>
      <c r="Q1306">
        <v>0</v>
      </c>
      <c r="R1306">
        <v>0</v>
      </c>
      <c r="S1306" s="2">
        <v>43833</v>
      </c>
      <c r="T1306" s="2">
        <v>43844</v>
      </c>
    </row>
    <row r="1307" spans="1:22" x14ac:dyDescent="0.2">
      <c r="A1307" t="str">
        <f>"344 DRI"</f>
        <v>344 DRI</v>
      </c>
      <c r="B1307" t="str">
        <f>"schoolhouse gate: public education, the "</f>
        <v xml:space="preserve">schoolhouse gate: public education, the </v>
      </c>
      <c r="C1307">
        <v>349641</v>
      </c>
      <c r="D1307" t="str">
        <f>"Driver, Justin,"</f>
        <v>Driver, Justin,</v>
      </c>
      <c r="F1307" t="str">
        <f>"564 p. cm"</f>
        <v>564 p. cm</v>
      </c>
      <c r="G1307" s="1">
        <v>18</v>
      </c>
      <c r="H1307">
        <v>2018</v>
      </c>
      <c r="I1307" t="str">
        <f t="shared" si="49"/>
        <v>9: 300 - 399</v>
      </c>
      <c r="K1307" t="str">
        <f>"WB - In"</f>
        <v>WB - In</v>
      </c>
      <c r="L1307" s="1">
        <v>40</v>
      </c>
      <c r="M1307" t="s">
        <v>1235</v>
      </c>
      <c r="O1307" t="s">
        <v>28</v>
      </c>
      <c r="P1307">
        <v>1</v>
      </c>
      <c r="Q1307">
        <v>0</v>
      </c>
      <c r="R1307">
        <v>1</v>
      </c>
      <c r="S1307" s="2">
        <v>43343</v>
      </c>
      <c r="T1307" s="2">
        <v>43502</v>
      </c>
      <c r="U1307" s="2">
        <v>43517</v>
      </c>
    </row>
    <row r="1308" spans="1:22" x14ac:dyDescent="0.2">
      <c r="A1308" t="str">
        <f>"344 FRI"</f>
        <v>344 FRI</v>
      </c>
      <c r="B1308" t="str">
        <f>"Unwarranted: policing without permission"</f>
        <v>Unwarranted: policing without permission</v>
      </c>
      <c r="C1308">
        <v>340347</v>
      </c>
      <c r="D1308" t="str">
        <f>"Friedman, Barry,"</f>
        <v>Friedman, Barry,</v>
      </c>
      <c r="F1308" t="str">
        <f>"xiv, 434 pages, 24 cm"</f>
        <v>xiv, 434 pages, 24 cm</v>
      </c>
      <c r="G1308" s="1">
        <v>17</v>
      </c>
      <c r="H1308">
        <v>2017</v>
      </c>
      <c r="I1308" t="str">
        <f t="shared" si="49"/>
        <v>9: 300 - 399</v>
      </c>
      <c r="K1308" t="str">
        <f>"LL - In"</f>
        <v>LL - In</v>
      </c>
      <c r="L1308" s="1">
        <v>33</v>
      </c>
      <c r="M1308" t="s">
        <v>1236</v>
      </c>
      <c r="O1308" t="s">
        <v>28</v>
      </c>
      <c r="P1308">
        <v>3</v>
      </c>
      <c r="Q1308">
        <v>0</v>
      </c>
      <c r="R1308">
        <v>3</v>
      </c>
      <c r="S1308" s="2">
        <v>42814</v>
      </c>
      <c r="T1308" s="2">
        <v>43010</v>
      </c>
      <c r="U1308" s="2">
        <v>43000</v>
      </c>
    </row>
    <row r="1309" spans="1:22" x14ac:dyDescent="0.2">
      <c r="A1309" t="str">
        <f>"344 LAV"</f>
        <v>344 LAV</v>
      </c>
      <c r="B1309" t="str">
        <f>"Before Brown: Heman Marion Sweatt, Thurg"</f>
        <v>Before Brown: Heman Marion Sweatt, Thurg</v>
      </c>
      <c r="C1309">
        <v>352043</v>
      </c>
      <c r="D1309" t="str">
        <f>"Lavergne, Gary M.,"</f>
        <v>Lavergne, Gary M.,</v>
      </c>
      <c r="F1309" t="str">
        <f>"x, 354 p., 23 cm, ill."</f>
        <v>x, 354 p., 23 cm, ill.</v>
      </c>
      <c r="G1309" s="1">
        <v>18</v>
      </c>
      <c r="H1309">
        <v>2011</v>
      </c>
      <c r="I1309" t="str">
        <f t="shared" si="49"/>
        <v>9: 300 - 399</v>
      </c>
      <c r="K1309" t="str">
        <f>"WB - In"</f>
        <v>WB - In</v>
      </c>
      <c r="L1309" s="1">
        <v>42</v>
      </c>
      <c r="M1309" t="s">
        <v>1237</v>
      </c>
      <c r="O1309" t="s">
        <v>28</v>
      </c>
      <c r="P1309">
        <v>0</v>
      </c>
      <c r="Q1309">
        <v>0</v>
      </c>
      <c r="R1309">
        <v>0</v>
      </c>
      <c r="S1309" s="2">
        <v>43462</v>
      </c>
      <c r="T1309" s="2">
        <v>43482</v>
      </c>
    </row>
    <row r="1310" spans="1:22" x14ac:dyDescent="0.2">
      <c r="A1310" t="str">
        <f>"344 REP"</f>
        <v>344 REP</v>
      </c>
      <c r="B1310" t="str">
        <f>"Your rights in the workplace: an employe"</f>
        <v>Your rights in the workplace: an employe</v>
      </c>
      <c r="C1310">
        <v>349047</v>
      </c>
      <c r="D1310" t="str">
        <f>"Barreiro, Sachi"</f>
        <v>Barreiro, Sachi</v>
      </c>
      <c r="F1310" t="str">
        <f>"435 pages, 23 cm"</f>
        <v>435 pages, 23 cm</v>
      </c>
      <c r="G1310" s="1">
        <v>18</v>
      </c>
      <c r="H1310">
        <v>2018</v>
      </c>
      <c r="I1310" t="str">
        <f t="shared" si="49"/>
        <v>9: 300 - 399</v>
      </c>
      <c r="K1310" t="str">
        <f>"WB - In"</f>
        <v>WB - In</v>
      </c>
      <c r="L1310" s="1">
        <v>0</v>
      </c>
      <c r="M1310" t="s">
        <v>1238</v>
      </c>
      <c r="O1310" t="s">
        <v>28</v>
      </c>
      <c r="P1310">
        <v>0</v>
      </c>
      <c r="Q1310">
        <v>0</v>
      </c>
      <c r="R1310">
        <v>0</v>
      </c>
      <c r="S1310" s="2">
        <v>43314</v>
      </c>
      <c r="T1310" s="2">
        <v>43315</v>
      </c>
    </row>
    <row r="1311" spans="1:22" x14ac:dyDescent="0.2">
      <c r="A1311" t="str">
        <f>"344 STE"</f>
        <v>344 STE</v>
      </c>
      <c r="B1311" t="str">
        <f>"employer's legal handbook"</f>
        <v>employer's legal handbook</v>
      </c>
      <c r="C1311">
        <v>281300</v>
      </c>
      <c r="D1311" t="str">
        <f>"Steingold, Fred"</f>
        <v>Steingold, Fred</v>
      </c>
      <c r="F1311" t="str">
        <f>"482 p."</f>
        <v>482 p.</v>
      </c>
      <c r="G1311" s="1">
        <v>15</v>
      </c>
      <c r="H1311">
        <v>2015</v>
      </c>
      <c r="I1311" t="str">
        <f t="shared" si="49"/>
        <v>9: 300 - 399</v>
      </c>
      <c r="K1311" t="str">
        <f>"LL - In"</f>
        <v>LL - In</v>
      </c>
      <c r="L1311" s="1">
        <v>55</v>
      </c>
      <c r="M1311" t="s">
        <v>1239</v>
      </c>
      <c r="O1311" t="s">
        <v>28</v>
      </c>
      <c r="P1311">
        <v>1</v>
      </c>
      <c r="Q1311">
        <v>0</v>
      </c>
      <c r="R1311">
        <v>1</v>
      </c>
      <c r="S1311" s="2">
        <v>42164</v>
      </c>
      <c r="T1311" s="2">
        <v>42165</v>
      </c>
      <c r="U1311" s="2">
        <v>42774</v>
      </c>
    </row>
    <row r="1312" spans="1:22" x14ac:dyDescent="0.2">
      <c r="A1312" t="str">
        <f>"344 STE"</f>
        <v>344 STE</v>
      </c>
      <c r="B1312" t="str">
        <f>"employer's legal handbook"</f>
        <v>employer's legal handbook</v>
      </c>
      <c r="C1312">
        <v>283699</v>
      </c>
      <c r="D1312" t="str">
        <f>"Steingold, Fred"</f>
        <v>Steingold, Fred</v>
      </c>
      <c r="F1312" t="str">
        <f>"482 p."</f>
        <v>482 p.</v>
      </c>
      <c r="G1312" s="1">
        <v>15</v>
      </c>
      <c r="H1312">
        <v>2015</v>
      </c>
      <c r="I1312" t="str">
        <f t="shared" si="49"/>
        <v>9: 300 - 399</v>
      </c>
      <c r="K1312" t="str">
        <f>"WB - In"</f>
        <v>WB - In</v>
      </c>
      <c r="L1312" s="1">
        <v>55</v>
      </c>
      <c r="M1312" t="s">
        <v>1239</v>
      </c>
      <c r="O1312" t="s">
        <v>28</v>
      </c>
      <c r="P1312">
        <v>1</v>
      </c>
      <c r="Q1312">
        <v>0</v>
      </c>
      <c r="R1312">
        <v>2</v>
      </c>
      <c r="S1312" s="2">
        <v>42262</v>
      </c>
      <c r="T1312" s="2">
        <v>42264</v>
      </c>
      <c r="U1312" s="2">
        <v>43134</v>
      </c>
      <c r="V1312" s="2">
        <v>42299</v>
      </c>
    </row>
    <row r="1313" spans="1:22" x14ac:dyDescent="0.2">
      <c r="A1313" t="str">
        <f>"344.73 WAL"</f>
        <v>344.73 WAL</v>
      </c>
      <c r="B1313" t="str">
        <f>"second amendment: a biography"</f>
        <v>second amendment: a biography</v>
      </c>
      <c r="C1313">
        <v>354636</v>
      </c>
      <c r="D1313" t="str">
        <f>"Waldman, Michael,"</f>
        <v>Waldman, Michael,</v>
      </c>
      <c r="F1313" t="str">
        <f>"xiv, 255 pages, 25 cm"</f>
        <v>xiv, 255 pages, 25 cm</v>
      </c>
      <c r="G1313" s="1">
        <v>19</v>
      </c>
      <c r="H1313">
        <v>2014</v>
      </c>
      <c r="I1313" t="str">
        <f t="shared" si="49"/>
        <v>9: 300 - 399</v>
      </c>
      <c r="K1313" t="str">
        <f>"WB - In"</f>
        <v>WB - In</v>
      </c>
      <c r="L1313" s="1">
        <v>21</v>
      </c>
      <c r="M1313" t="s">
        <v>1240</v>
      </c>
      <c r="O1313" t="s">
        <v>28</v>
      </c>
      <c r="P1313">
        <v>1</v>
      </c>
      <c r="Q1313">
        <v>0</v>
      </c>
      <c r="R1313">
        <v>1</v>
      </c>
      <c r="S1313" s="2">
        <v>43591</v>
      </c>
      <c r="T1313" s="2">
        <v>43640</v>
      </c>
      <c r="U1313" s="2">
        <v>43696</v>
      </c>
    </row>
    <row r="1314" spans="1:22" x14ac:dyDescent="0.2">
      <c r="A1314" t="str">
        <f>"344.74 OKR"</f>
        <v>344.74 OKR</v>
      </c>
      <c r="B1314" t="str">
        <f>"guarded gate: bigotry, eugenics, and the"</f>
        <v>guarded gate: bigotry, eugenics, and the</v>
      </c>
      <c r="C1314">
        <v>354905</v>
      </c>
      <c r="D1314" t="str">
        <f>"Okrent, Daniel,"</f>
        <v>Okrent, Daniel,</v>
      </c>
      <c r="F1314" t="str">
        <f>"xvi, 478 pages, 24 cm, illustrations"</f>
        <v>xvi, 478 pages, 24 cm, illustrations</v>
      </c>
      <c r="G1314" s="1">
        <v>19</v>
      </c>
      <c r="H1314">
        <v>2019</v>
      </c>
      <c r="I1314" t="str">
        <f t="shared" si="49"/>
        <v>9: 300 - 399</v>
      </c>
      <c r="K1314" t="str">
        <f>"WB - In"</f>
        <v>WB - In</v>
      </c>
      <c r="L1314" s="1">
        <v>37</v>
      </c>
      <c r="M1314" t="s">
        <v>1241</v>
      </c>
      <c r="O1314" t="s">
        <v>28</v>
      </c>
      <c r="P1314">
        <v>4</v>
      </c>
      <c r="Q1314">
        <v>0</v>
      </c>
      <c r="R1314">
        <v>4</v>
      </c>
      <c r="S1314" s="2">
        <v>43606</v>
      </c>
      <c r="T1314" s="2">
        <v>43768</v>
      </c>
      <c r="U1314" s="2">
        <v>43658</v>
      </c>
    </row>
    <row r="1315" spans="1:22" x14ac:dyDescent="0.2">
      <c r="A1315" t="str">
        <f>"345 BAL"</f>
        <v>345 BAL</v>
      </c>
      <c r="B1315" t="str">
        <f>"cadaver king and the country dentist: a "</f>
        <v xml:space="preserve">cadaver king and the country dentist: a </v>
      </c>
      <c r="C1315">
        <v>347357</v>
      </c>
      <c r="D1315" t="str">
        <f>"Balko, Radley."</f>
        <v>Balko, Radley.</v>
      </c>
      <c r="F1315" t="str">
        <f>"xxii, 391 pages, 25 cm"</f>
        <v>xxii, 391 pages, 25 cm</v>
      </c>
      <c r="G1315" s="1">
        <v>18</v>
      </c>
      <c r="H1315">
        <v>2018</v>
      </c>
      <c r="I1315" t="str">
        <f t="shared" si="49"/>
        <v>9: 300 - 399</v>
      </c>
      <c r="K1315" t="str">
        <f>"LL - In"</f>
        <v>LL - In</v>
      </c>
      <c r="L1315" s="1">
        <v>33</v>
      </c>
      <c r="M1315" t="s">
        <v>1242</v>
      </c>
      <c r="O1315" t="s">
        <v>28</v>
      </c>
      <c r="P1315">
        <v>9</v>
      </c>
      <c r="Q1315">
        <v>0</v>
      </c>
      <c r="R1315">
        <v>9</v>
      </c>
      <c r="S1315" s="2">
        <v>43214</v>
      </c>
      <c r="T1315" s="2">
        <v>43390</v>
      </c>
      <c r="U1315" s="2">
        <v>43405</v>
      </c>
    </row>
    <row r="1316" spans="1:22" x14ac:dyDescent="0.2">
      <c r="A1316" t="str">
        <f>"345 BHA"</f>
        <v>345 BHA</v>
      </c>
      <c r="B1316" t="str">
        <f>"Doing justice: a prosecutor's thoughts o"</f>
        <v>Doing justice: a prosecutor's thoughts o</v>
      </c>
      <c r="C1316">
        <v>353867</v>
      </c>
      <c r="D1316" t="str">
        <f>"Bharara, Preet,"</f>
        <v>Bharara, Preet,</v>
      </c>
      <c r="F1316" t="str">
        <f>"xvi, 345 pages, 25 cm"</f>
        <v>xvi, 345 pages, 25 cm</v>
      </c>
      <c r="G1316" s="1">
        <v>19</v>
      </c>
      <c r="H1316">
        <v>2019</v>
      </c>
      <c r="I1316" t="str">
        <f t="shared" si="49"/>
        <v>9: 300 - 399</v>
      </c>
      <c r="K1316" t="str">
        <f>"WB - In"</f>
        <v>WB - In</v>
      </c>
      <c r="L1316" s="1">
        <v>33</v>
      </c>
      <c r="M1316" t="s">
        <v>1243</v>
      </c>
      <c r="O1316" t="s">
        <v>28</v>
      </c>
      <c r="P1316">
        <v>8</v>
      </c>
      <c r="Q1316">
        <v>0</v>
      </c>
      <c r="R1316">
        <v>8</v>
      </c>
      <c r="S1316" s="2">
        <v>43556</v>
      </c>
      <c r="T1316" s="2">
        <v>43751</v>
      </c>
      <c r="U1316" s="2">
        <v>43707</v>
      </c>
    </row>
    <row r="1317" spans="1:22" x14ac:dyDescent="0.2">
      <c r="A1317" t="str">
        <f>"345 DOW"</f>
        <v>345 DOW</v>
      </c>
      <c r="B1317" t="str">
        <f>"autobiography of an execution"</f>
        <v>autobiography of an execution</v>
      </c>
      <c r="C1317">
        <v>401941</v>
      </c>
      <c r="D1317" t="str">
        <f>"Dow, David R."</f>
        <v>Dow, David R.</v>
      </c>
      <c r="F1317" t="str">
        <f>"x, 271 pages, 21 cm"</f>
        <v>x, 271 pages, 21 cm</v>
      </c>
      <c r="G1317" s="1">
        <v>18</v>
      </c>
      <c r="H1317">
        <v>2011</v>
      </c>
      <c r="I1317" t="str">
        <f t="shared" si="49"/>
        <v>9: 300 - 399</v>
      </c>
      <c r="K1317" t="str">
        <f>"WB - In"</f>
        <v>WB - In</v>
      </c>
      <c r="L1317" s="1">
        <v>21</v>
      </c>
      <c r="M1317" t="s">
        <v>1244</v>
      </c>
      <c r="O1317" t="s">
        <v>28</v>
      </c>
      <c r="P1317">
        <v>1</v>
      </c>
      <c r="Q1317">
        <v>0</v>
      </c>
      <c r="R1317">
        <v>1</v>
      </c>
      <c r="S1317" s="2">
        <v>43263</v>
      </c>
      <c r="T1317" s="2">
        <v>43264</v>
      </c>
      <c r="U1317" s="2">
        <v>43266</v>
      </c>
    </row>
    <row r="1318" spans="1:22" x14ac:dyDescent="0.2">
      <c r="A1318" t="str">
        <f>"345 GRI"</f>
        <v>345 GRI</v>
      </c>
      <c r="B1318" t="str">
        <f>"innocent killer: a true story of a wrong"</f>
        <v>innocent killer: a true story of a wrong</v>
      </c>
      <c r="C1318">
        <v>333353</v>
      </c>
      <c r="D1318" t="str">
        <f>"Griesbach, Michael"</f>
        <v>Griesbach, Michael</v>
      </c>
      <c r="F1318" t="str">
        <f>"xv, 283 pages, 23 cm"</f>
        <v>xv, 283 pages, 23 cm</v>
      </c>
      <c r="G1318" s="1">
        <v>16</v>
      </c>
      <c r="H1318">
        <v>2013</v>
      </c>
      <c r="I1318" t="str">
        <f t="shared" si="49"/>
        <v>9: 300 - 399</v>
      </c>
      <c r="K1318" t="str">
        <f>"LL - In"</f>
        <v>LL - In</v>
      </c>
      <c r="L1318" s="1">
        <v>22</v>
      </c>
      <c r="M1318" t="s">
        <v>1245</v>
      </c>
      <c r="O1318" t="s">
        <v>28</v>
      </c>
      <c r="P1318">
        <v>2</v>
      </c>
      <c r="Q1318">
        <v>0</v>
      </c>
      <c r="R1318">
        <v>3</v>
      </c>
      <c r="S1318" s="2">
        <v>42423</v>
      </c>
      <c r="T1318" s="2">
        <v>42451</v>
      </c>
      <c r="U1318" s="2">
        <v>43024</v>
      </c>
    </row>
    <row r="1319" spans="1:22" x14ac:dyDescent="0.2">
      <c r="A1319" t="str">
        <f>"345 GRI"</f>
        <v>345 GRI</v>
      </c>
      <c r="B1319" t="str">
        <f>"innocent man: murder and injustice in a "</f>
        <v xml:space="preserve">innocent man: murder and injustice in a </v>
      </c>
      <c r="C1319">
        <v>325609</v>
      </c>
      <c r="D1319" t="str">
        <f>"Grisham, John"</f>
        <v>Grisham, John</v>
      </c>
      <c r="F1319" t="str">
        <f>"360 p."</f>
        <v>360 p.</v>
      </c>
      <c r="G1319" s="1">
        <v>15</v>
      </c>
      <c r="H1319">
        <v>2006</v>
      </c>
      <c r="I1319" t="str">
        <f t="shared" si="49"/>
        <v>9: 300 - 399</v>
      </c>
      <c r="K1319" t="str">
        <f>"WB - Out"</f>
        <v>WB - Out</v>
      </c>
      <c r="L1319" s="1">
        <v>15</v>
      </c>
      <c r="M1319" t="s">
        <v>1246</v>
      </c>
      <c r="O1319" t="s">
        <v>28</v>
      </c>
      <c r="P1319">
        <v>7</v>
      </c>
      <c r="Q1319">
        <v>0</v>
      </c>
      <c r="R1319">
        <v>12</v>
      </c>
      <c r="S1319" s="2">
        <v>42024</v>
      </c>
      <c r="T1319" s="2">
        <v>42033</v>
      </c>
      <c r="U1319" s="2">
        <v>43852</v>
      </c>
      <c r="V1319" s="2">
        <v>42545</v>
      </c>
    </row>
    <row r="1320" spans="1:22" x14ac:dyDescent="0.2">
      <c r="A1320" t="str">
        <f>"345 GRI"</f>
        <v>345 GRI</v>
      </c>
      <c r="B1320" t="str">
        <f>"innocent man: murder and injustice in a "</f>
        <v xml:space="preserve">innocent man: murder and injustice in a </v>
      </c>
      <c r="C1320">
        <v>325761</v>
      </c>
      <c r="D1320" t="str">
        <f>"Grisham, John"</f>
        <v>Grisham, John</v>
      </c>
      <c r="F1320" t="str">
        <f>"360 p."</f>
        <v>360 p.</v>
      </c>
      <c r="G1320" s="1">
        <v>15</v>
      </c>
      <c r="H1320">
        <v>2006</v>
      </c>
      <c r="I1320" t="str">
        <f t="shared" si="49"/>
        <v>9: 300 - 399</v>
      </c>
      <c r="K1320" t="str">
        <f t="shared" ref="K1320:K1327" si="50">"WB - In"</f>
        <v>WB - In</v>
      </c>
      <c r="L1320" s="1">
        <v>21</v>
      </c>
      <c r="M1320" t="s">
        <v>1246</v>
      </c>
      <c r="O1320" t="s">
        <v>28</v>
      </c>
      <c r="P1320">
        <v>3</v>
      </c>
      <c r="Q1320">
        <v>0</v>
      </c>
      <c r="R1320">
        <v>7</v>
      </c>
      <c r="S1320" s="2">
        <v>42031</v>
      </c>
      <c r="T1320" s="2">
        <v>42045</v>
      </c>
      <c r="U1320" s="2">
        <v>43592</v>
      </c>
    </row>
    <row r="1321" spans="1:22" x14ac:dyDescent="0.2">
      <c r="A1321" t="str">
        <f>"345 KIN"</f>
        <v>345 KIN</v>
      </c>
      <c r="B1321" t="str">
        <f>"trial of Adolf Hitler: the Beer Hall Put"</f>
        <v>trial of Adolf Hitler: the Beer Hall Put</v>
      </c>
      <c r="C1321">
        <v>297946</v>
      </c>
      <c r="D1321" t="str">
        <f>"King, David C."</f>
        <v>King, David C.</v>
      </c>
      <c r="F1321" t="str">
        <f>"xxi, 455 pages, 8 unnumbered pages of plates, 25 cm, illustrations"</f>
        <v>xxi, 455 pages, 8 unnumbered pages of plates, 25 cm, illustrations</v>
      </c>
      <c r="G1321">
        <v>17</v>
      </c>
      <c r="H1321">
        <v>2017</v>
      </c>
      <c r="I1321" t="str">
        <f t="shared" si="49"/>
        <v>9: 300 - 399</v>
      </c>
      <c r="K1321" t="str">
        <f t="shared" si="50"/>
        <v>WB - In</v>
      </c>
      <c r="L1321" s="1">
        <v>33</v>
      </c>
      <c r="M1321" t="s">
        <v>1247</v>
      </c>
      <c r="O1321" t="s">
        <v>28</v>
      </c>
      <c r="P1321">
        <v>5</v>
      </c>
      <c r="Q1321">
        <v>0</v>
      </c>
      <c r="R1321">
        <v>5</v>
      </c>
      <c r="S1321" s="2">
        <v>43040</v>
      </c>
      <c r="T1321" s="2">
        <v>43250</v>
      </c>
      <c r="U1321" s="2">
        <v>43313</v>
      </c>
    </row>
    <row r="1322" spans="1:22" x14ac:dyDescent="0.2">
      <c r="A1322" t="str">
        <f>"345 KIN"</f>
        <v>345 KIN</v>
      </c>
      <c r="B1322" t="str">
        <f>"Devil in the grove: Thurgood Marshall, t"</f>
        <v>Devil in the grove: Thurgood Marshall, t</v>
      </c>
      <c r="C1322">
        <v>325032</v>
      </c>
      <c r="D1322" t="str">
        <f>"King, Gilbert"</f>
        <v>King, Gilbert</v>
      </c>
      <c r="F1322" t="str">
        <f>"x, 434, 18 p., 21 cm, ill."</f>
        <v>x, 434, 18 p., 21 cm, ill.</v>
      </c>
      <c r="G1322" s="1">
        <v>14</v>
      </c>
      <c r="H1322">
        <v>2013</v>
      </c>
      <c r="I1322" t="str">
        <f t="shared" si="49"/>
        <v>9: 300 - 399</v>
      </c>
      <c r="K1322" t="str">
        <f t="shared" si="50"/>
        <v>WB - In</v>
      </c>
      <c r="L1322" s="1">
        <v>21</v>
      </c>
      <c r="M1322" t="s">
        <v>1248</v>
      </c>
      <c r="O1322" t="s">
        <v>28</v>
      </c>
      <c r="P1322">
        <v>2</v>
      </c>
      <c r="Q1322">
        <v>0</v>
      </c>
      <c r="R1322">
        <v>5</v>
      </c>
      <c r="S1322" s="2">
        <v>41982</v>
      </c>
      <c r="T1322" s="2">
        <v>41989</v>
      </c>
      <c r="U1322" s="2">
        <v>43237</v>
      </c>
    </row>
    <row r="1323" spans="1:22" x14ac:dyDescent="0.2">
      <c r="A1323" t="str">
        <f>"345 LIG"</f>
        <v>345 LIG</v>
      </c>
      <c r="B1323" t="str">
        <f>"Stand your ground: a history of America'"</f>
        <v>Stand your ground: a history of America'</v>
      </c>
      <c r="C1323">
        <v>402039</v>
      </c>
      <c r="D1323" t="str">
        <f>"Light, Caroline E."</f>
        <v>Light, Caroline E.</v>
      </c>
      <c r="F1323" t="str">
        <f>"xiii, 225 pages, 24 cm, illustrations"</f>
        <v>xiii, 225 pages, 24 cm, illustrations</v>
      </c>
      <c r="G1323" s="1">
        <v>18</v>
      </c>
      <c r="H1323">
        <v>2017</v>
      </c>
      <c r="I1323" t="str">
        <f t="shared" si="49"/>
        <v>9: 300 - 399</v>
      </c>
      <c r="K1323" t="str">
        <f t="shared" si="50"/>
        <v>WB - In</v>
      </c>
      <c r="L1323" s="1">
        <v>23</v>
      </c>
      <c r="M1323" t="s">
        <v>1249</v>
      </c>
      <c r="O1323" t="s">
        <v>28</v>
      </c>
      <c r="P1323">
        <v>0</v>
      </c>
      <c r="Q1323">
        <v>0</v>
      </c>
      <c r="R1323">
        <v>0</v>
      </c>
      <c r="S1323" s="2">
        <v>43272</v>
      </c>
      <c r="T1323" s="2">
        <v>43357</v>
      </c>
    </row>
    <row r="1324" spans="1:22" x14ac:dyDescent="0.2">
      <c r="A1324" t="str">
        <f>"345 MAL"</f>
        <v>345 MAL</v>
      </c>
      <c r="B1324" t="str">
        <f>"Iphigenia in Forest Hills: anatomy of a "</f>
        <v xml:space="preserve">Iphigenia in Forest Hills: anatomy of a </v>
      </c>
      <c r="C1324">
        <v>294580</v>
      </c>
      <c r="D1324" t="str">
        <f>"Malcolm, Janet."</f>
        <v>Malcolm, Janet.</v>
      </c>
      <c r="F1324" t="str">
        <f>"155 p."</f>
        <v>155 p.</v>
      </c>
      <c r="G1324" s="1">
        <v>17</v>
      </c>
      <c r="H1324">
        <v>2011</v>
      </c>
      <c r="I1324" t="str">
        <f t="shared" si="49"/>
        <v>9: 300 - 399</v>
      </c>
      <c r="K1324" t="str">
        <f t="shared" si="50"/>
        <v>WB - In</v>
      </c>
      <c r="L1324" s="1">
        <v>30</v>
      </c>
      <c r="M1324" t="s">
        <v>1250</v>
      </c>
      <c r="O1324" t="s">
        <v>28</v>
      </c>
      <c r="P1324">
        <v>0</v>
      </c>
      <c r="Q1324">
        <v>0</v>
      </c>
      <c r="R1324">
        <v>0</v>
      </c>
      <c r="S1324" s="2">
        <v>42845</v>
      </c>
      <c r="T1324" s="2">
        <v>42850</v>
      </c>
    </row>
    <row r="1325" spans="1:22" x14ac:dyDescent="0.2">
      <c r="A1325" t="str">
        <f>"345 RAC"</f>
        <v>345 RAC</v>
      </c>
      <c r="B1325" t="str">
        <f>"Ghost of the innocent man: a true story "</f>
        <v xml:space="preserve">Ghost of the innocent man: a true story </v>
      </c>
      <c r="C1325">
        <v>343301</v>
      </c>
      <c r="D1325" t="str">
        <f>"Rachlin, Benjamin"</f>
        <v>Rachlin, Benjamin</v>
      </c>
      <c r="F1325" t="str">
        <f>"xi, 387 pages, 25 cm, illustrations"</f>
        <v>xi, 387 pages, 25 cm, illustrations</v>
      </c>
      <c r="G1325" s="1">
        <v>17</v>
      </c>
      <c r="H1325">
        <v>2017</v>
      </c>
      <c r="I1325" t="str">
        <f t="shared" si="49"/>
        <v>9: 300 - 399</v>
      </c>
      <c r="K1325" t="str">
        <f t="shared" si="50"/>
        <v>WB - In</v>
      </c>
      <c r="L1325" s="1">
        <v>32</v>
      </c>
      <c r="M1325" t="s">
        <v>1251</v>
      </c>
      <c r="O1325" t="s">
        <v>28</v>
      </c>
      <c r="P1325">
        <v>5</v>
      </c>
      <c r="Q1325">
        <v>1</v>
      </c>
      <c r="R1325">
        <v>6</v>
      </c>
      <c r="S1325" s="2">
        <v>42977</v>
      </c>
      <c r="T1325" s="2">
        <v>43180</v>
      </c>
      <c r="U1325" s="2">
        <v>43162</v>
      </c>
      <c r="V1325" s="2">
        <v>43047</v>
      </c>
    </row>
    <row r="1326" spans="1:22" x14ac:dyDescent="0.2">
      <c r="A1326" t="str">
        <f>"345 TRA"</f>
        <v>345 TRA</v>
      </c>
      <c r="B1326" t="str">
        <f>"How the police generate false confession"</f>
        <v>How the police generate false confession</v>
      </c>
      <c r="C1326">
        <v>289941</v>
      </c>
      <c r="D1326" t="str">
        <f>"Trainum, James L."</f>
        <v>Trainum, James L.</v>
      </c>
      <c r="F1326" t="str">
        <f>"xix, 308 pages, 24 cm"</f>
        <v>xix, 308 pages, 24 cm</v>
      </c>
      <c r="G1326" s="1">
        <v>16</v>
      </c>
      <c r="H1326">
        <v>2016</v>
      </c>
      <c r="I1326" t="str">
        <f t="shared" si="49"/>
        <v>9: 300 - 399</v>
      </c>
      <c r="K1326" t="str">
        <f t="shared" si="50"/>
        <v>WB - In</v>
      </c>
      <c r="L1326" s="1">
        <v>41</v>
      </c>
      <c r="M1326" t="s">
        <v>1252</v>
      </c>
      <c r="O1326" t="s">
        <v>28</v>
      </c>
      <c r="P1326">
        <v>1</v>
      </c>
      <c r="Q1326">
        <v>1</v>
      </c>
      <c r="R1326">
        <v>8</v>
      </c>
      <c r="S1326" s="2">
        <v>42605</v>
      </c>
      <c r="T1326" s="2">
        <v>42816</v>
      </c>
      <c r="U1326" s="2">
        <v>43281</v>
      </c>
      <c r="V1326" s="2">
        <v>43308</v>
      </c>
    </row>
    <row r="1327" spans="1:22" x14ac:dyDescent="0.2">
      <c r="A1327" t="str">
        <f>"346 CAG"</f>
        <v>346 CAG</v>
      </c>
      <c r="B1327" t="str">
        <f>"Texas homeowners association law: the es"</f>
        <v>Texas homeowners association law: the es</v>
      </c>
      <c r="C1327">
        <v>316133</v>
      </c>
      <c r="D1327" t="str">
        <f>"Cagle, Gregory S."</f>
        <v>Cagle, Gregory S.</v>
      </c>
      <c r="F1327" t="str">
        <f>"xxiv, 793 p., 25 cm, forms"</f>
        <v>xxiv, 793 p., 25 cm, forms</v>
      </c>
      <c r="G1327" s="1">
        <v>13</v>
      </c>
      <c r="H1327">
        <v>2013</v>
      </c>
      <c r="I1327" t="str">
        <f t="shared" si="49"/>
        <v>9: 300 - 399</v>
      </c>
      <c r="K1327" t="str">
        <f t="shared" si="50"/>
        <v>WB - In</v>
      </c>
      <c r="L1327" s="1">
        <v>55</v>
      </c>
      <c r="M1327" t="s">
        <v>1253</v>
      </c>
      <c r="O1327" t="s">
        <v>28</v>
      </c>
      <c r="P1327">
        <v>3</v>
      </c>
      <c r="Q1327">
        <v>1</v>
      </c>
      <c r="R1327">
        <v>13</v>
      </c>
      <c r="S1327" s="2">
        <v>41493</v>
      </c>
      <c r="T1327" s="2">
        <v>41500</v>
      </c>
      <c r="U1327" s="2">
        <v>43779</v>
      </c>
      <c r="V1327" s="2">
        <v>43192</v>
      </c>
    </row>
    <row r="1328" spans="1:22" x14ac:dyDescent="0.2">
      <c r="A1328" t="str">
        <f>"346 HER"</f>
        <v>346 HER</v>
      </c>
      <c r="B1328" t="str">
        <f>"legal guide for lesbian and gay couples"</f>
        <v>legal guide for lesbian and gay couples</v>
      </c>
      <c r="C1328">
        <v>328486</v>
      </c>
      <c r="D1328" t="str">
        <f>"Hertz, Frederick"</f>
        <v>Hertz, Frederick</v>
      </c>
      <c r="F1328" t="str">
        <f>"441 pages, 23 cm, illustrations"</f>
        <v>441 pages, 23 cm, illustrations</v>
      </c>
      <c r="G1328" s="1">
        <v>15</v>
      </c>
      <c r="H1328">
        <v>2014</v>
      </c>
      <c r="I1328" t="str">
        <f t="shared" si="49"/>
        <v>9: 300 - 399</v>
      </c>
      <c r="K1328" t="str">
        <f>"LL - In"</f>
        <v>LL - In</v>
      </c>
      <c r="L1328" s="1">
        <v>40</v>
      </c>
      <c r="M1328" t="s">
        <v>1254</v>
      </c>
      <c r="O1328" t="s">
        <v>28</v>
      </c>
      <c r="P1328">
        <v>0</v>
      </c>
      <c r="Q1328">
        <v>0</v>
      </c>
      <c r="R1328">
        <v>1</v>
      </c>
      <c r="S1328" s="2">
        <v>42192</v>
      </c>
      <c r="T1328" s="2">
        <v>42199</v>
      </c>
      <c r="U1328" s="2">
        <v>42199</v>
      </c>
    </row>
    <row r="1329" spans="1:22" x14ac:dyDescent="0.2">
      <c r="A1329" t="str">
        <f>"346 IRV"</f>
        <v>346 IRV</v>
      </c>
      <c r="B1329" t="str">
        <f>"Nolo's encyclopedia of everyday law: ans"</f>
        <v>Nolo's encyclopedia of everyday law: ans</v>
      </c>
      <c r="C1329">
        <v>338853</v>
      </c>
      <c r="D1329" t="str">
        <f>"Irving, Shae"</f>
        <v>Irving, Shae</v>
      </c>
      <c r="F1329" t="str">
        <f>"517 p."</f>
        <v>517 p.</v>
      </c>
      <c r="G1329" s="1">
        <v>16</v>
      </c>
      <c r="H1329">
        <v>2016</v>
      </c>
      <c r="I1329" t="str">
        <f t="shared" si="49"/>
        <v>9: 300 - 399</v>
      </c>
      <c r="K1329" t="str">
        <f>"WB - In"</f>
        <v>WB - In</v>
      </c>
      <c r="L1329" s="1">
        <v>40</v>
      </c>
      <c r="M1329" t="s">
        <v>1255</v>
      </c>
      <c r="O1329" t="s">
        <v>28</v>
      </c>
      <c r="P1329">
        <v>2</v>
      </c>
      <c r="Q1329">
        <v>0</v>
      </c>
      <c r="R1329">
        <v>2</v>
      </c>
      <c r="S1329" s="2">
        <v>42733</v>
      </c>
      <c r="T1329" s="2">
        <v>42740</v>
      </c>
      <c r="U1329" s="2">
        <v>42928</v>
      </c>
    </row>
    <row r="1330" spans="1:22" x14ac:dyDescent="0.2">
      <c r="A1330" t="str">
        <f>"346 IRV"</f>
        <v>346 IRV</v>
      </c>
      <c r="B1330" t="str">
        <f>"Nolo's encyclopedia of everyday law: ans"</f>
        <v>Nolo's encyclopedia of everyday law: ans</v>
      </c>
      <c r="C1330">
        <v>338854</v>
      </c>
      <c r="D1330" t="str">
        <f>"Irving, Shae"</f>
        <v>Irving, Shae</v>
      </c>
      <c r="F1330" t="str">
        <f>"517 p."</f>
        <v>517 p.</v>
      </c>
      <c r="G1330" s="1">
        <v>16</v>
      </c>
      <c r="H1330">
        <v>2016</v>
      </c>
      <c r="I1330" t="str">
        <f t="shared" si="49"/>
        <v>9: 300 - 399</v>
      </c>
      <c r="K1330" t="str">
        <f>"LL - In"</f>
        <v>LL - In</v>
      </c>
      <c r="L1330" s="1">
        <v>40</v>
      </c>
      <c r="M1330" t="s">
        <v>1255</v>
      </c>
      <c r="O1330" t="s">
        <v>28</v>
      </c>
      <c r="P1330">
        <v>1</v>
      </c>
      <c r="Q1330">
        <v>0</v>
      </c>
      <c r="R1330">
        <v>1</v>
      </c>
      <c r="S1330" s="2">
        <v>42733</v>
      </c>
      <c r="T1330" s="2">
        <v>42740</v>
      </c>
      <c r="U1330" s="2">
        <v>43240</v>
      </c>
    </row>
    <row r="1331" spans="1:22" x14ac:dyDescent="0.2">
      <c r="A1331" t="str">
        <f>"346 KAP"</f>
        <v>346 KAP</v>
      </c>
      <c r="B1331" t="str">
        <f>"Then comes marriage: United States v. Wi"</f>
        <v>Then comes marriage: United States v. Wi</v>
      </c>
      <c r="C1331">
        <v>331914</v>
      </c>
      <c r="D1331" t="str">
        <f>"Kaplan, Roberta A."</f>
        <v>Kaplan, Roberta A.</v>
      </c>
      <c r="F1331" t="str">
        <f>"350 pages, 8 unnumbered pages of plates, 25 cm, illustrations"</f>
        <v>350 pages, 8 unnumbered pages of plates, 25 cm, illustrations</v>
      </c>
      <c r="G1331" s="1">
        <v>15</v>
      </c>
      <c r="H1331">
        <v>2015</v>
      </c>
      <c r="I1331" t="str">
        <f t="shared" si="49"/>
        <v>9: 300 - 399</v>
      </c>
      <c r="K1331" t="str">
        <f>"WB - In"</f>
        <v>WB - In</v>
      </c>
      <c r="L1331" s="1">
        <v>33</v>
      </c>
      <c r="M1331" t="s">
        <v>1256</v>
      </c>
      <c r="O1331" t="s">
        <v>28</v>
      </c>
      <c r="P1331">
        <v>0</v>
      </c>
      <c r="Q1331">
        <v>0</v>
      </c>
      <c r="R1331">
        <v>4</v>
      </c>
      <c r="S1331" s="2">
        <v>42351</v>
      </c>
      <c r="T1331" s="2">
        <v>42528</v>
      </c>
      <c r="U1331" s="2">
        <v>42500</v>
      </c>
      <c r="V1331" s="2">
        <v>42477</v>
      </c>
    </row>
    <row r="1332" spans="1:22" x14ac:dyDescent="0.2">
      <c r="A1332" t="str">
        <f>"346 MAN"</f>
        <v>346 MAN</v>
      </c>
      <c r="B1332" t="str">
        <f>"How to form a nonproft corporation: a 50"</f>
        <v>How to form a nonproft corporation: a 50</v>
      </c>
      <c r="C1332">
        <v>355043</v>
      </c>
      <c r="D1332" t="str">
        <f>"Mancuso, Anthony"</f>
        <v>Mancuso, Anthony</v>
      </c>
      <c r="F1332" t="str">
        <f>"340 p."</f>
        <v>340 p.</v>
      </c>
      <c r="G1332" s="1">
        <v>19</v>
      </c>
      <c r="H1332">
        <v>2019</v>
      </c>
      <c r="I1332" t="str">
        <f t="shared" si="49"/>
        <v>9: 300 - 399</v>
      </c>
      <c r="K1332" t="str">
        <f>"WB - In"</f>
        <v>WB - In</v>
      </c>
      <c r="L1332" s="1">
        <v>55</v>
      </c>
      <c r="M1332" t="s">
        <v>1257</v>
      </c>
      <c r="O1332" t="s">
        <v>28</v>
      </c>
      <c r="P1332">
        <v>3</v>
      </c>
      <c r="Q1332">
        <v>0</v>
      </c>
      <c r="R1332">
        <v>3</v>
      </c>
      <c r="S1332" s="2">
        <v>43614</v>
      </c>
      <c r="T1332" s="2">
        <v>43619</v>
      </c>
      <c r="U1332" s="2">
        <v>43771</v>
      </c>
    </row>
    <row r="1333" spans="1:22" x14ac:dyDescent="0.2">
      <c r="A1333" t="str">
        <f>"346 MAN"</f>
        <v>346 MAN</v>
      </c>
      <c r="B1333" t="str">
        <f>"Incorporate your business: a step-by-ste"</f>
        <v>Incorporate your business: a step-by-ste</v>
      </c>
      <c r="C1333">
        <v>349256</v>
      </c>
      <c r="D1333" t="str">
        <f>"Mancuso, Anthony"</f>
        <v>Mancuso, Anthony</v>
      </c>
      <c r="F1333" t="str">
        <f>"315 pages, 28 cm, forms"</f>
        <v>315 pages, 28 cm, forms</v>
      </c>
      <c r="G1333" s="1">
        <v>18</v>
      </c>
      <c r="H1333">
        <v>2017</v>
      </c>
      <c r="I1333" t="str">
        <f t="shared" si="49"/>
        <v>9: 300 - 399</v>
      </c>
      <c r="K1333" t="str">
        <f>"WB - In"</f>
        <v>WB - In</v>
      </c>
      <c r="L1333" s="1">
        <v>55</v>
      </c>
      <c r="M1333" t="s">
        <v>1258</v>
      </c>
      <c r="O1333" t="s">
        <v>28</v>
      </c>
      <c r="P1333">
        <v>0</v>
      </c>
      <c r="Q1333">
        <v>1</v>
      </c>
      <c r="R1333">
        <v>1</v>
      </c>
      <c r="S1333" s="2">
        <v>43325</v>
      </c>
      <c r="T1333" s="2">
        <v>43332</v>
      </c>
      <c r="V1333" s="2">
        <v>43659</v>
      </c>
    </row>
    <row r="1334" spans="1:22" x14ac:dyDescent="0.2">
      <c r="A1334" t="str">
        <f>"346 MCG"</f>
        <v>346 MCG</v>
      </c>
      <c r="B1334" t="str">
        <f>"Lincoln's greatest case: the river, the "</f>
        <v xml:space="preserve">Lincoln's greatest case: the river, the </v>
      </c>
      <c r="C1334">
        <v>326101</v>
      </c>
      <c r="D1334" t="str">
        <f>"McGinty, Brian"</f>
        <v>McGinty, Brian</v>
      </c>
      <c r="F1334" t="str">
        <f>"259 p."</f>
        <v>259 p.</v>
      </c>
      <c r="G1334" s="1">
        <v>15</v>
      </c>
      <c r="H1334">
        <v>2015</v>
      </c>
      <c r="I1334" t="str">
        <f t="shared" si="49"/>
        <v>9: 300 - 399</v>
      </c>
      <c r="K1334" t="str">
        <f>"LL - In"</f>
        <v>LL - In</v>
      </c>
      <c r="L1334" s="1">
        <v>32</v>
      </c>
      <c r="M1334" t="s">
        <v>1259</v>
      </c>
      <c r="O1334" t="s">
        <v>28</v>
      </c>
      <c r="P1334">
        <v>0</v>
      </c>
      <c r="Q1334">
        <v>0</v>
      </c>
      <c r="R1334">
        <v>8</v>
      </c>
      <c r="S1334" s="2">
        <v>42059</v>
      </c>
      <c r="T1334" s="2">
        <v>42267</v>
      </c>
      <c r="U1334" s="2">
        <v>42237</v>
      </c>
      <c r="V1334" s="2">
        <v>42267</v>
      </c>
    </row>
    <row r="1335" spans="1:22" x14ac:dyDescent="0.2">
      <c r="A1335" t="str">
        <f>"346 NOR"</f>
        <v>346 NOR</v>
      </c>
      <c r="B1335" t="str">
        <f>"Start a business in Texas"</f>
        <v>Start a business in Texas</v>
      </c>
      <c r="C1335">
        <v>197431</v>
      </c>
      <c r="D1335" t="str">
        <f>"Truly, Traci"</f>
        <v>Truly, Traci</v>
      </c>
      <c r="F1335" t="str">
        <f>"271 p."</f>
        <v>271 p.</v>
      </c>
      <c r="G1335" s="1">
        <v>6</v>
      </c>
      <c r="H1335">
        <v>2006</v>
      </c>
      <c r="I1335" t="str">
        <f t="shared" si="49"/>
        <v>9: 300 - 399</v>
      </c>
      <c r="K1335" t="str">
        <f>"WB - In"</f>
        <v>WB - In</v>
      </c>
      <c r="L1335" s="1">
        <v>35</v>
      </c>
      <c r="M1335" t="s">
        <v>1260</v>
      </c>
      <c r="O1335" t="s">
        <v>28</v>
      </c>
      <c r="P1335">
        <v>4</v>
      </c>
      <c r="Q1335">
        <v>1</v>
      </c>
      <c r="R1335">
        <v>55</v>
      </c>
      <c r="S1335" s="2">
        <v>39008</v>
      </c>
      <c r="T1335" s="2">
        <v>41053</v>
      </c>
      <c r="U1335" s="2">
        <v>43521</v>
      </c>
      <c r="V1335" s="2">
        <v>43535</v>
      </c>
    </row>
    <row r="1336" spans="1:22" x14ac:dyDescent="0.2">
      <c r="A1336" t="str">
        <f>"346 OLL"</f>
        <v>346 OLL</v>
      </c>
      <c r="B1336" t="str">
        <f>"White shoe: how a new breed of Wall Stre"</f>
        <v>White shoe: how a new breed of Wall Stre</v>
      </c>
      <c r="C1336">
        <v>353909</v>
      </c>
      <c r="D1336" t="str">
        <f>"Oller, John"</f>
        <v>Oller, John</v>
      </c>
      <c r="F1336" t="str">
        <f>"438, 16 unnumbered pages of plates, 24 cm, illustrations"</f>
        <v>438, 16 unnumbered pages of plates, 24 cm, illustrations</v>
      </c>
      <c r="G1336" s="1">
        <v>19</v>
      </c>
      <c r="H1336">
        <v>2019</v>
      </c>
      <c r="I1336" t="str">
        <f t="shared" si="49"/>
        <v>9: 300 - 399</v>
      </c>
      <c r="K1336" t="str">
        <f>"WB - In"</f>
        <v>WB - In</v>
      </c>
      <c r="L1336" s="1">
        <v>35</v>
      </c>
      <c r="M1336" t="s">
        <v>1261</v>
      </c>
      <c r="O1336" t="s">
        <v>28</v>
      </c>
      <c r="P1336">
        <v>3</v>
      </c>
      <c r="Q1336">
        <v>0</v>
      </c>
      <c r="R1336">
        <v>3</v>
      </c>
      <c r="S1336" s="2">
        <v>43556</v>
      </c>
      <c r="T1336" s="2">
        <v>43786</v>
      </c>
      <c r="U1336" s="2">
        <v>43744</v>
      </c>
    </row>
    <row r="1337" spans="1:22" x14ac:dyDescent="0.2">
      <c r="A1337" t="str">
        <f>"346 ONE"</f>
        <v>346 ONE</v>
      </c>
      <c r="B1337" t="str">
        <f>"101 law forms for personal use"</f>
        <v>101 law forms for personal use</v>
      </c>
      <c r="C1337">
        <v>291613</v>
      </c>
      <c r="F1337" t="str">
        <f>"358 p."</f>
        <v>358 p.</v>
      </c>
      <c r="G1337" s="1">
        <v>16</v>
      </c>
      <c r="H1337">
        <v>2016</v>
      </c>
      <c r="I1337" t="str">
        <f t="shared" si="49"/>
        <v>9: 300 - 399</v>
      </c>
      <c r="K1337" t="str">
        <f>"WB - In"</f>
        <v>WB - In</v>
      </c>
      <c r="L1337" s="1">
        <v>35</v>
      </c>
      <c r="M1337" t="s">
        <v>1262</v>
      </c>
      <c r="O1337" t="s">
        <v>28</v>
      </c>
      <c r="P1337">
        <v>4</v>
      </c>
      <c r="Q1337">
        <v>1</v>
      </c>
      <c r="R1337">
        <v>5</v>
      </c>
      <c r="S1337" s="2">
        <v>42684</v>
      </c>
      <c r="T1337" s="2">
        <v>43081</v>
      </c>
      <c r="U1337" s="2">
        <v>43837</v>
      </c>
      <c r="V1337" s="2">
        <v>42873</v>
      </c>
    </row>
    <row r="1338" spans="1:22" x14ac:dyDescent="0.2">
      <c r="A1338" t="str">
        <f>"346 WIN"</f>
        <v>346 WIN</v>
      </c>
      <c r="B1338" t="str">
        <f>"We the corporations: how American busine"</f>
        <v>We the corporations: how American busine</v>
      </c>
      <c r="C1338">
        <v>346397</v>
      </c>
      <c r="D1338" t="str">
        <f>"Winkler, Adam"</f>
        <v>Winkler, Adam</v>
      </c>
      <c r="F1338" t="str">
        <f>"xxiv, 471 pages, 25 cm, illustrations"</f>
        <v>xxiv, 471 pages, 25 cm, illustrations</v>
      </c>
      <c r="G1338" s="1">
        <v>18</v>
      </c>
      <c r="H1338">
        <v>2018</v>
      </c>
      <c r="I1338" t="str">
        <f t="shared" si="49"/>
        <v>9: 300 - 399</v>
      </c>
      <c r="K1338" t="str">
        <f>"WB - In"</f>
        <v>WB - In</v>
      </c>
      <c r="L1338" s="1">
        <v>34</v>
      </c>
      <c r="M1338" t="s">
        <v>1263</v>
      </c>
      <c r="O1338" t="s">
        <v>28</v>
      </c>
      <c r="P1338">
        <v>6</v>
      </c>
      <c r="Q1338">
        <v>0</v>
      </c>
      <c r="R1338">
        <v>6</v>
      </c>
      <c r="S1338" s="2">
        <v>43159</v>
      </c>
      <c r="T1338" s="2">
        <v>43341</v>
      </c>
      <c r="U1338" s="2">
        <v>43815</v>
      </c>
    </row>
    <row r="1339" spans="1:22" x14ac:dyDescent="0.2">
      <c r="A1339" t="str">
        <f>"346.04 JAM"</f>
        <v>346.04 JAM</v>
      </c>
      <c r="B1339" t="str">
        <f>"Downsizing the family home: what to save"</f>
        <v>Downsizing the family home: what to save</v>
      </c>
      <c r="C1339">
        <v>345858</v>
      </c>
      <c r="D1339" t="str">
        <f>"Jameson, Marni"</f>
        <v>Jameson, Marni</v>
      </c>
      <c r="F1339" t="str">
        <f>"xviii, 237 pages, 21 cm, illustrations"</f>
        <v>xviii, 237 pages, 21 cm, illustrations</v>
      </c>
      <c r="G1339" s="1">
        <v>18</v>
      </c>
      <c r="H1339">
        <v>2015</v>
      </c>
      <c r="I1339" t="str">
        <f t="shared" si="49"/>
        <v>9: 300 - 399</v>
      </c>
      <c r="K1339" t="str">
        <f>"WB - In"</f>
        <v>WB - In</v>
      </c>
      <c r="L1339" s="1">
        <v>22</v>
      </c>
      <c r="M1339" t="s">
        <v>1264</v>
      </c>
      <c r="O1339" t="s">
        <v>28</v>
      </c>
      <c r="P1339">
        <v>7</v>
      </c>
      <c r="Q1339">
        <v>1</v>
      </c>
      <c r="R1339">
        <v>8</v>
      </c>
      <c r="S1339" s="2">
        <v>43137</v>
      </c>
      <c r="T1339" s="2">
        <v>43143</v>
      </c>
      <c r="U1339" s="2">
        <v>43839</v>
      </c>
      <c r="V1339" s="2">
        <v>43300</v>
      </c>
    </row>
    <row r="1340" spans="1:22" x14ac:dyDescent="0.2">
      <c r="A1340" t="str">
        <f>"346.04 JAM"</f>
        <v>346.04 JAM</v>
      </c>
      <c r="B1340" t="str">
        <f>"Downsizing the family home: what to save"</f>
        <v>Downsizing the family home: what to save</v>
      </c>
      <c r="C1340">
        <v>346347</v>
      </c>
      <c r="D1340" t="str">
        <f>"Jameson, Marni"</f>
        <v>Jameson, Marni</v>
      </c>
      <c r="F1340" t="str">
        <f>"xviii, 237 pages, 21 cm, illustrations"</f>
        <v>xviii, 237 pages, 21 cm, illustrations</v>
      </c>
      <c r="G1340" s="1">
        <v>18</v>
      </c>
      <c r="H1340">
        <v>2015</v>
      </c>
      <c r="I1340" t="str">
        <f t="shared" si="49"/>
        <v>9: 300 - 399</v>
      </c>
      <c r="K1340" t="str">
        <f>"LL - In"</f>
        <v>LL - In</v>
      </c>
      <c r="L1340" s="1">
        <v>22</v>
      </c>
      <c r="M1340" t="s">
        <v>1264</v>
      </c>
      <c r="O1340" t="s">
        <v>28</v>
      </c>
      <c r="P1340">
        <v>7</v>
      </c>
      <c r="Q1340">
        <v>0</v>
      </c>
      <c r="R1340">
        <v>7</v>
      </c>
      <c r="S1340" s="2">
        <v>43159</v>
      </c>
      <c r="T1340" s="2">
        <v>43165</v>
      </c>
      <c r="U1340" s="2">
        <v>43724</v>
      </c>
    </row>
    <row r="1341" spans="1:22" x14ac:dyDescent="0.2">
      <c r="A1341" t="str">
        <f>"346.05 AME"</f>
        <v>346.05 AME</v>
      </c>
      <c r="B1341" t="str">
        <f>"American Bar Association guide to wills "</f>
        <v xml:space="preserve">American Bar Association guide to wills </v>
      </c>
      <c r="C1341">
        <v>323060</v>
      </c>
      <c r="F1341" t="str">
        <f>"xiii, 402 p., 21 cm, forms"</f>
        <v>xiii, 402 p., 21 cm, forms</v>
      </c>
      <c r="G1341" s="1">
        <v>14</v>
      </c>
      <c r="H1341">
        <v>2012</v>
      </c>
      <c r="I1341" t="str">
        <f t="shared" si="49"/>
        <v>9: 300 - 399</v>
      </c>
      <c r="K1341" t="str">
        <f>"WB - In"</f>
        <v>WB - In</v>
      </c>
      <c r="L1341" s="1">
        <v>22</v>
      </c>
      <c r="M1341" t="s">
        <v>1265</v>
      </c>
      <c r="O1341" t="s">
        <v>28</v>
      </c>
      <c r="P1341">
        <v>7</v>
      </c>
      <c r="Q1341">
        <v>0</v>
      </c>
      <c r="R1341">
        <v>22</v>
      </c>
      <c r="S1341" s="2">
        <v>41859</v>
      </c>
      <c r="T1341" s="2">
        <v>41865</v>
      </c>
      <c r="U1341" s="2">
        <v>43699</v>
      </c>
      <c r="V1341" s="2">
        <v>42443</v>
      </c>
    </row>
    <row r="1342" spans="1:22" x14ac:dyDescent="0.2">
      <c r="A1342" t="str">
        <f>"346.05 CAR"</f>
        <v>346.05 CAR</v>
      </c>
      <c r="B1342" t="str">
        <f>"Love &amp; money: protecting yourself from a"</f>
        <v>Love &amp; money: protecting yourself from a</v>
      </c>
      <c r="C1342">
        <v>295352</v>
      </c>
      <c r="D1342" t="str">
        <f>"Carrozza, Ann-Margaret"</f>
        <v>Carrozza, Ann-Margaret</v>
      </c>
      <c r="F1342" t="str">
        <f>"xiii, 225 pages, 24 cm"</f>
        <v>xiii, 225 pages, 24 cm</v>
      </c>
      <c r="G1342" s="1">
        <v>17</v>
      </c>
      <c r="H1342">
        <v>2017</v>
      </c>
      <c r="I1342" t="str">
        <f t="shared" si="49"/>
        <v>9: 300 - 399</v>
      </c>
      <c r="K1342" t="str">
        <f>"WB - In"</f>
        <v>WB - In</v>
      </c>
      <c r="L1342" s="1">
        <v>30</v>
      </c>
      <c r="M1342" t="s">
        <v>1266</v>
      </c>
      <c r="O1342" t="s">
        <v>28</v>
      </c>
      <c r="P1342">
        <v>6</v>
      </c>
      <c r="Q1342">
        <v>3</v>
      </c>
      <c r="R1342">
        <v>9</v>
      </c>
      <c r="S1342" s="2">
        <v>42882</v>
      </c>
      <c r="T1342" s="2">
        <v>43045</v>
      </c>
      <c r="U1342" s="2">
        <v>43528</v>
      </c>
      <c r="V1342" s="2">
        <v>43045</v>
      </c>
    </row>
    <row r="1343" spans="1:22" x14ac:dyDescent="0.2">
      <c r="A1343" t="str">
        <f>"346.05 CLI"</f>
        <v>346.05 CLI</v>
      </c>
      <c r="B1343" t="str">
        <f>"Estate planning basics"</f>
        <v>Estate planning basics</v>
      </c>
      <c r="C1343">
        <v>284903</v>
      </c>
      <c r="D1343" t="str">
        <f>"Clifford, Denis"</f>
        <v>Clifford, Denis</v>
      </c>
      <c r="F1343" t="str">
        <f>"219 p."</f>
        <v>219 p.</v>
      </c>
      <c r="G1343" s="1">
        <v>15</v>
      </c>
      <c r="H1343">
        <v>2015</v>
      </c>
      <c r="I1343" t="str">
        <f t="shared" si="49"/>
        <v>9: 300 - 399</v>
      </c>
      <c r="K1343" t="str">
        <f>"WB - In"</f>
        <v>WB - In</v>
      </c>
      <c r="L1343" s="1">
        <v>30</v>
      </c>
      <c r="M1343" t="s">
        <v>1267</v>
      </c>
      <c r="O1343" t="s">
        <v>28</v>
      </c>
      <c r="P1343">
        <v>17</v>
      </c>
      <c r="Q1343">
        <v>4</v>
      </c>
      <c r="R1343">
        <v>29</v>
      </c>
      <c r="S1343" s="2">
        <v>42368</v>
      </c>
      <c r="T1343" s="2">
        <v>42376</v>
      </c>
      <c r="U1343" s="2">
        <v>43801</v>
      </c>
      <c r="V1343" s="2">
        <v>43107</v>
      </c>
    </row>
    <row r="1344" spans="1:22" x14ac:dyDescent="0.2">
      <c r="A1344" t="str">
        <f>"346.05 CLI"</f>
        <v>346.05 CLI</v>
      </c>
      <c r="B1344" t="str">
        <f>"Make your own living trust"</f>
        <v>Make your own living trust</v>
      </c>
      <c r="C1344">
        <v>353843</v>
      </c>
      <c r="D1344" t="str">
        <f>"Clifford, Denis"</f>
        <v>Clifford, Denis</v>
      </c>
      <c r="F1344" t="str">
        <f>"340 p."</f>
        <v>340 p.</v>
      </c>
      <c r="G1344" s="1">
        <v>19</v>
      </c>
      <c r="H1344">
        <v>2019</v>
      </c>
      <c r="I1344" t="str">
        <f t="shared" si="49"/>
        <v>9: 300 - 399</v>
      </c>
      <c r="K1344" t="str">
        <f>"WB - In"</f>
        <v>WB - In</v>
      </c>
      <c r="L1344" s="1">
        <v>45</v>
      </c>
      <c r="M1344" t="s">
        <v>1268</v>
      </c>
      <c r="O1344" t="s">
        <v>28</v>
      </c>
      <c r="P1344">
        <v>4</v>
      </c>
      <c r="Q1344">
        <v>0</v>
      </c>
      <c r="R1344">
        <v>4</v>
      </c>
      <c r="S1344" s="2">
        <v>43566</v>
      </c>
      <c r="T1344" s="2">
        <v>43574</v>
      </c>
      <c r="U1344" s="2">
        <v>43725</v>
      </c>
    </row>
    <row r="1345" spans="1:22" x14ac:dyDescent="0.2">
      <c r="A1345" t="str">
        <f>"346.05 CLI"</f>
        <v>346.05 CLI</v>
      </c>
      <c r="B1345" t="str">
        <f>"Make your own living trust"</f>
        <v>Make your own living trust</v>
      </c>
      <c r="C1345">
        <v>353844</v>
      </c>
      <c r="D1345" t="str">
        <f>"Clifford, Denis"</f>
        <v>Clifford, Denis</v>
      </c>
      <c r="F1345" t="str">
        <f>"340 p."</f>
        <v>340 p.</v>
      </c>
      <c r="G1345" s="1">
        <v>19</v>
      </c>
      <c r="H1345">
        <v>2019</v>
      </c>
      <c r="I1345" t="str">
        <f t="shared" si="49"/>
        <v>9: 300 - 399</v>
      </c>
      <c r="K1345" t="str">
        <f>"LL - In"</f>
        <v>LL - In</v>
      </c>
      <c r="L1345" s="1">
        <v>45</v>
      </c>
      <c r="M1345" t="s">
        <v>1268</v>
      </c>
      <c r="O1345" t="s">
        <v>28</v>
      </c>
      <c r="P1345">
        <v>2</v>
      </c>
      <c r="Q1345">
        <v>0</v>
      </c>
      <c r="R1345">
        <v>2</v>
      </c>
      <c r="S1345" s="2">
        <v>43566</v>
      </c>
      <c r="T1345" s="2">
        <v>43574</v>
      </c>
      <c r="U1345" s="2">
        <v>43701</v>
      </c>
    </row>
    <row r="1346" spans="1:22" x14ac:dyDescent="0.2">
      <c r="A1346" t="str">
        <f>"346.05 CLI"</f>
        <v>346.05 CLI</v>
      </c>
      <c r="B1346" t="str">
        <f>"Plan your estate"</f>
        <v>Plan your estate</v>
      </c>
      <c r="C1346">
        <v>400878</v>
      </c>
      <c r="D1346" t="str">
        <f>"Clifford, Denis"</f>
        <v>Clifford, Denis</v>
      </c>
      <c r="F1346" t="str">
        <f>"508 p."</f>
        <v>508 p.</v>
      </c>
      <c r="G1346" s="1">
        <v>18</v>
      </c>
      <c r="H1346">
        <v>2018</v>
      </c>
      <c r="I1346" t="str">
        <f t="shared" si="49"/>
        <v>9: 300 - 399</v>
      </c>
      <c r="K1346" t="str">
        <f>"WB - In"</f>
        <v>WB - In</v>
      </c>
      <c r="L1346" s="1">
        <v>50</v>
      </c>
      <c r="M1346" t="s">
        <v>1269</v>
      </c>
      <c r="O1346" t="s">
        <v>28</v>
      </c>
      <c r="P1346">
        <v>11</v>
      </c>
      <c r="Q1346">
        <v>0</v>
      </c>
      <c r="R1346">
        <v>11</v>
      </c>
      <c r="S1346" s="2">
        <v>43228</v>
      </c>
      <c r="T1346" s="2">
        <v>43230</v>
      </c>
      <c r="U1346" s="2">
        <v>43769</v>
      </c>
    </row>
    <row r="1347" spans="1:22" x14ac:dyDescent="0.2">
      <c r="A1347" t="str">
        <f>"346.05 CUL"</f>
        <v>346.05 CUL</v>
      </c>
      <c r="B1347" t="str">
        <f>"Get it together: organize your records s"</f>
        <v>Get it together: organize your records s</v>
      </c>
      <c r="C1347">
        <v>351768</v>
      </c>
      <c r="D1347" t="str">
        <f>"Cullen, Melanie,"</f>
        <v>Cullen, Melanie,</v>
      </c>
      <c r="F1347" t="str">
        <f>"247, 143, 22 pages, 28 cm"</f>
        <v>247, 143, 22 pages, 28 cm</v>
      </c>
      <c r="G1347" s="1">
        <v>18</v>
      </c>
      <c r="H1347">
        <v>2018</v>
      </c>
      <c r="I1347" t="str">
        <f t="shared" si="49"/>
        <v>9: 300 - 399</v>
      </c>
      <c r="K1347" t="str">
        <f>"WB - In"</f>
        <v>WB - In</v>
      </c>
      <c r="L1347" s="1">
        <v>30</v>
      </c>
      <c r="M1347" t="s">
        <v>1270</v>
      </c>
      <c r="O1347" t="s">
        <v>28</v>
      </c>
      <c r="P1347">
        <v>7</v>
      </c>
      <c r="Q1347">
        <v>0</v>
      </c>
      <c r="R1347">
        <v>7</v>
      </c>
      <c r="S1347" s="2">
        <v>43444</v>
      </c>
      <c r="T1347" s="2">
        <v>43446</v>
      </c>
      <c r="U1347" s="2">
        <v>43837</v>
      </c>
    </row>
    <row r="1348" spans="1:22" x14ac:dyDescent="0.2">
      <c r="A1348" t="str">
        <f>"346.05 HOD"</f>
        <v>346.05 HOD</v>
      </c>
      <c r="B1348" t="str">
        <f>"Estate planning for the sandwich generat"</f>
        <v>Estate planning for the sandwich generat</v>
      </c>
      <c r="C1348">
        <v>354808</v>
      </c>
      <c r="D1348" t="str">
        <f>"Hodder, Catherine."</f>
        <v>Hodder, Catherine.</v>
      </c>
      <c r="F1348" t="str">
        <f>"193 p."</f>
        <v>193 p.</v>
      </c>
      <c r="G1348" s="1">
        <v>19</v>
      </c>
      <c r="H1348">
        <v>2018</v>
      </c>
      <c r="I1348" t="str">
        <f t="shared" si="49"/>
        <v>9: 300 - 399</v>
      </c>
      <c r="K1348" t="str">
        <f>"LL - In"</f>
        <v>LL - In</v>
      </c>
      <c r="L1348" s="1">
        <v>20</v>
      </c>
      <c r="M1348" t="s">
        <v>1271</v>
      </c>
      <c r="O1348" t="s">
        <v>28</v>
      </c>
      <c r="P1348">
        <v>1</v>
      </c>
      <c r="Q1348">
        <v>0</v>
      </c>
      <c r="R1348">
        <v>1</v>
      </c>
      <c r="S1348" s="2">
        <v>43595</v>
      </c>
      <c r="T1348" s="2">
        <v>43693</v>
      </c>
      <c r="U1348" s="2">
        <v>43826</v>
      </c>
    </row>
    <row r="1349" spans="1:22" x14ac:dyDescent="0.2">
      <c r="A1349" t="str">
        <f>"346.05 HUR"</f>
        <v>346.05 HUR</v>
      </c>
      <c r="B1349" t="str">
        <f>"Checklist for my family: a guide to my h"</f>
        <v>Checklist for my family: a guide to my h</v>
      </c>
      <c r="C1349">
        <v>282160</v>
      </c>
      <c r="D1349" t="str">
        <f>"Hurme, Sally Balch"</f>
        <v>Hurme, Sally Balch</v>
      </c>
      <c r="F1349" t="str">
        <f>"xxi, 250 pages, 26 cm, forms"</f>
        <v>xxi, 250 pages, 26 cm, forms</v>
      </c>
      <c r="G1349" s="1">
        <v>15</v>
      </c>
      <c r="H1349">
        <v>2015</v>
      </c>
      <c r="I1349" t="str">
        <f t="shared" si="49"/>
        <v>9: 300 - 399</v>
      </c>
      <c r="K1349" t="str">
        <f>"WB - In"</f>
        <v>WB - In</v>
      </c>
      <c r="L1349" s="1">
        <v>25</v>
      </c>
      <c r="M1349" t="s">
        <v>1272</v>
      </c>
      <c r="O1349" t="s">
        <v>28</v>
      </c>
      <c r="P1349">
        <v>15</v>
      </c>
      <c r="Q1349">
        <v>1</v>
      </c>
      <c r="R1349">
        <v>35</v>
      </c>
      <c r="S1349" s="2">
        <v>42215</v>
      </c>
      <c r="T1349" s="2">
        <v>42219</v>
      </c>
      <c r="U1349" s="2">
        <v>43780</v>
      </c>
      <c r="V1349" s="2">
        <v>43054</v>
      </c>
    </row>
    <row r="1350" spans="1:22" x14ac:dyDescent="0.2">
      <c r="A1350" t="str">
        <f>"346.05 MUN"</f>
        <v>346.05 MUN</v>
      </c>
      <c r="B1350" t="str">
        <f>"Estate &amp; trust administration"</f>
        <v>Estate &amp; trust administration</v>
      </c>
      <c r="C1350">
        <v>358602</v>
      </c>
      <c r="D1350" t="str">
        <f>"Munro, Margaret A."</f>
        <v>Munro, Margaret A.</v>
      </c>
      <c r="E1350" t="str">
        <f>"For Dummies series"</f>
        <v>For Dummies series</v>
      </c>
      <c r="F1350" t="str">
        <f>"xv, 412 pages, 24 cm"</f>
        <v>xv, 412 pages, 24 cm</v>
      </c>
      <c r="G1350" s="1">
        <v>19</v>
      </c>
      <c r="H1350">
        <v>2019</v>
      </c>
      <c r="I1350" t="str">
        <f t="shared" si="49"/>
        <v>9: 300 - 399</v>
      </c>
      <c r="K1350" t="str">
        <f>"WB - In"</f>
        <v>WB - In</v>
      </c>
      <c r="L1350" s="1">
        <v>32</v>
      </c>
      <c r="M1350" t="s">
        <v>1273</v>
      </c>
      <c r="O1350" t="s">
        <v>28</v>
      </c>
      <c r="P1350">
        <v>0</v>
      </c>
      <c r="Q1350">
        <v>0</v>
      </c>
      <c r="R1350">
        <v>0</v>
      </c>
      <c r="S1350" s="2">
        <v>43753</v>
      </c>
      <c r="T1350" s="2">
        <v>43819</v>
      </c>
    </row>
    <row r="1351" spans="1:22" x14ac:dyDescent="0.2">
      <c r="A1351" t="str">
        <f>"346.05 RAN"</f>
        <v>346.05 RAN</v>
      </c>
      <c r="B1351" t="str">
        <f>"executor's guide: settling a loved one's"</f>
        <v>executor's guide: settling a loved one's</v>
      </c>
      <c r="C1351">
        <v>298516</v>
      </c>
      <c r="D1351" t="str">
        <f>"Randolph, Mary"</f>
        <v>Randolph, Mary</v>
      </c>
      <c r="F1351" t="str">
        <f>"501 p."</f>
        <v>501 p.</v>
      </c>
      <c r="G1351" s="1">
        <v>18</v>
      </c>
      <c r="H1351">
        <v>2018</v>
      </c>
      <c r="I1351" t="str">
        <f t="shared" si="49"/>
        <v>9: 300 - 399</v>
      </c>
      <c r="K1351" t="str">
        <f>"WB - In"</f>
        <v>WB - In</v>
      </c>
      <c r="L1351" s="1">
        <v>45</v>
      </c>
      <c r="M1351" t="s">
        <v>1274</v>
      </c>
      <c r="O1351" t="s">
        <v>28</v>
      </c>
      <c r="P1351">
        <v>8</v>
      </c>
      <c r="Q1351">
        <v>0</v>
      </c>
      <c r="R1351">
        <v>8</v>
      </c>
      <c r="S1351" s="2">
        <v>43180</v>
      </c>
      <c r="T1351" s="2">
        <v>43181</v>
      </c>
      <c r="U1351" s="2">
        <v>43806</v>
      </c>
    </row>
    <row r="1352" spans="1:22" x14ac:dyDescent="0.2">
      <c r="A1352" t="str">
        <f>"346.05 REY"</f>
        <v>346.05 REY</v>
      </c>
      <c r="B1352" t="str">
        <f>"What matters most: the Get Your Sh*t Tog"</f>
        <v>What matters most: the Get Your Sh*t Tog</v>
      </c>
      <c r="C1352">
        <v>353689</v>
      </c>
      <c r="D1352" t="str">
        <f>"Reynolds, Chanel."</f>
        <v>Reynolds, Chanel.</v>
      </c>
      <c r="F1352" t="str">
        <f>"313 p."</f>
        <v>313 p.</v>
      </c>
      <c r="G1352" s="1">
        <v>19</v>
      </c>
      <c r="H1352">
        <v>2019</v>
      </c>
      <c r="I1352" t="str">
        <f t="shared" ref="I1352:I1415" si="51">"9: 300 - 399"</f>
        <v>9: 300 - 399</v>
      </c>
      <c r="K1352" t="str">
        <f>"WB - Out"</f>
        <v>WB - Out</v>
      </c>
      <c r="L1352" s="1">
        <v>31</v>
      </c>
      <c r="M1352" t="s">
        <v>1275</v>
      </c>
      <c r="O1352" t="s">
        <v>28</v>
      </c>
      <c r="P1352">
        <v>7</v>
      </c>
      <c r="Q1352">
        <v>0</v>
      </c>
      <c r="R1352">
        <v>7</v>
      </c>
      <c r="S1352" s="2">
        <v>43549</v>
      </c>
      <c r="T1352" s="2">
        <v>43705</v>
      </c>
      <c r="U1352" s="2">
        <v>43856</v>
      </c>
    </row>
    <row r="1353" spans="1:22" x14ac:dyDescent="0.2">
      <c r="A1353" t="str">
        <f>"346.05 VEN"</f>
        <v>346.05 VEN</v>
      </c>
      <c r="B1353" t="str">
        <f>"will kit"</f>
        <v>will kit</v>
      </c>
      <c r="C1353">
        <v>106341</v>
      </c>
      <c r="D1353" t="str">
        <f>"Ventura, John"</f>
        <v>Ventura, John</v>
      </c>
      <c r="F1353" t="str">
        <f>"ix, 224 p., 28 cm."</f>
        <v>ix, 224 p., 28 cm.</v>
      </c>
      <c r="G1353" s="1">
        <v>2</v>
      </c>
      <c r="H1353">
        <v>2002</v>
      </c>
      <c r="I1353" t="str">
        <f t="shared" si="51"/>
        <v>9: 300 - 399</v>
      </c>
      <c r="K1353" t="str">
        <f>"LL - In"</f>
        <v>LL - In</v>
      </c>
      <c r="L1353" s="1">
        <v>24</v>
      </c>
      <c r="M1353" t="s">
        <v>1276</v>
      </c>
      <c r="O1353" t="s">
        <v>28</v>
      </c>
      <c r="P1353">
        <v>3</v>
      </c>
      <c r="Q1353">
        <v>2</v>
      </c>
      <c r="R1353">
        <v>52</v>
      </c>
      <c r="S1353" s="2">
        <v>37373</v>
      </c>
      <c r="T1353" s="2">
        <v>41053</v>
      </c>
      <c r="U1353" s="2">
        <v>43303</v>
      </c>
      <c r="V1353" s="2">
        <v>43544</v>
      </c>
    </row>
    <row r="1354" spans="1:22" x14ac:dyDescent="0.2">
      <c r="A1354" t="str">
        <f>"346.05 WHE"</f>
        <v>346.05 WHE</v>
      </c>
      <c r="B1354" t="str">
        <f>"Tax-free wealth: how to build massive we"</f>
        <v>Tax-free wealth: how to build massive we</v>
      </c>
      <c r="C1354">
        <v>353767</v>
      </c>
      <c r="D1354" t="str">
        <f>"Wheelwright, Tom."</f>
        <v>Wheelwright, Tom.</v>
      </c>
      <c r="E1354" t="str">
        <f>"Rich Dad's Advisors series"</f>
        <v>Rich Dad's Advisors series</v>
      </c>
      <c r="F1354" t="str">
        <f>"xxii, 282 pages, 23 cm, illustrations"</f>
        <v>xxii, 282 pages, 23 cm, illustrations</v>
      </c>
      <c r="G1354" s="1">
        <v>19</v>
      </c>
      <c r="H1354">
        <v>2018</v>
      </c>
      <c r="I1354" t="str">
        <f t="shared" si="51"/>
        <v>9: 300 - 399</v>
      </c>
      <c r="K1354" t="str">
        <f>"WB - Out"</f>
        <v>WB - Out</v>
      </c>
      <c r="L1354" s="1">
        <v>25</v>
      </c>
      <c r="M1354" t="s">
        <v>1277</v>
      </c>
      <c r="O1354" t="s">
        <v>28</v>
      </c>
      <c r="P1354">
        <v>3</v>
      </c>
      <c r="Q1354">
        <v>0</v>
      </c>
      <c r="R1354">
        <v>3</v>
      </c>
      <c r="S1354" s="2">
        <v>43549</v>
      </c>
      <c r="T1354" s="2">
        <v>43570</v>
      </c>
      <c r="U1354" s="2">
        <v>43781</v>
      </c>
    </row>
    <row r="1355" spans="1:22" x14ac:dyDescent="0.2">
      <c r="A1355" t="str">
        <f>"346.05 WHE"</f>
        <v>346.05 WHE</v>
      </c>
      <c r="B1355" t="str">
        <f>"Tax-free wealth: how to build massive we"</f>
        <v>Tax-free wealth: how to build massive we</v>
      </c>
      <c r="C1355">
        <v>353769</v>
      </c>
      <c r="D1355" t="str">
        <f>"Wheelwright, Tom."</f>
        <v>Wheelwright, Tom.</v>
      </c>
      <c r="E1355" t="str">
        <f>"Rich Dad's Advisors series"</f>
        <v>Rich Dad's Advisors series</v>
      </c>
      <c r="F1355" t="str">
        <f>"xxii, 282 pages, 23 cm, illustrations"</f>
        <v>xxii, 282 pages, 23 cm, illustrations</v>
      </c>
      <c r="G1355" s="1">
        <v>19</v>
      </c>
      <c r="H1355">
        <v>2018</v>
      </c>
      <c r="I1355" t="str">
        <f t="shared" si="51"/>
        <v>9: 300 - 399</v>
      </c>
      <c r="K1355" t="str">
        <f>"LL - Out"</f>
        <v>LL - Out</v>
      </c>
      <c r="L1355" s="1">
        <v>25</v>
      </c>
      <c r="M1355" t="s">
        <v>1277</v>
      </c>
      <c r="O1355" t="s">
        <v>28</v>
      </c>
      <c r="P1355">
        <v>4</v>
      </c>
      <c r="Q1355">
        <v>0</v>
      </c>
      <c r="R1355">
        <v>4</v>
      </c>
      <c r="S1355" s="2">
        <v>43549</v>
      </c>
      <c r="T1355" s="2">
        <v>43570</v>
      </c>
      <c r="U1355" s="2">
        <v>43851</v>
      </c>
    </row>
    <row r="1356" spans="1:22" x14ac:dyDescent="0.2">
      <c r="A1356" t="str">
        <f>"346.05 WIL"</f>
        <v>346.05 WIL</v>
      </c>
      <c r="B1356" t="str">
        <f>"Quicken WillMaker Plus 2017"</f>
        <v>Quicken WillMaker Plus 2017</v>
      </c>
      <c r="C1356">
        <v>291657</v>
      </c>
      <c r="D1356" t="str">
        <f>"Hannibal, Betsy Simmons"</f>
        <v>Hannibal, Betsy Simmons</v>
      </c>
      <c r="F1356" t="str">
        <f>"467 p., 23 cm., ill."</f>
        <v>467 p., 23 cm., ill.</v>
      </c>
      <c r="G1356" s="1">
        <v>16</v>
      </c>
      <c r="H1356">
        <v>2017</v>
      </c>
      <c r="I1356" t="str">
        <f t="shared" si="51"/>
        <v>9: 300 - 399</v>
      </c>
      <c r="K1356" t="str">
        <f>"WB - In"</f>
        <v>WB - In</v>
      </c>
      <c r="L1356" s="1">
        <v>55</v>
      </c>
      <c r="M1356" t="s">
        <v>1278</v>
      </c>
      <c r="O1356" t="s">
        <v>28</v>
      </c>
      <c r="P1356">
        <v>10</v>
      </c>
      <c r="Q1356">
        <v>1</v>
      </c>
      <c r="R1356">
        <v>13</v>
      </c>
      <c r="S1356" s="2">
        <v>42686</v>
      </c>
      <c r="T1356" s="2">
        <v>42696</v>
      </c>
      <c r="U1356" s="2">
        <v>43551</v>
      </c>
      <c r="V1356" s="2">
        <v>43012</v>
      </c>
    </row>
    <row r="1357" spans="1:22" x14ac:dyDescent="0.2">
      <c r="A1357" t="str">
        <f>"347 BAR"</f>
        <v>347 BAR</v>
      </c>
      <c r="B1357" t="str">
        <f>"Rebooting justice: more technology,fewer"</f>
        <v>Rebooting justice: more technology,fewer</v>
      </c>
      <c r="C1357">
        <v>343664</v>
      </c>
      <c r="D1357" t="str">
        <f>"Barton, Benjamin H.,"</f>
        <v>Barton, Benjamin H.,</v>
      </c>
      <c r="F1357" t="str">
        <f>"231 pages, 24 cm"</f>
        <v>231 pages, 24 cm</v>
      </c>
      <c r="G1357" s="1">
        <v>17</v>
      </c>
      <c r="H1357">
        <v>2017</v>
      </c>
      <c r="I1357" t="str">
        <f t="shared" si="51"/>
        <v>9: 300 - 399</v>
      </c>
      <c r="K1357" t="str">
        <f>"LL - In"</f>
        <v>LL - In</v>
      </c>
      <c r="L1357" s="1">
        <v>29</v>
      </c>
      <c r="M1357" t="s">
        <v>1279</v>
      </c>
      <c r="O1357" t="s">
        <v>28</v>
      </c>
      <c r="P1357">
        <v>6</v>
      </c>
      <c r="Q1357">
        <v>1</v>
      </c>
      <c r="R1357">
        <v>7</v>
      </c>
      <c r="S1357" s="2">
        <v>43004</v>
      </c>
      <c r="T1357" s="2">
        <v>43220</v>
      </c>
      <c r="U1357" s="2">
        <v>43156</v>
      </c>
      <c r="V1357" s="2">
        <v>43243</v>
      </c>
    </row>
    <row r="1358" spans="1:22" x14ac:dyDescent="0.2">
      <c r="A1358" t="str">
        <f>"347 WAR"</f>
        <v>347 WAR</v>
      </c>
      <c r="B1358" t="str">
        <f>"Everybody's guide to small claims court"</f>
        <v>Everybody's guide to small claims court</v>
      </c>
      <c r="C1358">
        <v>309604</v>
      </c>
      <c r="D1358" t="str">
        <f>"O'Neill, Cara"</f>
        <v>O'Neill, Cara</v>
      </c>
      <c r="F1358" t="str">
        <f>"422 p."</f>
        <v>422 p.</v>
      </c>
      <c r="G1358" s="1">
        <v>18</v>
      </c>
      <c r="H1358">
        <v>2018</v>
      </c>
      <c r="I1358" t="str">
        <f t="shared" si="51"/>
        <v>9: 300 - 399</v>
      </c>
      <c r="K1358" t="str">
        <f>"WB - Out"</f>
        <v>WB - Out</v>
      </c>
      <c r="L1358" s="1">
        <v>35</v>
      </c>
      <c r="M1358" t="s">
        <v>1280</v>
      </c>
      <c r="O1358" t="s">
        <v>28</v>
      </c>
      <c r="P1358">
        <v>1</v>
      </c>
      <c r="Q1358">
        <v>0</v>
      </c>
      <c r="R1358">
        <v>1</v>
      </c>
      <c r="S1358" s="2">
        <v>43199</v>
      </c>
      <c r="T1358" s="2">
        <v>43201</v>
      </c>
      <c r="U1358" s="2">
        <v>43852</v>
      </c>
    </row>
    <row r="1359" spans="1:22" x14ac:dyDescent="0.2">
      <c r="A1359" t="str">
        <f>"347 WAR"</f>
        <v>347 WAR</v>
      </c>
      <c r="B1359" t="str">
        <f>"Everybody's guide to small claims court"</f>
        <v>Everybody's guide to small claims court</v>
      </c>
      <c r="C1359">
        <v>272951</v>
      </c>
      <c r="D1359" t="str">
        <f>"Warner, Ralph"</f>
        <v>Warner, Ralph</v>
      </c>
      <c r="F1359" t="str">
        <f>"422 p."</f>
        <v>422 p.</v>
      </c>
      <c r="G1359" s="1">
        <v>14</v>
      </c>
      <c r="H1359">
        <v>2014</v>
      </c>
      <c r="I1359" t="str">
        <f t="shared" si="51"/>
        <v>9: 300 - 399</v>
      </c>
      <c r="K1359" t="str">
        <f>"LL - In"</f>
        <v>LL - In</v>
      </c>
      <c r="L1359" s="1">
        <v>35</v>
      </c>
      <c r="M1359" t="s">
        <v>1281</v>
      </c>
      <c r="O1359" t="s">
        <v>28</v>
      </c>
      <c r="P1359">
        <v>1</v>
      </c>
      <c r="Q1359">
        <v>0</v>
      </c>
      <c r="R1359">
        <v>2</v>
      </c>
      <c r="S1359" s="2">
        <v>41743</v>
      </c>
      <c r="T1359" s="2">
        <v>41767</v>
      </c>
      <c r="U1359" s="2">
        <v>43282</v>
      </c>
    </row>
    <row r="1360" spans="1:22" x14ac:dyDescent="0.2">
      <c r="A1360" t="str">
        <f>"347.73 BRE"</f>
        <v>347.73 BRE</v>
      </c>
      <c r="B1360" t="str">
        <f>"Court and the world: American law and th"</f>
        <v>Court and the world: American law and th</v>
      </c>
      <c r="C1360">
        <v>330257</v>
      </c>
      <c r="D1360" t="str">
        <f>"Breyer, Stephen G."</f>
        <v>Breyer, Stephen G.</v>
      </c>
      <c r="F1360" t="str">
        <f>"viii, 382 pages, 25 cm"</f>
        <v>viii, 382 pages, 25 cm</v>
      </c>
      <c r="G1360" s="1">
        <v>15</v>
      </c>
      <c r="H1360">
        <v>2015</v>
      </c>
      <c r="I1360" t="str">
        <f t="shared" si="51"/>
        <v>9: 300 - 399</v>
      </c>
      <c r="K1360" t="str">
        <f>"LL - In"</f>
        <v>LL - In</v>
      </c>
      <c r="L1360" s="1">
        <v>33</v>
      </c>
      <c r="M1360" t="s">
        <v>1282</v>
      </c>
      <c r="O1360" t="s">
        <v>28</v>
      </c>
      <c r="P1360">
        <v>1</v>
      </c>
      <c r="Q1360">
        <v>0</v>
      </c>
      <c r="R1360">
        <v>4</v>
      </c>
      <c r="S1360" s="2">
        <v>42279</v>
      </c>
      <c r="T1360" s="2">
        <v>42452</v>
      </c>
      <c r="U1360" s="2">
        <v>43603</v>
      </c>
    </row>
    <row r="1361" spans="1:22" x14ac:dyDescent="0.2">
      <c r="A1361" t="str">
        <f>"347.73 COH"</f>
        <v>347.73 COH</v>
      </c>
      <c r="B1361" t="str">
        <f>"Imbeciles: the Supreme Court, American e"</f>
        <v>Imbeciles: the Supreme Court, American e</v>
      </c>
      <c r="C1361">
        <v>333507</v>
      </c>
      <c r="D1361" t="str">
        <f>"Cohen, Adam"</f>
        <v>Cohen, Adam</v>
      </c>
      <c r="F1361" t="str">
        <f>"402 p."</f>
        <v>402 p.</v>
      </c>
      <c r="G1361" s="1">
        <v>16</v>
      </c>
      <c r="H1361">
        <v>2016</v>
      </c>
      <c r="I1361" t="str">
        <f t="shared" si="51"/>
        <v>9: 300 - 399</v>
      </c>
      <c r="K1361" t="str">
        <f>"LL - In"</f>
        <v>LL - In</v>
      </c>
      <c r="L1361" s="1">
        <v>33</v>
      </c>
      <c r="M1361" t="s">
        <v>1283</v>
      </c>
      <c r="O1361" t="s">
        <v>28</v>
      </c>
      <c r="P1361">
        <v>0</v>
      </c>
      <c r="Q1361">
        <v>0</v>
      </c>
      <c r="R1361">
        <v>6</v>
      </c>
      <c r="S1361" s="2">
        <v>42426</v>
      </c>
      <c r="T1361" s="2">
        <v>42621</v>
      </c>
      <c r="U1361" s="2">
        <v>42621</v>
      </c>
      <c r="V1361" s="2">
        <v>42514</v>
      </c>
    </row>
    <row r="1362" spans="1:22" x14ac:dyDescent="0.2">
      <c r="A1362" t="str">
        <f>"347.73 COY"</f>
        <v>347.73 COY</v>
      </c>
      <c r="B1362" t="str">
        <f>"Roberts court: the struggle for the Cons"</f>
        <v>Roberts court: the struggle for the Cons</v>
      </c>
      <c r="C1362">
        <v>314254</v>
      </c>
      <c r="D1362" t="str">
        <f>"Coyle, Marcia."</f>
        <v>Coyle, Marcia.</v>
      </c>
      <c r="F1362" t="str">
        <f>"viii, 407 p., 25 cm., ill."</f>
        <v>viii, 407 p., 25 cm., ill.</v>
      </c>
      <c r="G1362" s="1">
        <v>13</v>
      </c>
      <c r="H1362">
        <v>2013</v>
      </c>
      <c r="I1362" t="str">
        <f t="shared" si="51"/>
        <v>9: 300 - 399</v>
      </c>
      <c r="K1362" t="str">
        <f t="shared" ref="K1362:K1368" si="52">"WB - In"</f>
        <v>WB - In</v>
      </c>
      <c r="L1362" s="1">
        <v>33</v>
      </c>
      <c r="M1362" t="s">
        <v>1284</v>
      </c>
      <c r="O1362" t="s">
        <v>28</v>
      </c>
      <c r="P1362">
        <v>0</v>
      </c>
      <c r="Q1362">
        <v>0</v>
      </c>
      <c r="R1362">
        <v>9</v>
      </c>
      <c r="S1362" s="2">
        <v>41408</v>
      </c>
      <c r="T1362" s="2">
        <v>41620</v>
      </c>
      <c r="U1362" s="2">
        <v>42025</v>
      </c>
    </row>
    <row r="1363" spans="1:22" x14ac:dyDescent="0.2">
      <c r="A1363" t="str">
        <f>"347.73 GRA"</f>
        <v>347.73 GRA</v>
      </c>
      <c r="B1363" t="str">
        <f>"Burger court and the rise of the judicia"</f>
        <v>Burger court and the rise of the judicia</v>
      </c>
      <c r="C1363">
        <v>336127</v>
      </c>
      <c r="D1363" t="str">
        <f>"Graetz, Michael J."</f>
        <v>Graetz, Michael J.</v>
      </c>
      <c r="F1363" t="str">
        <f>"x, 468 pages, 24 cm, illustrations"</f>
        <v>x, 468 pages, 24 cm, illustrations</v>
      </c>
      <c r="G1363" s="1">
        <v>16</v>
      </c>
      <c r="H1363">
        <v>2016</v>
      </c>
      <c r="I1363" t="str">
        <f t="shared" si="51"/>
        <v>9: 300 - 399</v>
      </c>
      <c r="K1363" t="str">
        <f t="shared" si="52"/>
        <v>WB - In</v>
      </c>
      <c r="L1363" s="1">
        <v>35</v>
      </c>
      <c r="M1363" t="s">
        <v>1285</v>
      </c>
      <c r="O1363" t="s">
        <v>28</v>
      </c>
      <c r="P1363">
        <v>0</v>
      </c>
      <c r="Q1363">
        <v>0</v>
      </c>
      <c r="R1363">
        <v>2</v>
      </c>
      <c r="S1363" s="2">
        <v>42565</v>
      </c>
      <c r="T1363" s="2">
        <v>42739</v>
      </c>
      <c r="U1363" s="2">
        <v>42713</v>
      </c>
      <c r="V1363" s="2">
        <v>42612</v>
      </c>
    </row>
    <row r="1364" spans="1:22" x14ac:dyDescent="0.2">
      <c r="A1364" t="str">
        <f>"347.73 HIR"</f>
        <v>347.73 HIR</v>
      </c>
      <c r="B1364" t="str">
        <f>"Sisters in law: how Sandra Day O'Connor "</f>
        <v xml:space="preserve">Sisters in law: how Sandra Day O'Connor </v>
      </c>
      <c r="C1364">
        <v>329710</v>
      </c>
      <c r="D1364" t="str">
        <f>"Hirshman, Linda R."</f>
        <v>Hirshman, Linda R.</v>
      </c>
      <c r="F1364" t="str">
        <f>"390 p."</f>
        <v>390 p.</v>
      </c>
      <c r="G1364" s="1">
        <v>15</v>
      </c>
      <c r="H1364">
        <v>2015</v>
      </c>
      <c r="I1364" t="str">
        <f t="shared" si="51"/>
        <v>9: 300 - 399</v>
      </c>
      <c r="K1364" t="str">
        <f t="shared" si="52"/>
        <v>WB - In</v>
      </c>
      <c r="L1364" s="1">
        <v>34</v>
      </c>
      <c r="M1364" t="s">
        <v>1286</v>
      </c>
      <c r="O1364" t="s">
        <v>28</v>
      </c>
      <c r="P1364">
        <v>6</v>
      </c>
      <c r="Q1364">
        <v>0</v>
      </c>
      <c r="R1364">
        <v>18</v>
      </c>
      <c r="S1364" s="2">
        <v>42250</v>
      </c>
      <c r="T1364" s="2">
        <v>42479</v>
      </c>
      <c r="U1364" s="2">
        <v>43724</v>
      </c>
      <c r="V1364" s="2">
        <v>42439</v>
      </c>
    </row>
    <row r="1365" spans="1:22" x14ac:dyDescent="0.2">
      <c r="A1365" t="str">
        <f>"347.73 MIL"</f>
        <v>347.73 MIL</v>
      </c>
      <c r="B1365" t="str">
        <f>"Injustices: the Supreme Court's history "</f>
        <v xml:space="preserve">Injustices: the Supreme Court's history </v>
      </c>
      <c r="C1365">
        <v>327175</v>
      </c>
      <c r="D1365" t="str">
        <f>"Millhiser, Ian"</f>
        <v>Millhiser, Ian</v>
      </c>
      <c r="F1365" t="str">
        <f>"xv, 351 pages, 25 cm"</f>
        <v>xv, 351 pages, 25 cm</v>
      </c>
      <c r="G1365" s="1">
        <v>15</v>
      </c>
      <c r="H1365">
        <v>2015</v>
      </c>
      <c r="I1365" t="str">
        <f t="shared" si="51"/>
        <v>9: 300 - 399</v>
      </c>
      <c r="K1365" t="str">
        <f t="shared" si="52"/>
        <v>WB - In</v>
      </c>
      <c r="L1365" s="1">
        <v>33</v>
      </c>
      <c r="M1365" t="s">
        <v>1287</v>
      </c>
      <c r="O1365" t="s">
        <v>28</v>
      </c>
      <c r="P1365">
        <v>1</v>
      </c>
      <c r="Q1365">
        <v>0</v>
      </c>
      <c r="R1365">
        <v>4</v>
      </c>
      <c r="S1365" s="2">
        <v>42124</v>
      </c>
      <c r="T1365" s="2">
        <v>42332</v>
      </c>
      <c r="U1365" s="2">
        <v>43802</v>
      </c>
    </row>
    <row r="1366" spans="1:22" x14ac:dyDescent="0.2">
      <c r="A1366" t="str">
        <f>"347.73 OCO"</f>
        <v>347.73 OCO</v>
      </c>
      <c r="B1366" t="str">
        <f>"Out of order: stories from the history o"</f>
        <v>Out of order: stories from the history o</v>
      </c>
      <c r="C1366">
        <v>313091</v>
      </c>
      <c r="D1366" t="str">
        <f>"O'Connor, Sandra Day"</f>
        <v>O'Connor, Sandra Day</v>
      </c>
      <c r="F1366" t="str">
        <f>"xviii, 233 p., 25 cm., ill."</f>
        <v>xviii, 233 p., 25 cm., ill.</v>
      </c>
      <c r="G1366" s="1">
        <v>13</v>
      </c>
      <c r="H1366">
        <v>2013</v>
      </c>
      <c r="I1366" t="str">
        <f t="shared" si="51"/>
        <v>9: 300 - 399</v>
      </c>
      <c r="K1366" t="str">
        <f t="shared" si="52"/>
        <v>WB - In</v>
      </c>
      <c r="L1366" s="1">
        <v>31</v>
      </c>
      <c r="M1366" t="s">
        <v>1288</v>
      </c>
      <c r="O1366" t="s">
        <v>28</v>
      </c>
      <c r="P1366">
        <v>1</v>
      </c>
      <c r="Q1366">
        <v>0</v>
      </c>
      <c r="R1366">
        <v>14</v>
      </c>
      <c r="S1366" s="2">
        <v>41359</v>
      </c>
      <c r="T1366" s="2">
        <v>41631</v>
      </c>
      <c r="U1366" s="2">
        <v>43166</v>
      </c>
      <c r="V1366" s="2">
        <v>41583</v>
      </c>
    </row>
    <row r="1367" spans="1:22" x14ac:dyDescent="0.2">
      <c r="A1367" t="str">
        <f>"347.73 STE"</f>
        <v>347.73 STE</v>
      </c>
      <c r="B1367" t="str">
        <f>"Supreme power: 7 pivotal Supreme Court d"</f>
        <v>Supreme power: 7 pivotal Supreme Court d</v>
      </c>
      <c r="C1367">
        <v>344118</v>
      </c>
      <c r="D1367" t="str">
        <f>"Stewart, Ted"</f>
        <v>Stewart, Ted</v>
      </c>
      <c r="F1367" t="str">
        <f>"225 p."</f>
        <v>225 p.</v>
      </c>
      <c r="G1367" s="1">
        <v>17</v>
      </c>
      <c r="H1367">
        <v>2017</v>
      </c>
      <c r="I1367" t="str">
        <f t="shared" si="51"/>
        <v>9: 300 - 399</v>
      </c>
      <c r="K1367" t="str">
        <f t="shared" si="52"/>
        <v>WB - In</v>
      </c>
      <c r="L1367" s="1">
        <v>33</v>
      </c>
      <c r="M1367" t="s">
        <v>1289</v>
      </c>
      <c r="O1367" t="s">
        <v>28</v>
      </c>
      <c r="P1367">
        <v>7</v>
      </c>
      <c r="Q1367">
        <v>0</v>
      </c>
      <c r="R1367">
        <v>7</v>
      </c>
      <c r="S1367" s="2">
        <v>43027</v>
      </c>
      <c r="T1367" s="2">
        <v>43229</v>
      </c>
      <c r="U1367" s="2">
        <v>43212</v>
      </c>
    </row>
    <row r="1368" spans="1:22" x14ac:dyDescent="0.2">
      <c r="A1368" t="str">
        <f>"355 ATK"</f>
        <v>355 ATK</v>
      </c>
      <c r="B1368" t="str">
        <f>"long gray line: the American journey of "</f>
        <v xml:space="preserve">long gray line: the American journey of </v>
      </c>
      <c r="C1368">
        <v>341012</v>
      </c>
      <c r="D1368" t="str">
        <f>"Atkinson, Rick"</f>
        <v>Atkinson, Rick</v>
      </c>
      <c r="F1368" t="str">
        <f>"x, 598 p., [16] p. of plates, 21 cm, ill., ports."</f>
        <v>x, 598 p., [16] p. of plates, 21 cm, ill., ports.</v>
      </c>
      <c r="G1368" s="1">
        <v>17</v>
      </c>
      <c r="H1368">
        <v>2009</v>
      </c>
      <c r="I1368" t="str">
        <f t="shared" si="51"/>
        <v>9: 300 - 399</v>
      </c>
      <c r="K1368" t="str">
        <f t="shared" si="52"/>
        <v>WB - In</v>
      </c>
      <c r="L1368" s="1">
        <v>25</v>
      </c>
      <c r="M1368" t="s">
        <v>1290</v>
      </c>
      <c r="O1368" t="s">
        <v>28</v>
      </c>
      <c r="P1368">
        <v>3</v>
      </c>
      <c r="Q1368">
        <v>1</v>
      </c>
      <c r="R1368">
        <v>4</v>
      </c>
      <c r="S1368" s="2">
        <v>42849</v>
      </c>
      <c r="T1368" s="2">
        <v>42853</v>
      </c>
      <c r="U1368" s="2">
        <v>43603</v>
      </c>
      <c r="V1368" s="2">
        <v>43440</v>
      </c>
    </row>
    <row r="1369" spans="1:22" x14ac:dyDescent="0.2">
      <c r="A1369" t="str">
        <f>"355 BES"</f>
        <v>355 BES</v>
      </c>
      <c r="B1369" t="str">
        <f>"Presidents of War"</f>
        <v>Presidents of War</v>
      </c>
      <c r="C1369">
        <v>350498</v>
      </c>
      <c r="D1369" t="str">
        <f>"Beschloss, Michael R."</f>
        <v>Beschloss, Michael R.</v>
      </c>
      <c r="F1369" t="str">
        <f>"pages cm"</f>
        <v>pages cm</v>
      </c>
      <c r="G1369" s="1">
        <v>18</v>
      </c>
      <c r="H1369">
        <v>2018</v>
      </c>
      <c r="I1369" t="str">
        <f t="shared" si="51"/>
        <v>9: 300 - 399</v>
      </c>
      <c r="K1369" t="str">
        <f>"LL - In"</f>
        <v>LL - In</v>
      </c>
      <c r="L1369" s="1">
        <v>40</v>
      </c>
      <c r="M1369" t="s">
        <v>1291</v>
      </c>
      <c r="O1369" t="s">
        <v>28</v>
      </c>
      <c r="P1369">
        <v>9</v>
      </c>
      <c r="Q1369">
        <v>0</v>
      </c>
      <c r="R1369">
        <v>9</v>
      </c>
      <c r="S1369" s="2">
        <v>43381</v>
      </c>
      <c r="T1369" s="2">
        <v>43544</v>
      </c>
      <c r="U1369" s="2">
        <v>43655</v>
      </c>
    </row>
    <row r="1370" spans="1:22" x14ac:dyDescent="0.2">
      <c r="A1370" t="str">
        <f>"355 BRO"</f>
        <v>355 BRO</v>
      </c>
      <c r="B1370" t="str">
        <f>"How everything became war and the milita"</f>
        <v>How everything became war and the milita</v>
      </c>
      <c r="C1370">
        <v>336995</v>
      </c>
      <c r="D1370" t="str">
        <f>"Brooks, Rosa"</f>
        <v>Brooks, Rosa</v>
      </c>
      <c r="F1370" t="str">
        <f>"viii, 438 pages, 24 cm"</f>
        <v>viii, 438 pages, 24 cm</v>
      </c>
      <c r="G1370" s="1">
        <v>16</v>
      </c>
      <c r="H1370">
        <v>2016</v>
      </c>
      <c r="I1370" t="str">
        <f t="shared" si="51"/>
        <v>9: 300 - 399</v>
      </c>
      <c r="K1370" t="str">
        <f>"LL - In"</f>
        <v>LL - In</v>
      </c>
      <c r="L1370" s="1">
        <v>35</v>
      </c>
      <c r="M1370" t="s">
        <v>1292</v>
      </c>
      <c r="O1370" t="s">
        <v>28</v>
      </c>
      <c r="P1370">
        <v>3</v>
      </c>
      <c r="Q1370">
        <v>0</v>
      </c>
      <c r="R1370">
        <v>12</v>
      </c>
      <c r="S1370" s="2">
        <v>42605</v>
      </c>
      <c r="T1370" s="2">
        <v>42781</v>
      </c>
      <c r="U1370" s="2">
        <v>43170</v>
      </c>
    </row>
    <row r="1371" spans="1:22" x14ac:dyDescent="0.2">
      <c r="A1371" t="str">
        <f>"355 HOR"</f>
        <v>355 HOR</v>
      </c>
      <c r="B1371" t="str">
        <f>"Left of bang: how the Marine Corps' comb"</f>
        <v>Left of bang: how the Marine Corps' comb</v>
      </c>
      <c r="C1371">
        <v>340669</v>
      </c>
      <c r="D1371" t="str">
        <f>"Horne, Patrick Van"</f>
        <v>Horne, Patrick Van</v>
      </c>
      <c r="F1371" t="str">
        <f>"217 pages, 21 cm, illustrations"</f>
        <v>217 pages, 21 cm, illustrations</v>
      </c>
      <c r="G1371" s="1">
        <v>17</v>
      </c>
      <c r="H1371">
        <v>2014</v>
      </c>
      <c r="I1371" t="str">
        <f t="shared" si="51"/>
        <v>9: 300 - 399</v>
      </c>
      <c r="K1371" t="str">
        <f>"WB - In"</f>
        <v>WB - In</v>
      </c>
      <c r="L1371" s="1">
        <v>25</v>
      </c>
      <c r="O1371" t="s">
        <v>28</v>
      </c>
      <c r="P1371">
        <v>7</v>
      </c>
      <c r="Q1371">
        <v>0</v>
      </c>
      <c r="R1371">
        <v>7</v>
      </c>
      <c r="S1371" s="2">
        <v>42836</v>
      </c>
      <c r="T1371" s="2">
        <v>42838</v>
      </c>
      <c r="U1371" s="2">
        <v>43837</v>
      </c>
    </row>
    <row r="1372" spans="1:22" x14ac:dyDescent="0.2">
      <c r="A1372" t="str">
        <f>"355 JAC"</f>
        <v>355 JAC</v>
      </c>
      <c r="B1372" t="str">
        <f>"Pentagon's brain: an uncensored history "</f>
        <v xml:space="preserve">Pentagon's brain: an uncensored history </v>
      </c>
      <c r="C1372">
        <v>330145</v>
      </c>
      <c r="D1372" t="str">
        <f>"Jacobsen, Annie."</f>
        <v>Jacobsen, Annie.</v>
      </c>
      <c r="F1372" t="str">
        <f>"viii, 552 pages, 16 unnumbered pages of plates, 25 cm, illustrations"</f>
        <v>viii, 552 pages, 16 unnumbered pages of plates, 25 cm, illustrations</v>
      </c>
      <c r="G1372" s="1">
        <v>15</v>
      </c>
      <c r="H1372">
        <v>2015</v>
      </c>
      <c r="I1372" t="str">
        <f t="shared" si="51"/>
        <v>9: 300 - 399</v>
      </c>
      <c r="K1372" t="str">
        <f>"WB - In"</f>
        <v>WB - In</v>
      </c>
      <c r="L1372" s="1">
        <v>35</v>
      </c>
      <c r="M1372" t="s">
        <v>1293</v>
      </c>
      <c r="O1372" t="s">
        <v>28</v>
      </c>
      <c r="P1372">
        <v>4</v>
      </c>
      <c r="Q1372">
        <v>0</v>
      </c>
      <c r="R1372">
        <v>15</v>
      </c>
      <c r="S1372" s="2">
        <v>42277</v>
      </c>
      <c r="T1372" s="2">
        <v>42530</v>
      </c>
      <c r="U1372" s="2">
        <v>43599</v>
      </c>
      <c r="V1372" s="2">
        <v>42612</v>
      </c>
    </row>
    <row r="1373" spans="1:22" x14ac:dyDescent="0.2">
      <c r="A1373" t="str">
        <f>"355 RIC"</f>
        <v>355 RIC</v>
      </c>
      <c r="B1373" t="str">
        <f>"generals: American military command from"</f>
        <v>generals: American military command from</v>
      </c>
      <c r="C1373">
        <v>310930</v>
      </c>
      <c r="D1373" t="str">
        <f>"Ricks, Thomas E."</f>
        <v>Ricks, Thomas E.</v>
      </c>
      <c r="F1373" t="str">
        <f>"558 p., 25 cm., ill."</f>
        <v>558 p., 25 cm., ill.</v>
      </c>
      <c r="G1373" s="1">
        <v>12</v>
      </c>
      <c r="H1373">
        <v>2012</v>
      </c>
      <c r="I1373" t="str">
        <f t="shared" si="51"/>
        <v>9: 300 - 399</v>
      </c>
      <c r="K1373" t="str">
        <f>"LL - In"</f>
        <v>LL - In</v>
      </c>
      <c r="L1373" s="1">
        <v>38</v>
      </c>
      <c r="M1373" t="s">
        <v>1294</v>
      </c>
      <c r="O1373" t="s">
        <v>28</v>
      </c>
      <c r="P1373">
        <v>0</v>
      </c>
      <c r="Q1373">
        <v>0</v>
      </c>
      <c r="R1373">
        <v>8</v>
      </c>
      <c r="S1373" s="2">
        <v>41219</v>
      </c>
      <c r="T1373" s="2">
        <v>41332</v>
      </c>
      <c r="U1373" s="2">
        <v>42570</v>
      </c>
    </row>
    <row r="1374" spans="1:22" x14ac:dyDescent="0.2">
      <c r="A1374" t="str">
        <f>"355 ROA"</f>
        <v>355 ROA</v>
      </c>
      <c r="B1374" t="str">
        <f>"Grunt: the curious science of humans at "</f>
        <v xml:space="preserve">Grunt: the curious science of humans at </v>
      </c>
      <c r="C1374">
        <v>335347</v>
      </c>
      <c r="D1374" t="str">
        <f>"Roach, Mary"</f>
        <v>Roach, Mary</v>
      </c>
      <c r="F1374" t="str">
        <f>"272 p."</f>
        <v>272 p.</v>
      </c>
      <c r="G1374" s="1">
        <v>16</v>
      </c>
      <c r="H1374">
        <v>2016</v>
      </c>
      <c r="I1374" t="str">
        <f t="shared" si="51"/>
        <v>9: 300 - 399</v>
      </c>
      <c r="K1374" t="str">
        <f>"LL - In"</f>
        <v>LL - In</v>
      </c>
      <c r="L1374" s="1">
        <v>32</v>
      </c>
      <c r="M1374" t="s">
        <v>1295</v>
      </c>
      <c r="O1374" t="s">
        <v>28</v>
      </c>
      <c r="P1374">
        <v>2</v>
      </c>
      <c r="Q1374">
        <v>1</v>
      </c>
      <c r="R1374">
        <v>9</v>
      </c>
      <c r="S1374" s="2">
        <v>42522</v>
      </c>
      <c r="T1374" s="2">
        <v>42701</v>
      </c>
      <c r="U1374" s="2">
        <v>43317</v>
      </c>
      <c r="V1374" s="2">
        <v>43854</v>
      </c>
    </row>
    <row r="1375" spans="1:22" x14ac:dyDescent="0.2">
      <c r="A1375" t="str">
        <f>"355 ROA"</f>
        <v>355 ROA</v>
      </c>
      <c r="B1375" t="str">
        <f>"Grunt: the curious science of humans at "</f>
        <v xml:space="preserve">Grunt: the curious science of humans at </v>
      </c>
      <c r="C1375">
        <v>335348</v>
      </c>
      <c r="D1375" t="str">
        <f>"Roach, Mary"</f>
        <v>Roach, Mary</v>
      </c>
      <c r="F1375" t="str">
        <f>"272 p."</f>
        <v>272 p.</v>
      </c>
      <c r="G1375" s="1">
        <v>16</v>
      </c>
      <c r="H1375">
        <v>2016</v>
      </c>
      <c r="I1375" t="str">
        <f t="shared" si="51"/>
        <v>9: 300 - 399</v>
      </c>
      <c r="K1375" t="str">
        <f>"LL - Out"</f>
        <v>LL - Out</v>
      </c>
      <c r="L1375" s="1">
        <v>32</v>
      </c>
      <c r="M1375" t="s">
        <v>1295</v>
      </c>
      <c r="O1375" t="s">
        <v>28</v>
      </c>
      <c r="P1375">
        <v>2</v>
      </c>
      <c r="Q1375">
        <v>0</v>
      </c>
      <c r="R1375">
        <v>11</v>
      </c>
      <c r="S1375" s="2">
        <v>42522</v>
      </c>
      <c r="T1375" s="2">
        <v>42700</v>
      </c>
      <c r="U1375" s="2">
        <v>43856</v>
      </c>
    </row>
    <row r="1376" spans="1:22" x14ac:dyDescent="0.2">
      <c r="A1376" t="str">
        <f>"355 WAR"</f>
        <v>355 WAR</v>
      </c>
      <c r="B1376" t="str">
        <f>"China's vision of victory: and why Ameri"</f>
        <v>China's vision of victory: and why Ameri</v>
      </c>
      <c r="C1376">
        <v>359247</v>
      </c>
      <c r="D1376" t="str">
        <f>"Ward, Jonathan H."</f>
        <v>Ward, Jonathan H.</v>
      </c>
      <c r="F1376" t="str">
        <f>"xxxi, 279 pages, 23 cm, illustrations, maps"</f>
        <v>xxxi, 279 pages, 23 cm, illustrations, maps</v>
      </c>
      <c r="G1376" s="1">
        <v>19</v>
      </c>
      <c r="H1376">
        <v>2019</v>
      </c>
      <c r="I1376" t="str">
        <f t="shared" si="51"/>
        <v>9: 300 - 399</v>
      </c>
      <c r="K1376" t="str">
        <f>"WB - In"</f>
        <v>WB - In</v>
      </c>
      <c r="L1376" s="1">
        <v>30</v>
      </c>
      <c r="M1376" t="s">
        <v>1296</v>
      </c>
      <c r="O1376" t="s">
        <v>28</v>
      </c>
      <c r="P1376">
        <v>1</v>
      </c>
      <c r="Q1376">
        <v>0</v>
      </c>
      <c r="R1376">
        <v>1</v>
      </c>
      <c r="S1376" s="2">
        <v>43781</v>
      </c>
      <c r="T1376" s="2">
        <v>43805</v>
      </c>
      <c r="U1376" s="2">
        <v>43808</v>
      </c>
    </row>
    <row r="1377" spans="1:22" x14ac:dyDescent="0.2">
      <c r="A1377" t="str">
        <f>"355 WEI"</f>
        <v>355 WEI</v>
      </c>
      <c r="B1377" t="str">
        <f>"imagineers of war: the untold history of"</f>
        <v>imagineers of war: the untold history of</v>
      </c>
      <c r="C1377">
        <v>340692</v>
      </c>
      <c r="D1377" t="str">
        <f>"Weinberger, Sharon"</f>
        <v>Weinberger, Sharon</v>
      </c>
      <c r="F1377" t="str">
        <f>"x, 475 pages, 8 unnumbered pages of plates, 25 cm, illustrations"</f>
        <v>x, 475 pages, 8 unnumbered pages of plates, 25 cm, illustrations</v>
      </c>
      <c r="G1377" s="1">
        <v>17</v>
      </c>
      <c r="H1377">
        <v>2017</v>
      </c>
      <c r="I1377" t="str">
        <f t="shared" si="51"/>
        <v>9: 300 - 399</v>
      </c>
      <c r="K1377" t="str">
        <f>"WB - In"</f>
        <v>WB - In</v>
      </c>
      <c r="L1377" s="1">
        <v>38</v>
      </c>
      <c r="M1377" t="s">
        <v>1297</v>
      </c>
      <c r="O1377" t="s">
        <v>28</v>
      </c>
      <c r="P1377">
        <v>6</v>
      </c>
      <c r="Q1377">
        <v>0</v>
      </c>
      <c r="R1377">
        <v>6</v>
      </c>
      <c r="S1377" s="2">
        <v>42835</v>
      </c>
      <c r="T1377" s="2">
        <v>43013</v>
      </c>
      <c r="U1377" s="2">
        <v>42974</v>
      </c>
    </row>
    <row r="1378" spans="1:22" x14ac:dyDescent="0.2">
      <c r="A1378" t="str">
        <f>"355.02 AMB"</f>
        <v>355.02 AMB</v>
      </c>
      <c r="B1378" t="str">
        <f>"brink: President Reagan and the nuclear "</f>
        <v xml:space="preserve">brink: President Reagan and the nuclear </v>
      </c>
      <c r="C1378">
        <v>348902</v>
      </c>
      <c r="D1378" t="str">
        <f>"Ambinder, Marc"</f>
        <v>Ambinder, Marc</v>
      </c>
      <c r="F1378" t="str">
        <f>"xx, 364 pages, 16 unnumbered pages of plates, 24 cm, illustrations"</f>
        <v>xx, 364 pages, 16 unnumbered pages of plates, 24 cm, illustrations</v>
      </c>
      <c r="G1378" s="1">
        <v>18</v>
      </c>
      <c r="H1378">
        <v>2018</v>
      </c>
      <c r="I1378" t="str">
        <f t="shared" si="51"/>
        <v>9: 300 - 399</v>
      </c>
      <c r="K1378" t="str">
        <f>"WB - In"</f>
        <v>WB - In</v>
      </c>
      <c r="L1378" s="1">
        <v>32</v>
      </c>
      <c r="M1378" t="s">
        <v>1298</v>
      </c>
      <c r="O1378" t="s">
        <v>28</v>
      </c>
      <c r="P1378">
        <v>4</v>
      </c>
      <c r="Q1378">
        <v>0</v>
      </c>
      <c r="R1378">
        <v>4</v>
      </c>
      <c r="S1378" s="2">
        <v>43304</v>
      </c>
      <c r="T1378" s="2">
        <v>43467</v>
      </c>
      <c r="U1378" s="2">
        <v>43415</v>
      </c>
    </row>
    <row r="1379" spans="1:22" x14ac:dyDescent="0.2">
      <c r="A1379" t="str">
        <f>"355.02 ELL"</f>
        <v>355.02 ELL</v>
      </c>
      <c r="B1379" t="str">
        <f>"doomsday machine: confessions of a nucle"</f>
        <v>doomsday machine: confessions of a nucle</v>
      </c>
      <c r="C1379">
        <v>345085</v>
      </c>
      <c r="D1379" t="str">
        <f>"Ellsberg, Daniel."</f>
        <v>Ellsberg, Daniel.</v>
      </c>
      <c r="F1379" t="str">
        <f>"420 pages, 25 cm, illustrations"</f>
        <v>420 pages, 25 cm, illustrations</v>
      </c>
      <c r="G1379" s="1">
        <v>17</v>
      </c>
      <c r="H1379">
        <v>2017</v>
      </c>
      <c r="I1379" t="str">
        <f t="shared" si="51"/>
        <v>9: 300 - 399</v>
      </c>
      <c r="K1379" t="str">
        <f>"LL - In"</f>
        <v>LL - In</v>
      </c>
      <c r="L1379" s="1">
        <v>35</v>
      </c>
      <c r="M1379" t="s">
        <v>1299</v>
      </c>
      <c r="O1379" t="s">
        <v>28</v>
      </c>
      <c r="P1379">
        <v>7</v>
      </c>
      <c r="Q1379">
        <v>0</v>
      </c>
      <c r="R1379">
        <v>7</v>
      </c>
      <c r="S1379" s="2">
        <v>43080</v>
      </c>
      <c r="T1379" s="2">
        <v>43278</v>
      </c>
      <c r="U1379" s="2">
        <v>43286</v>
      </c>
    </row>
    <row r="1380" spans="1:22" x14ac:dyDescent="0.2">
      <c r="A1380" t="str">
        <f>"355.02 GAD"</f>
        <v>355.02 GAD</v>
      </c>
      <c r="B1380" t="str">
        <f>"On grand strategy"</f>
        <v>On grand strategy</v>
      </c>
      <c r="C1380">
        <v>347491</v>
      </c>
      <c r="D1380" t="str">
        <f>"Gaddis, John Lewis"</f>
        <v>Gaddis, John Lewis</v>
      </c>
      <c r="F1380" t="str">
        <f>"xiv, 368 pages, 22 cm"</f>
        <v>xiv, 368 pages, 22 cm</v>
      </c>
      <c r="G1380" s="1">
        <v>18</v>
      </c>
      <c r="H1380">
        <v>2018</v>
      </c>
      <c r="I1380" t="str">
        <f t="shared" si="51"/>
        <v>9: 300 - 399</v>
      </c>
      <c r="K1380" t="str">
        <f>"LL - In"</f>
        <v>LL - In</v>
      </c>
      <c r="L1380" s="1">
        <v>31</v>
      </c>
      <c r="M1380" t="s">
        <v>1300</v>
      </c>
      <c r="O1380" t="s">
        <v>28</v>
      </c>
      <c r="P1380">
        <v>8</v>
      </c>
      <c r="Q1380">
        <v>0</v>
      </c>
      <c r="R1380">
        <v>8</v>
      </c>
      <c r="S1380" s="2">
        <v>43221</v>
      </c>
      <c r="T1380" s="2">
        <v>43409</v>
      </c>
      <c r="U1380" s="2">
        <v>43728</v>
      </c>
    </row>
    <row r="1381" spans="1:22" x14ac:dyDescent="0.2">
      <c r="A1381" t="str">
        <f>"355.02 LAT"</f>
        <v>355.02 LAT</v>
      </c>
      <c r="B1381" t="str">
        <f>"Future war: preparing for the new global"</f>
        <v>Future war: preparing for the new global</v>
      </c>
      <c r="C1381">
        <v>343984</v>
      </c>
      <c r="D1381" t="str">
        <f>"Latiff, Robert H."</f>
        <v>Latiff, Robert H.</v>
      </c>
      <c r="F1381" t="str">
        <f>"192 pages, 20 cm"</f>
        <v>192 pages, 20 cm</v>
      </c>
      <c r="G1381" s="1">
        <v>17</v>
      </c>
      <c r="H1381">
        <v>2017</v>
      </c>
      <c r="I1381" t="str">
        <f t="shared" si="51"/>
        <v>9: 300 - 399</v>
      </c>
      <c r="K1381" t="str">
        <f>"LL - In"</f>
        <v>LL - In</v>
      </c>
      <c r="L1381" s="1">
        <v>30</v>
      </c>
      <c r="M1381" t="s">
        <v>1301</v>
      </c>
      <c r="O1381" t="s">
        <v>28</v>
      </c>
      <c r="P1381">
        <v>6</v>
      </c>
      <c r="Q1381">
        <v>1</v>
      </c>
      <c r="R1381">
        <v>7</v>
      </c>
      <c r="S1381" s="2">
        <v>43018</v>
      </c>
      <c r="T1381" s="2">
        <v>43246</v>
      </c>
      <c r="U1381" s="2">
        <v>43273</v>
      </c>
      <c r="V1381" s="2">
        <v>43578</v>
      </c>
    </row>
    <row r="1382" spans="1:22" x14ac:dyDescent="0.2">
      <c r="A1382" t="str">
        <f>"355.02 MIY"</f>
        <v>355.02 MIY</v>
      </c>
      <c r="B1382" t="str">
        <f>"book of five rings"</f>
        <v>book of five rings</v>
      </c>
      <c r="C1382">
        <v>357554</v>
      </c>
      <c r="D1382" t="str">
        <f>"Miyamoto, Musashi,"</f>
        <v>Miyamoto, Musashi,</v>
      </c>
      <c r="F1382" t="str">
        <f>"60 p."</f>
        <v>60 p.</v>
      </c>
      <c r="G1382" s="1">
        <v>19</v>
      </c>
      <c r="H1382">
        <v>2010</v>
      </c>
      <c r="I1382" t="str">
        <f t="shared" si="51"/>
        <v>9: 300 - 399</v>
      </c>
      <c r="K1382" t="str">
        <f>"WB - In"</f>
        <v>WB - In</v>
      </c>
      <c r="L1382" s="1">
        <v>14</v>
      </c>
      <c r="M1382" t="s">
        <v>1302</v>
      </c>
      <c r="O1382" t="s">
        <v>28</v>
      </c>
      <c r="P1382">
        <v>1</v>
      </c>
      <c r="Q1382">
        <v>0</v>
      </c>
      <c r="R1382">
        <v>1</v>
      </c>
      <c r="S1382" s="2">
        <v>43719</v>
      </c>
      <c r="T1382" s="2">
        <v>43788</v>
      </c>
      <c r="U1382" s="2">
        <v>43788</v>
      </c>
    </row>
    <row r="1383" spans="1:22" x14ac:dyDescent="0.2">
      <c r="A1383" t="str">
        <f>"355.02 WAT"</f>
        <v>355.02 WAT</v>
      </c>
      <c r="B1383" t="str">
        <f>"Messing with the enemy: surviving in a s"</f>
        <v>Messing with the enemy: surviving in a s</v>
      </c>
      <c r="C1383">
        <v>348377</v>
      </c>
      <c r="D1383" t="str">
        <f>"Watts, Clint"</f>
        <v>Watts, Clint</v>
      </c>
      <c r="F1383" t="str">
        <f>"289 pages, 24 cm"</f>
        <v>289 pages, 24 cm</v>
      </c>
      <c r="G1383" s="1">
        <v>18</v>
      </c>
      <c r="H1383">
        <v>2018</v>
      </c>
      <c r="I1383" t="str">
        <f t="shared" si="51"/>
        <v>9: 300 - 399</v>
      </c>
      <c r="K1383" t="str">
        <f>"WB - In"</f>
        <v>WB - In</v>
      </c>
      <c r="L1383" s="1">
        <v>33</v>
      </c>
      <c r="M1383" t="s">
        <v>1303</v>
      </c>
      <c r="O1383" t="s">
        <v>28</v>
      </c>
      <c r="P1383">
        <v>3</v>
      </c>
      <c r="Q1383">
        <v>0</v>
      </c>
      <c r="R1383">
        <v>3</v>
      </c>
      <c r="S1383" s="2">
        <v>43276</v>
      </c>
      <c r="T1383" s="2">
        <v>43420</v>
      </c>
      <c r="U1383" s="2">
        <v>43358</v>
      </c>
    </row>
    <row r="1384" spans="1:22" x14ac:dyDescent="0.2">
      <c r="A1384" t="str">
        <f>"355.02 WIL"</f>
        <v>355.02 WIL</v>
      </c>
      <c r="B1384" t="str">
        <f>"Masters of war course guidebook: history"</f>
        <v>Masters of war course guidebook: history</v>
      </c>
      <c r="C1384">
        <v>263238</v>
      </c>
      <c r="D1384" t="str">
        <f>"Wilson, Andrew R.,"</f>
        <v>Wilson, Andrew R.,</v>
      </c>
      <c r="E1384" t="str">
        <f>"Great Courses series"</f>
        <v>Great Courses series</v>
      </c>
      <c r="F1384" t="str">
        <f>"193 p."</f>
        <v>193 p.</v>
      </c>
      <c r="G1384" s="1">
        <v>12</v>
      </c>
      <c r="H1384">
        <v>2012</v>
      </c>
      <c r="I1384" t="str">
        <f t="shared" si="51"/>
        <v>9: 300 - 399</v>
      </c>
      <c r="K1384" t="str">
        <f>"LL - In"</f>
        <v>LL - In</v>
      </c>
      <c r="L1384" s="1">
        <v>18</v>
      </c>
      <c r="O1384" t="s">
        <v>28</v>
      </c>
      <c r="P1384">
        <v>0</v>
      </c>
      <c r="Q1384">
        <v>0</v>
      </c>
      <c r="R1384">
        <v>2</v>
      </c>
      <c r="S1384" s="2">
        <v>41285</v>
      </c>
      <c r="T1384" s="2">
        <v>41289</v>
      </c>
      <c r="U1384" s="2">
        <v>41321</v>
      </c>
    </row>
    <row r="1385" spans="1:22" x14ac:dyDescent="0.2">
      <c r="A1385" t="str">
        <f>"355.1 COT"</f>
        <v>355.1 COT</v>
      </c>
      <c r="B1385" t="str">
        <f>"Sacred duty: a soldier's tour at Arlingt"</f>
        <v>Sacred duty: a soldier's tour at Arlingt</v>
      </c>
      <c r="C1385">
        <v>356148</v>
      </c>
      <c r="D1385" t="str">
        <f>"Cotton, Tom"</f>
        <v>Cotton, Tom</v>
      </c>
      <c r="F1385" t="str">
        <f>"301 pages, 24 cm, illustrations, map"</f>
        <v>301 pages, 24 cm, illustrations, map</v>
      </c>
      <c r="G1385" s="1">
        <v>19</v>
      </c>
      <c r="H1385">
        <v>2019</v>
      </c>
      <c r="I1385" t="str">
        <f t="shared" si="51"/>
        <v>9: 300 - 399</v>
      </c>
      <c r="K1385" t="str">
        <f>"WB - In"</f>
        <v>WB - In</v>
      </c>
      <c r="L1385" s="1">
        <v>34</v>
      </c>
      <c r="M1385" t="s">
        <v>1304</v>
      </c>
      <c r="O1385" t="s">
        <v>28</v>
      </c>
      <c r="P1385">
        <v>5</v>
      </c>
      <c r="Q1385">
        <v>0</v>
      </c>
      <c r="R1385">
        <v>5</v>
      </c>
      <c r="S1385" s="2">
        <v>43655</v>
      </c>
      <c r="T1385" s="2">
        <v>43817</v>
      </c>
      <c r="U1385" s="2">
        <v>43804</v>
      </c>
    </row>
    <row r="1386" spans="1:22" x14ac:dyDescent="0.2">
      <c r="A1386" t="str">
        <f>"355.1 ODO"</f>
        <v>355.1 ODO</v>
      </c>
      <c r="B1386" t="str">
        <f>"unknowns: the untold story of America's "</f>
        <v xml:space="preserve">unknowns: the untold story of America's </v>
      </c>
      <c r="C1386">
        <v>348662</v>
      </c>
      <c r="D1386" t="str">
        <f>"O'Donnell, Patrick K.,"</f>
        <v>O'Donnell, Patrick K.,</v>
      </c>
      <c r="F1386" t="str">
        <f>"xxii, 362 pages, 16 unnumbered pages of plates, 24 cm, illustrations (some color), maps"</f>
        <v>xxii, 362 pages, 16 unnumbered pages of plates, 24 cm, illustrations (some color), maps</v>
      </c>
      <c r="G1386" s="1">
        <v>18</v>
      </c>
      <c r="H1386">
        <v>2018</v>
      </c>
      <c r="I1386" t="str">
        <f t="shared" si="51"/>
        <v>9: 300 - 399</v>
      </c>
      <c r="K1386" t="str">
        <f>"LL - In"</f>
        <v>LL - In</v>
      </c>
      <c r="L1386" s="1">
        <v>32</v>
      </c>
      <c r="M1386" t="s">
        <v>1305</v>
      </c>
      <c r="O1386" t="s">
        <v>28</v>
      </c>
      <c r="P1386">
        <v>3</v>
      </c>
      <c r="Q1386">
        <v>1</v>
      </c>
      <c r="R1386">
        <v>4</v>
      </c>
      <c r="S1386" s="2">
        <v>43292</v>
      </c>
      <c r="T1386" s="2">
        <v>43453</v>
      </c>
      <c r="U1386" s="2">
        <v>43423</v>
      </c>
      <c r="V1386" s="2">
        <v>43304</v>
      </c>
    </row>
    <row r="1387" spans="1:22" x14ac:dyDescent="0.2">
      <c r="A1387" t="str">
        <f>"355.3 GER"</f>
        <v>355.3 GER</v>
      </c>
      <c r="B1387" t="str">
        <f>"iWar: war and peace in the information a"</f>
        <v>iWar: war and peace in the information a</v>
      </c>
      <c r="C1387">
        <v>339372</v>
      </c>
      <c r="D1387" t="str">
        <f>"Gertz, Bill"</f>
        <v>Gertz, Bill</v>
      </c>
      <c r="F1387" t="str">
        <f>"372 pages, 22 cm"</f>
        <v>372 pages, 22 cm</v>
      </c>
      <c r="G1387" s="1">
        <v>17</v>
      </c>
      <c r="H1387">
        <v>2017</v>
      </c>
      <c r="I1387" t="str">
        <f t="shared" si="51"/>
        <v>9: 300 - 399</v>
      </c>
      <c r="K1387" t="str">
        <f>"WB - In"</f>
        <v>WB - In</v>
      </c>
      <c r="L1387" s="1">
        <v>31</v>
      </c>
      <c r="M1387" t="s">
        <v>1306</v>
      </c>
      <c r="O1387" t="s">
        <v>28</v>
      </c>
      <c r="P1387">
        <v>7</v>
      </c>
      <c r="Q1387">
        <v>0</v>
      </c>
      <c r="R1387">
        <v>7</v>
      </c>
      <c r="S1387" s="2">
        <v>42765</v>
      </c>
      <c r="T1387" s="2">
        <v>42949</v>
      </c>
      <c r="U1387" s="2">
        <v>43369</v>
      </c>
    </row>
    <row r="1388" spans="1:22" x14ac:dyDescent="0.2">
      <c r="A1388" t="str">
        <f>"355.3 PRI"</f>
        <v>355.3 PRI</v>
      </c>
      <c r="B1388" t="str">
        <f>"Civilian warriors: the inside story of B"</f>
        <v>Civilian warriors: the inside story of B</v>
      </c>
      <c r="C1388">
        <v>318105</v>
      </c>
      <c r="D1388" t="str">
        <f>"Prince, Erik,"</f>
        <v>Prince, Erik,</v>
      </c>
      <c r="F1388" t="str">
        <f>"404 p."</f>
        <v>404 p.</v>
      </c>
      <c r="G1388" s="1">
        <v>13</v>
      </c>
      <c r="H1388">
        <v>2013</v>
      </c>
      <c r="I1388" t="str">
        <f t="shared" si="51"/>
        <v>9: 300 - 399</v>
      </c>
      <c r="K1388" t="str">
        <f>"WB - In"</f>
        <v>WB - In</v>
      </c>
      <c r="L1388" s="1">
        <v>35</v>
      </c>
      <c r="M1388" t="s">
        <v>1307</v>
      </c>
      <c r="O1388" t="s">
        <v>28</v>
      </c>
      <c r="P1388">
        <v>1</v>
      </c>
      <c r="Q1388">
        <v>0</v>
      </c>
      <c r="R1388">
        <v>5</v>
      </c>
      <c r="S1388" s="2">
        <v>41604</v>
      </c>
      <c r="T1388" s="2">
        <v>41717</v>
      </c>
      <c r="U1388" s="2">
        <v>42934</v>
      </c>
    </row>
    <row r="1389" spans="1:22" x14ac:dyDescent="0.2">
      <c r="A1389" t="str">
        <f>"355.3 RON"</f>
        <v>355.3 RON</v>
      </c>
      <c r="B1389" t="str">
        <f>"men who stare at goats"</f>
        <v>men who stare at goats</v>
      </c>
      <c r="C1389">
        <v>235508</v>
      </c>
      <c r="D1389" t="str">
        <f>"Ronson, Jon,"</f>
        <v>Ronson, Jon,</v>
      </c>
      <c r="F1389" t="str">
        <f>"259 p., 23 cm., ill."</f>
        <v>259 p., 23 cm., ill.</v>
      </c>
      <c r="G1389">
        <v>10</v>
      </c>
      <c r="H1389">
        <v>2004</v>
      </c>
      <c r="I1389" t="str">
        <f t="shared" si="51"/>
        <v>9: 300 - 399</v>
      </c>
      <c r="K1389" t="str">
        <f>"LL - In"</f>
        <v>LL - In</v>
      </c>
      <c r="L1389" s="1">
        <v>20</v>
      </c>
      <c r="M1389" t="s">
        <v>1308</v>
      </c>
      <c r="O1389" t="s">
        <v>28</v>
      </c>
      <c r="P1389">
        <v>1</v>
      </c>
      <c r="Q1389">
        <v>1</v>
      </c>
      <c r="R1389">
        <v>14</v>
      </c>
      <c r="S1389" s="2">
        <v>40273</v>
      </c>
      <c r="T1389" s="2">
        <v>41053</v>
      </c>
      <c r="U1389" s="2">
        <v>43211</v>
      </c>
      <c r="V1389" s="2">
        <v>42817</v>
      </c>
    </row>
    <row r="1390" spans="1:22" x14ac:dyDescent="0.2">
      <c r="A1390" t="str">
        <f>"355.4 NAY"</f>
        <v>355.4 NAY</v>
      </c>
      <c r="B1390" t="str">
        <f>"Relentless strike: the secret history of"</f>
        <v>Relentless strike: the secret history of</v>
      </c>
      <c r="C1390">
        <v>329628</v>
      </c>
      <c r="D1390" t="str">
        <f>"Naylor, Sean"</f>
        <v>Naylor, Sean</v>
      </c>
      <c r="F1390" t="str">
        <f>"xiii, 540 pages, 25 cm, illustrations (some color)"</f>
        <v>xiii, 540 pages, 25 cm, illustrations (some color)</v>
      </c>
      <c r="G1390" s="1">
        <v>15</v>
      </c>
      <c r="H1390">
        <v>2015</v>
      </c>
      <c r="I1390" t="str">
        <f t="shared" si="51"/>
        <v>9: 300 - 399</v>
      </c>
      <c r="K1390" t="str">
        <f>"WB - Out"</f>
        <v>WB - Out</v>
      </c>
      <c r="L1390" s="1">
        <v>35</v>
      </c>
      <c r="M1390" t="s">
        <v>1309</v>
      </c>
      <c r="O1390" t="s">
        <v>28</v>
      </c>
      <c r="P1390">
        <v>1</v>
      </c>
      <c r="Q1390">
        <v>0</v>
      </c>
      <c r="R1390">
        <v>9</v>
      </c>
      <c r="S1390" s="2">
        <v>42247</v>
      </c>
      <c r="T1390" s="2">
        <v>42464</v>
      </c>
      <c r="U1390" s="2">
        <v>43835</v>
      </c>
    </row>
    <row r="1391" spans="1:22" x14ac:dyDescent="0.2">
      <c r="A1391" t="str">
        <f>"355.8 GUN"</f>
        <v>355.8 GUN</v>
      </c>
      <c r="B1391" t="str">
        <f>"Gun Digest 2012"</f>
        <v>Gun Digest 2012</v>
      </c>
      <c r="C1391">
        <v>263356</v>
      </c>
      <c r="F1391" t="str">
        <f>"562 p"</f>
        <v>562 p</v>
      </c>
      <c r="G1391">
        <v>13</v>
      </c>
      <c r="H1391">
        <v>2011</v>
      </c>
      <c r="I1391" t="str">
        <f t="shared" si="51"/>
        <v>9: 300 - 399</v>
      </c>
      <c r="K1391" t="str">
        <f>"WB - In"</f>
        <v>WB - In</v>
      </c>
      <c r="L1391" s="1">
        <v>38</v>
      </c>
      <c r="M1391" t="s">
        <v>1310</v>
      </c>
      <c r="O1391" t="s">
        <v>28</v>
      </c>
      <c r="P1391">
        <v>1</v>
      </c>
      <c r="Q1391">
        <v>0</v>
      </c>
      <c r="R1391">
        <v>7</v>
      </c>
      <c r="S1391" s="2">
        <v>41297</v>
      </c>
      <c r="T1391" s="2">
        <v>43326</v>
      </c>
      <c r="U1391" s="2">
        <v>43326</v>
      </c>
    </row>
    <row r="1392" spans="1:22" x14ac:dyDescent="0.2">
      <c r="A1392" t="str">
        <f>"355.8 KAT"</f>
        <v>355.8 KAT</v>
      </c>
      <c r="B1392" t="str">
        <f>"weapon wizards: how Israel became a high"</f>
        <v>weapon wizards: how Israel became a high</v>
      </c>
      <c r="C1392">
        <v>341498</v>
      </c>
      <c r="D1392" t="str">
        <f>"Katz, Yaakov,"</f>
        <v>Katz, Yaakov,</v>
      </c>
      <c r="F1392" t="str">
        <f>"xi, 288 pages, 22 cm, illustrations"</f>
        <v>xi, 288 pages, 22 cm, illustrations</v>
      </c>
      <c r="G1392" s="1">
        <v>17</v>
      </c>
      <c r="H1392">
        <v>2017</v>
      </c>
      <c r="I1392" t="str">
        <f t="shared" si="51"/>
        <v>9: 300 - 399</v>
      </c>
      <c r="K1392" t="str">
        <f>"WB - In"</f>
        <v>WB - In</v>
      </c>
      <c r="L1392" s="1">
        <v>33</v>
      </c>
      <c r="M1392" t="s">
        <v>1311</v>
      </c>
      <c r="O1392" t="s">
        <v>28</v>
      </c>
      <c r="P1392">
        <v>10</v>
      </c>
      <c r="Q1392">
        <v>0</v>
      </c>
      <c r="R1392">
        <v>10</v>
      </c>
      <c r="S1392" s="2">
        <v>42879</v>
      </c>
      <c r="T1392" s="2">
        <v>43052</v>
      </c>
      <c r="U1392" s="2">
        <v>43638</v>
      </c>
    </row>
    <row r="1393" spans="1:22" x14ac:dyDescent="0.2">
      <c r="A1393" t="str">
        <f>"355.8 KYL"</f>
        <v>355.8 KYL</v>
      </c>
      <c r="B1393" t="str">
        <f>"American gun: a history of the U.S. in t"</f>
        <v>American gun: a history of the U.S. in t</v>
      </c>
      <c r="C1393">
        <v>314688</v>
      </c>
      <c r="D1393" t="str">
        <f>"Kyle, Chris,"</f>
        <v>Kyle, Chris,</v>
      </c>
      <c r="F1393" t="str">
        <f>"xv, 302 p., 24 cm., ill."</f>
        <v>xv, 302 p., 24 cm., ill.</v>
      </c>
      <c r="G1393" s="1">
        <v>13</v>
      </c>
      <c r="H1393">
        <v>2013</v>
      </c>
      <c r="I1393" t="str">
        <f t="shared" si="51"/>
        <v>9: 300 - 399</v>
      </c>
      <c r="K1393" t="str">
        <f>"WB - In"</f>
        <v>WB - In</v>
      </c>
      <c r="L1393" s="1">
        <v>35</v>
      </c>
      <c r="O1393" t="s">
        <v>28</v>
      </c>
      <c r="P1393">
        <v>0</v>
      </c>
      <c r="Q1393">
        <v>0</v>
      </c>
      <c r="R1393">
        <v>11</v>
      </c>
      <c r="S1393" s="2">
        <v>41436</v>
      </c>
      <c r="T1393" s="2">
        <v>41562</v>
      </c>
      <c r="U1393" s="2">
        <v>42468</v>
      </c>
      <c r="V1393" s="2">
        <v>41446</v>
      </c>
    </row>
    <row r="1394" spans="1:22" x14ac:dyDescent="0.2">
      <c r="A1394" t="str">
        <f>"355.8 PET"</f>
        <v>355.8 PET</v>
      </c>
      <c r="B1394" t="str">
        <f>"total gun manual"</f>
        <v>total gun manual</v>
      </c>
      <c r="C1394">
        <v>309824</v>
      </c>
      <c r="D1394" t="str">
        <f>"Petzal, David E."</f>
        <v>Petzal, David E.</v>
      </c>
      <c r="F1394" t="str">
        <f>"unp., 25 cm., ill. (chiefly col.)"</f>
        <v>unp., 25 cm., ill. (chiefly col.)</v>
      </c>
      <c r="G1394" s="1">
        <v>12</v>
      </c>
      <c r="H1394">
        <v>2012</v>
      </c>
      <c r="I1394" t="str">
        <f t="shared" si="51"/>
        <v>9: 300 - 399</v>
      </c>
      <c r="K1394" t="str">
        <f>"LL - In"</f>
        <v>LL - In</v>
      </c>
      <c r="L1394" s="1">
        <v>30</v>
      </c>
      <c r="M1394" t="s">
        <v>1312</v>
      </c>
      <c r="O1394" t="s">
        <v>28</v>
      </c>
      <c r="P1394">
        <v>3</v>
      </c>
      <c r="Q1394">
        <v>0</v>
      </c>
      <c r="R1394">
        <v>14</v>
      </c>
      <c r="S1394" s="2">
        <v>41173</v>
      </c>
      <c r="T1394" s="2">
        <v>41193</v>
      </c>
      <c r="U1394" s="2">
        <v>43699</v>
      </c>
      <c r="V1394" s="2">
        <v>41890</v>
      </c>
    </row>
    <row r="1395" spans="1:22" x14ac:dyDescent="0.2">
      <c r="A1395" t="str">
        <f>"355.8 WEA"</f>
        <v>355.8 WEA</v>
      </c>
      <c r="B1395" t="str">
        <f>"Weapon: a visual history of arms and arm"</f>
        <v>Weapon: a visual history of arms and arm</v>
      </c>
      <c r="C1395">
        <v>128470</v>
      </c>
      <c r="F1395" t="str">
        <f>"360 p., 31 cm., chiefly col. ill."</f>
        <v>360 p., 31 cm., chiefly col. ill.</v>
      </c>
      <c r="G1395" s="1">
        <v>7</v>
      </c>
      <c r="H1395">
        <v>2006</v>
      </c>
      <c r="I1395" t="str">
        <f t="shared" si="51"/>
        <v>9: 300 - 399</v>
      </c>
      <c r="K1395" t="str">
        <f>"WB - In"</f>
        <v>WB - In</v>
      </c>
      <c r="L1395" s="1">
        <v>45</v>
      </c>
      <c r="M1395" t="s">
        <v>1313</v>
      </c>
      <c r="O1395" t="s">
        <v>28</v>
      </c>
      <c r="P1395">
        <v>2</v>
      </c>
      <c r="Q1395">
        <v>0</v>
      </c>
      <c r="R1395">
        <v>34</v>
      </c>
      <c r="S1395" s="2">
        <v>39395</v>
      </c>
      <c r="T1395" s="2">
        <v>41431</v>
      </c>
      <c r="U1395" s="2">
        <v>43464</v>
      </c>
      <c r="V1395" s="2">
        <v>42491</v>
      </c>
    </row>
    <row r="1396" spans="1:22" x14ac:dyDescent="0.2">
      <c r="A1396" t="str">
        <f>"356 HAM"</f>
        <v>356 HAM</v>
      </c>
      <c r="B1396" t="str">
        <f>"Lords of the sky: fighter pilots and air"</f>
        <v>Lords of the sky: fighter pilots and air</v>
      </c>
      <c r="C1396">
        <v>322442</v>
      </c>
      <c r="D1396" t="str">
        <f>"Hampton, Dan."</f>
        <v>Hampton, Dan.</v>
      </c>
      <c r="F1396" t="str">
        <f>"x, 623 pages, 24 cm, illustrations, maps"</f>
        <v>x, 623 pages, 24 cm, illustrations, maps</v>
      </c>
      <c r="G1396" s="1">
        <v>14</v>
      </c>
      <c r="H1396">
        <v>2014</v>
      </c>
      <c r="I1396" t="str">
        <f t="shared" si="51"/>
        <v>9: 300 - 399</v>
      </c>
      <c r="K1396" t="str">
        <f>"LL - Out"</f>
        <v>LL - Out</v>
      </c>
      <c r="L1396" s="1">
        <v>35</v>
      </c>
      <c r="M1396" t="s">
        <v>1314</v>
      </c>
      <c r="O1396" t="s">
        <v>28</v>
      </c>
      <c r="P1396">
        <v>3</v>
      </c>
      <c r="Q1396">
        <v>1</v>
      </c>
      <c r="R1396">
        <v>14</v>
      </c>
      <c r="S1396" s="2">
        <v>41828</v>
      </c>
      <c r="T1396" s="2">
        <v>42044</v>
      </c>
      <c r="U1396" s="2">
        <v>43840</v>
      </c>
      <c r="V1396" s="2">
        <v>43733</v>
      </c>
    </row>
    <row r="1397" spans="1:22" x14ac:dyDescent="0.2">
      <c r="A1397" t="str">
        <f>"356 MAZ"</f>
        <v>356 MAZ</v>
      </c>
      <c r="B1397" t="str">
        <f>"way of the knife: the CIA, a secret army"</f>
        <v>way of the knife: the CIA, a secret army</v>
      </c>
      <c r="C1397">
        <v>313870</v>
      </c>
      <c r="D1397" t="str">
        <f>"Mazzetti, Mark."</f>
        <v>Mazzetti, Mark.</v>
      </c>
      <c r="F1397" t="str">
        <f>"xii, 381 p., 25 cm., ill."</f>
        <v>xii, 381 p., 25 cm., ill.</v>
      </c>
      <c r="G1397" s="1">
        <v>13</v>
      </c>
      <c r="H1397">
        <v>2013</v>
      </c>
      <c r="I1397" t="str">
        <f t="shared" si="51"/>
        <v>9: 300 - 399</v>
      </c>
      <c r="K1397" t="str">
        <f>"WB - In"</f>
        <v>WB - In</v>
      </c>
      <c r="L1397" s="1">
        <v>35</v>
      </c>
      <c r="M1397" t="s">
        <v>1315</v>
      </c>
      <c r="O1397" t="s">
        <v>28</v>
      </c>
      <c r="P1397">
        <v>1</v>
      </c>
      <c r="Q1397">
        <v>0</v>
      </c>
      <c r="R1397">
        <v>16</v>
      </c>
      <c r="S1397" s="2">
        <v>41395</v>
      </c>
      <c r="T1397" s="2">
        <v>41737</v>
      </c>
      <c r="U1397" s="2">
        <v>43120</v>
      </c>
    </row>
    <row r="1398" spans="1:22" x14ac:dyDescent="0.2">
      <c r="A1398" t="str">
        <f>"358 TYS"</f>
        <v>358 TYS</v>
      </c>
      <c r="B1398" t="str">
        <f>"Accessory to war: the unspoken alliance "</f>
        <v xml:space="preserve">Accessory to war: the unspoken alliance </v>
      </c>
      <c r="C1398">
        <v>349842</v>
      </c>
      <c r="D1398" t="str">
        <f>"Tyson, Neil deGrasse"</f>
        <v>Tyson, Neil deGrasse</v>
      </c>
      <c r="F1398" t="str">
        <f>"xiv, 576 pages, 25 cm"</f>
        <v>xiv, 576 pages, 25 cm</v>
      </c>
      <c r="G1398" s="1">
        <v>18</v>
      </c>
      <c r="H1398">
        <v>2018</v>
      </c>
      <c r="I1398" t="str">
        <f t="shared" si="51"/>
        <v>9: 300 - 399</v>
      </c>
      <c r="K1398" t="str">
        <f>"WB - In"</f>
        <v>WB - In</v>
      </c>
      <c r="L1398" s="1">
        <v>35</v>
      </c>
      <c r="M1398" t="s">
        <v>1316</v>
      </c>
      <c r="O1398" t="s">
        <v>28</v>
      </c>
      <c r="P1398">
        <v>4</v>
      </c>
      <c r="Q1398">
        <v>1</v>
      </c>
      <c r="R1398">
        <v>5</v>
      </c>
      <c r="S1398" s="2">
        <v>43354</v>
      </c>
      <c r="T1398" s="2">
        <v>43502</v>
      </c>
      <c r="U1398" s="2">
        <v>43604</v>
      </c>
      <c r="V1398" s="2">
        <v>43422</v>
      </c>
    </row>
    <row r="1399" spans="1:22" x14ac:dyDescent="0.2">
      <c r="A1399" t="str">
        <f>"359 BOR"</f>
        <v>359 BOR</v>
      </c>
      <c r="B1399" t="str">
        <f>"Admirals: Nimitz, Halsey, Leahy, and Kin"</f>
        <v>Admirals: Nimitz, Halsey, Leahy, and Kin</v>
      </c>
      <c r="C1399">
        <v>355741</v>
      </c>
      <c r="D1399" t="str">
        <f>"Borneman, Walter R."</f>
        <v>Borneman, Walter R.</v>
      </c>
      <c r="F1399" t="str">
        <f>"474 p."</f>
        <v>474 p.</v>
      </c>
      <c r="G1399" s="1">
        <v>19</v>
      </c>
      <c r="H1399">
        <v>2013</v>
      </c>
      <c r="I1399" t="str">
        <f t="shared" si="51"/>
        <v>9: 300 - 399</v>
      </c>
      <c r="K1399" t="str">
        <f>"LL - In"</f>
        <v>LL - In</v>
      </c>
      <c r="L1399" s="1">
        <v>23</v>
      </c>
      <c r="M1399" t="s">
        <v>1317</v>
      </c>
      <c r="O1399" t="s">
        <v>28</v>
      </c>
      <c r="P1399">
        <v>2</v>
      </c>
      <c r="Q1399">
        <v>0</v>
      </c>
      <c r="R1399">
        <v>2</v>
      </c>
      <c r="S1399" s="2">
        <v>43640</v>
      </c>
      <c r="T1399" s="2">
        <v>43648</v>
      </c>
      <c r="U1399" s="2">
        <v>43673</v>
      </c>
    </row>
    <row r="1400" spans="1:22" x14ac:dyDescent="0.2">
      <c r="A1400" t="str">
        <f>"359 DEL"</f>
        <v>359 DEL</v>
      </c>
      <c r="B1400" t="str">
        <f>"War at sea: a shipwrecked history from a"</f>
        <v>War at sea: a shipwrecked history from a</v>
      </c>
      <c r="C1400">
        <v>357127</v>
      </c>
      <c r="D1400" t="str">
        <f>"Delgado, James P."</f>
        <v>Delgado, James P.</v>
      </c>
      <c r="F1400" t="str">
        <f>"420 p."</f>
        <v>420 p.</v>
      </c>
      <c r="G1400" s="1">
        <v>19</v>
      </c>
      <c r="H1400">
        <v>2019</v>
      </c>
      <c r="I1400" t="str">
        <f t="shared" si="51"/>
        <v>9: 300 - 399</v>
      </c>
      <c r="K1400" t="str">
        <f>"WB - In"</f>
        <v>WB - In</v>
      </c>
      <c r="L1400" s="1">
        <v>40</v>
      </c>
      <c r="M1400" t="s">
        <v>1318</v>
      </c>
      <c r="O1400" t="s">
        <v>28</v>
      </c>
      <c r="P1400">
        <v>5</v>
      </c>
      <c r="Q1400">
        <v>0</v>
      </c>
      <c r="R1400">
        <v>5</v>
      </c>
      <c r="S1400" s="2">
        <v>43704</v>
      </c>
      <c r="T1400" s="2">
        <v>43859</v>
      </c>
      <c r="U1400" s="2">
        <v>43830</v>
      </c>
    </row>
    <row r="1401" spans="1:22" x14ac:dyDescent="0.2">
      <c r="A1401" t="str">
        <f>"359 STA"</f>
        <v>359 STA</v>
      </c>
      <c r="B1401" t="str">
        <f>"Sea power: the history and geopolitics o"</f>
        <v>Sea power: the history and geopolitics o</v>
      </c>
      <c r="C1401">
        <v>295661</v>
      </c>
      <c r="D1401" t="str">
        <f>"Stavridis, James"</f>
        <v>Stavridis, James</v>
      </c>
      <c r="F1401" t="str">
        <f>"363 pages, 25 cm, illustrations, maps"</f>
        <v>363 pages, 25 cm, illustrations, maps</v>
      </c>
      <c r="G1401">
        <v>17</v>
      </c>
      <c r="H1401">
        <v>2017</v>
      </c>
      <c r="I1401" t="str">
        <f t="shared" si="51"/>
        <v>9: 300 - 399</v>
      </c>
      <c r="K1401" t="str">
        <f>"WB - In"</f>
        <v>WB - In</v>
      </c>
      <c r="L1401" s="1">
        <v>33</v>
      </c>
      <c r="M1401" t="s">
        <v>1319</v>
      </c>
      <c r="O1401" t="s">
        <v>28</v>
      </c>
      <c r="P1401">
        <v>6</v>
      </c>
      <c r="Q1401">
        <v>0</v>
      </c>
      <c r="R1401">
        <v>6</v>
      </c>
      <c r="S1401" s="2">
        <v>42908</v>
      </c>
      <c r="T1401" s="2">
        <v>43152</v>
      </c>
      <c r="U1401" s="2">
        <v>43100</v>
      </c>
    </row>
    <row r="1402" spans="1:22" x14ac:dyDescent="0.2">
      <c r="A1402" t="str">
        <f>"359.9 CHE"</f>
        <v>359.9 CHE</v>
      </c>
      <c r="B1402" t="str">
        <f>"Act of war: Lyndon Johnson, North Korea,"</f>
        <v>Act of war: Lyndon Johnson, North Korea,</v>
      </c>
      <c r="C1402">
        <v>318388</v>
      </c>
      <c r="D1402" t="str">
        <f>"Cheevers, Jack."</f>
        <v>Cheevers, Jack.</v>
      </c>
      <c r="F1402" t="str">
        <f>"431 p."</f>
        <v>431 p.</v>
      </c>
      <c r="G1402" s="1">
        <v>13</v>
      </c>
      <c r="H1402">
        <v>2013</v>
      </c>
      <c r="I1402" t="str">
        <f t="shared" si="51"/>
        <v>9: 300 - 399</v>
      </c>
      <c r="K1402" t="str">
        <f>"WB - In"</f>
        <v>WB - In</v>
      </c>
      <c r="L1402" s="1">
        <v>33</v>
      </c>
      <c r="M1402" t="s">
        <v>1320</v>
      </c>
      <c r="O1402" t="s">
        <v>28</v>
      </c>
      <c r="P1402">
        <v>0</v>
      </c>
      <c r="Q1402">
        <v>0</v>
      </c>
      <c r="R1402">
        <v>6</v>
      </c>
      <c r="S1402" s="2">
        <v>41617</v>
      </c>
      <c r="T1402" s="2">
        <v>41766</v>
      </c>
      <c r="U1402" s="2">
        <v>42575</v>
      </c>
    </row>
    <row r="1403" spans="1:22" x14ac:dyDescent="0.2">
      <c r="A1403" t="str">
        <f>"359.9 COU"</f>
        <v>359.9 COU</v>
      </c>
      <c r="B1403" t="str">
        <f>"Navy SEALs: their untold story"</f>
        <v>Navy SEALs: their untold story</v>
      </c>
      <c r="C1403">
        <v>325377</v>
      </c>
      <c r="D1403" t="str">
        <f>"Couch, Dick"</f>
        <v>Couch, Dick</v>
      </c>
      <c r="F1403" t="str">
        <f>"xxii, 310 pages, 24 cm, illustrations"</f>
        <v>xxii, 310 pages, 24 cm, illustrations</v>
      </c>
      <c r="G1403" s="1">
        <v>15</v>
      </c>
      <c r="H1403">
        <v>2014</v>
      </c>
      <c r="I1403" t="str">
        <f t="shared" si="51"/>
        <v>9: 300 - 399</v>
      </c>
      <c r="K1403" t="str">
        <f>"LL - In"</f>
        <v>LL - In</v>
      </c>
      <c r="L1403" s="1">
        <v>35</v>
      </c>
      <c r="M1403" t="s">
        <v>1321</v>
      </c>
      <c r="O1403" t="s">
        <v>28</v>
      </c>
      <c r="P1403">
        <v>2</v>
      </c>
      <c r="Q1403">
        <v>1</v>
      </c>
      <c r="R1403">
        <v>10</v>
      </c>
      <c r="S1403" s="2">
        <v>42011</v>
      </c>
      <c r="T1403" s="2">
        <v>43586</v>
      </c>
      <c r="U1403" s="2">
        <v>43489</v>
      </c>
      <c r="V1403" s="2">
        <v>43603</v>
      </c>
    </row>
    <row r="1404" spans="1:22" x14ac:dyDescent="0.2">
      <c r="A1404" t="str">
        <f>"359.9 DEN"</f>
        <v>359.9 DEN</v>
      </c>
      <c r="B1404" t="str">
        <f>"Damn few: making the modern SEAL warrior"</f>
        <v>Damn few: making the modern SEAL warrior</v>
      </c>
      <c r="C1404">
        <v>312723</v>
      </c>
      <c r="D1404" t="str">
        <f>"Denver, Rorke."</f>
        <v>Denver, Rorke.</v>
      </c>
      <c r="F1404" t="str">
        <f>"290 p., 25 cm., ill."</f>
        <v>290 p., 25 cm., ill.</v>
      </c>
      <c r="G1404" s="1">
        <v>13</v>
      </c>
      <c r="H1404">
        <v>2013</v>
      </c>
      <c r="I1404" t="str">
        <f t="shared" si="51"/>
        <v>9: 300 - 399</v>
      </c>
      <c r="K1404" t="str">
        <f>"LL - In"</f>
        <v>LL - In</v>
      </c>
      <c r="L1404" s="1">
        <v>33</v>
      </c>
      <c r="M1404" t="s">
        <v>1322</v>
      </c>
      <c r="O1404" t="s">
        <v>28</v>
      </c>
      <c r="P1404">
        <v>0</v>
      </c>
      <c r="Q1404">
        <v>0</v>
      </c>
      <c r="R1404">
        <v>13</v>
      </c>
      <c r="S1404" s="2">
        <v>41334</v>
      </c>
      <c r="T1404" s="2">
        <v>41542</v>
      </c>
      <c r="U1404" s="2">
        <v>42724</v>
      </c>
    </row>
    <row r="1405" spans="1:22" x14ac:dyDescent="0.2">
      <c r="A1405" t="str">
        <f>"359.9 WAL"</f>
        <v>359.9 WAL</v>
      </c>
      <c r="B1405" t="str">
        <f>"Code name, Johnny Walker: the extraordin"</f>
        <v>Code name, Johnny Walker: the extraordin</v>
      </c>
      <c r="C1405">
        <v>357982</v>
      </c>
      <c r="D1405" t="str">
        <f>"Walker, Johnny,"</f>
        <v>Walker, Johnny,</v>
      </c>
      <c r="F1405" t="str">
        <f>"xvi, 286 pages, 8 unnumbered pages of plates, 24 cm, illustrations"</f>
        <v>xvi, 286 pages, 8 unnumbered pages of plates, 24 cm, illustrations</v>
      </c>
      <c r="G1405" s="1">
        <v>19</v>
      </c>
      <c r="H1405">
        <v>2014</v>
      </c>
      <c r="I1405" t="str">
        <f t="shared" si="51"/>
        <v>9: 300 - 399</v>
      </c>
      <c r="K1405" t="str">
        <f>"WB - In"</f>
        <v>WB - In</v>
      </c>
      <c r="L1405" s="1">
        <v>21</v>
      </c>
      <c r="M1405" t="s">
        <v>1323</v>
      </c>
      <c r="O1405" t="s">
        <v>28</v>
      </c>
      <c r="P1405">
        <v>1</v>
      </c>
      <c r="Q1405">
        <v>0</v>
      </c>
      <c r="R1405">
        <v>1</v>
      </c>
      <c r="S1405" s="2">
        <v>43739</v>
      </c>
      <c r="T1405" s="2">
        <v>43748</v>
      </c>
      <c r="U1405" s="2">
        <v>43750</v>
      </c>
    </row>
    <row r="1406" spans="1:22" x14ac:dyDescent="0.2">
      <c r="A1406" t="str">
        <f>"359.9 WEB"</f>
        <v>359.9 WEB</v>
      </c>
      <c r="B1406" t="str">
        <f>"killing school: inside the world's deadl"</f>
        <v>killing school: inside the world's deadl</v>
      </c>
      <c r="C1406">
        <v>341214</v>
      </c>
      <c r="D1406" t="str">
        <f>"Webb, Brandon."</f>
        <v>Webb, Brandon.</v>
      </c>
      <c r="F1406" t="str">
        <f>"x, 346 pages, 25 cm, color illustrations, maps"</f>
        <v>x, 346 pages, 25 cm, color illustrations, maps</v>
      </c>
      <c r="G1406" s="1">
        <v>17</v>
      </c>
      <c r="H1406">
        <v>2017</v>
      </c>
      <c r="I1406" t="str">
        <f t="shared" si="51"/>
        <v>9: 300 - 399</v>
      </c>
      <c r="K1406" t="str">
        <f>"WB - In"</f>
        <v>WB - In</v>
      </c>
      <c r="L1406" s="1">
        <v>33</v>
      </c>
      <c r="M1406" t="s">
        <v>1324</v>
      </c>
      <c r="O1406" t="s">
        <v>28</v>
      </c>
      <c r="P1406">
        <v>11</v>
      </c>
      <c r="Q1406">
        <v>1</v>
      </c>
      <c r="R1406">
        <v>12</v>
      </c>
      <c r="S1406" s="2">
        <v>42864</v>
      </c>
      <c r="T1406" s="2">
        <v>43082</v>
      </c>
      <c r="U1406" s="2">
        <v>43657</v>
      </c>
      <c r="V1406" s="2">
        <v>42947</v>
      </c>
    </row>
    <row r="1407" spans="1:22" x14ac:dyDescent="0.2">
      <c r="A1407" t="str">
        <f>"361.6 COG"</f>
        <v>361.6 COG</v>
      </c>
      <c r="B1407" t="str">
        <f>"high cost of good intentions: a history "</f>
        <v xml:space="preserve">high cost of good intentions: a history </v>
      </c>
      <c r="C1407">
        <v>344222</v>
      </c>
      <c r="D1407" t="str">
        <f>"Cogan, John F."</f>
        <v>Cogan, John F.</v>
      </c>
      <c r="F1407" t="str">
        <f>"392 p."</f>
        <v>392 p.</v>
      </c>
      <c r="G1407" s="1">
        <v>17</v>
      </c>
      <c r="H1407">
        <v>2017</v>
      </c>
      <c r="I1407" t="str">
        <f t="shared" si="51"/>
        <v>9: 300 - 399</v>
      </c>
      <c r="K1407" t="str">
        <f>"LL - In"</f>
        <v>LL - In</v>
      </c>
      <c r="L1407" s="1">
        <v>50</v>
      </c>
      <c r="M1407" t="s">
        <v>1325</v>
      </c>
      <c r="O1407" t="s">
        <v>28</v>
      </c>
      <c r="P1407">
        <v>6</v>
      </c>
      <c r="Q1407">
        <v>0</v>
      </c>
      <c r="R1407">
        <v>6</v>
      </c>
      <c r="S1407" s="2">
        <v>43027</v>
      </c>
      <c r="T1407" s="2">
        <v>43222</v>
      </c>
      <c r="U1407" s="2">
        <v>43476</v>
      </c>
    </row>
    <row r="1408" spans="1:22" x14ac:dyDescent="0.2">
      <c r="A1408" t="str">
        <f>"362.1 ANS"</f>
        <v>362.1 ANS</v>
      </c>
      <c r="B1408" t="str">
        <f>"death gap: how inequality kills"</f>
        <v>death gap: how inequality kills</v>
      </c>
      <c r="C1408">
        <v>346003</v>
      </c>
      <c r="D1408" t="str">
        <f>"Ansell, David A.,"</f>
        <v>Ansell, David A.,</v>
      </c>
      <c r="F1408" t="str">
        <f>"xviii, 235 pages, 24 cm, illustrations, maps"</f>
        <v>xviii, 235 pages, 24 cm, illustrations, maps</v>
      </c>
      <c r="G1408" s="1">
        <v>18</v>
      </c>
      <c r="H1408">
        <v>2017</v>
      </c>
      <c r="I1408" t="str">
        <f t="shared" si="51"/>
        <v>9: 300 - 399</v>
      </c>
      <c r="K1408" t="str">
        <f>"WB - In"</f>
        <v>WB - In</v>
      </c>
      <c r="L1408" s="1">
        <v>31</v>
      </c>
      <c r="M1408" t="s">
        <v>1326</v>
      </c>
      <c r="O1408" t="s">
        <v>28</v>
      </c>
      <c r="P1408">
        <v>6</v>
      </c>
      <c r="Q1408">
        <v>0</v>
      </c>
      <c r="R1408">
        <v>6</v>
      </c>
      <c r="S1408" s="2">
        <v>43144</v>
      </c>
      <c r="T1408" s="2">
        <v>43383</v>
      </c>
      <c r="U1408" s="2">
        <v>43358</v>
      </c>
    </row>
    <row r="1409" spans="1:22" x14ac:dyDescent="0.2">
      <c r="A1409" t="str">
        <f>"362.1 BAK"</f>
        <v>362.1 BAK</v>
      </c>
      <c r="B1409" t="str">
        <f>"With a little help from our friends: cre"</f>
        <v>With a little help from our friends: cre</v>
      </c>
      <c r="C1409">
        <v>334019</v>
      </c>
      <c r="D1409" t="str">
        <f>"Baker, Beth,"</f>
        <v>Baker, Beth,</v>
      </c>
      <c r="F1409" t="str">
        <f>"x, 240 pages, 23 cm"</f>
        <v>x, 240 pages, 23 cm</v>
      </c>
      <c r="G1409" s="1">
        <v>16</v>
      </c>
      <c r="H1409">
        <v>2014</v>
      </c>
      <c r="I1409" t="str">
        <f t="shared" si="51"/>
        <v>9: 300 - 399</v>
      </c>
      <c r="K1409" t="str">
        <f>"LL - In"</f>
        <v>LL - In</v>
      </c>
      <c r="L1409" s="1">
        <v>30</v>
      </c>
      <c r="M1409" t="s">
        <v>1327</v>
      </c>
      <c r="O1409" t="s">
        <v>28</v>
      </c>
      <c r="P1409">
        <v>0</v>
      </c>
      <c r="Q1409">
        <v>1</v>
      </c>
      <c r="R1409">
        <v>2</v>
      </c>
      <c r="S1409" s="2">
        <v>42450</v>
      </c>
      <c r="T1409" s="2">
        <v>42458</v>
      </c>
      <c r="U1409" s="2">
        <v>42461</v>
      </c>
      <c r="V1409" s="2">
        <v>43433</v>
      </c>
    </row>
    <row r="1410" spans="1:22" x14ac:dyDescent="0.2">
      <c r="A1410" t="str">
        <f>"362.1 BAU"</f>
        <v>362.1 BAU</v>
      </c>
      <c r="B1410" t="str">
        <f>"diving bell and the butterfly"</f>
        <v>diving bell and the butterfly</v>
      </c>
      <c r="C1410">
        <v>213657</v>
      </c>
      <c r="D1410" t="str">
        <f>"Bauby, Jean-Dominique"</f>
        <v>Bauby, Jean-Dominique</v>
      </c>
      <c r="F1410" t="s">
        <v>1328</v>
      </c>
      <c r="G1410" s="1">
        <v>8</v>
      </c>
      <c r="H1410">
        <v>1997</v>
      </c>
      <c r="I1410" t="str">
        <f t="shared" si="51"/>
        <v>9: 300 - 399</v>
      </c>
      <c r="K1410" t="str">
        <f>"LL - In"</f>
        <v>LL - In</v>
      </c>
      <c r="L1410" s="1">
        <v>18</v>
      </c>
      <c r="M1410" t="s">
        <v>1329</v>
      </c>
      <c r="O1410" t="s">
        <v>28</v>
      </c>
      <c r="P1410">
        <v>6</v>
      </c>
      <c r="Q1410">
        <v>0</v>
      </c>
      <c r="R1410">
        <v>21</v>
      </c>
      <c r="S1410" s="2">
        <v>39675</v>
      </c>
      <c r="T1410" s="2">
        <v>41053</v>
      </c>
      <c r="U1410" s="2">
        <v>43402</v>
      </c>
    </row>
    <row r="1411" spans="1:22" x14ac:dyDescent="0.2">
      <c r="A1411" t="str">
        <f>"362.1 BER"</f>
        <v>362.1 BER</v>
      </c>
      <c r="B1411" t="str">
        <f>"Patients come second: leading change by "</f>
        <v xml:space="preserve">Patients come second: leading change by </v>
      </c>
      <c r="C1411">
        <v>313220</v>
      </c>
      <c r="D1411" t="str">
        <f>"Berrett, Britt."</f>
        <v>Berrett, Britt.</v>
      </c>
      <c r="F1411" t="str">
        <f>"200 p., 23 cm."</f>
        <v>200 p., 23 cm.</v>
      </c>
      <c r="G1411" s="1">
        <v>13</v>
      </c>
      <c r="H1411">
        <v>2013</v>
      </c>
      <c r="I1411" t="str">
        <f t="shared" si="51"/>
        <v>9: 300 - 399</v>
      </c>
      <c r="K1411" t="str">
        <f>"WB - In"</f>
        <v>WB - In</v>
      </c>
      <c r="L1411" s="1">
        <v>30</v>
      </c>
      <c r="M1411" t="s">
        <v>1330</v>
      </c>
      <c r="O1411" t="s">
        <v>28</v>
      </c>
      <c r="P1411">
        <v>4</v>
      </c>
      <c r="Q1411">
        <v>0</v>
      </c>
      <c r="R1411">
        <v>11</v>
      </c>
      <c r="S1411" s="2">
        <v>41366</v>
      </c>
      <c r="T1411" s="2">
        <v>41500</v>
      </c>
      <c r="U1411" s="2">
        <v>43362</v>
      </c>
      <c r="V1411" s="2">
        <v>41500</v>
      </c>
    </row>
    <row r="1412" spans="1:22" x14ac:dyDescent="0.2">
      <c r="A1412" t="str">
        <f>"362.1 BLU"</f>
        <v>362.1 BLU</v>
      </c>
      <c r="B1412" t="str">
        <f>"Obesogen effect: why we eat less and exe"</f>
        <v>Obesogen effect: why we eat less and exe</v>
      </c>
      <c r="C1412">
        <v>346816</v>
      </c>
      <c r="D1412" t="str">
        <f>"Blumberg, Bruce"</f>
        <v>Blumberg, Bruce</v>
      </c>
      <c r="F1412" t="str">
        <f>"x, 307 pages, 24 cm"</f>
        <v>x, 307 pages, 24 cm</v>
      </c>
      <c r="G1412" s="1">
        <v>18</v>
      </c>
      <c r="H1412">
        <v>2018</v>
      </c>
      <c r="I1412" t="str">
        <f t="shared" si="51"/>
        <v>9: 300 - 399</v>
      </c>
      <c r="K1412" t="str">
        <f>"LL - In"</f>
        <v>LL - In</v>
      </c>
      <c r="L1412" s="1">
        <v>33</v>
      </c>
      <c r="M1412" t="s">
        <v>1331</v>
      </c>
      <c r="O1412" t="s">
        <v>28</v>
      </c>
      <c r="P1412">
        <v>6</v>
      </c>
      <c r="Q1412">
        <v>0</v>
      </c>
      <c r="R1412">
        <v>6</v>
      </c>
      <c r="S1412" s="2">
        <v>43179</v>
      </c>
      <c r="T1412" s="2">
        <v>43341</v>
      </c>
      <c r="U1412" s="2">
        <v>43583</v>
      </c>
    </row>
    <row r="1413" spans="1:22" x14ac:dyDescent="0.2">
      <c r="A1413" t="str">
        <f>"362.1 BRA"</f>
        <v>362.1 BRA</v>
      </c>
      <c r="B1413" t="str">
        <f>"How we do harm: a doctor breaks ranks ab"</f>
        <v>How we do harm: a doctor breaks ranks ab</v>
      </c>
      <c r="C1413">
        <v>305382</v>
      </c>
      <c r="D1413" t="str">
        <f>"Brawley, Otis Webb."</f>
        <v>Brawley, Otis Webb.</v>
      </c>
      <c r="F1413" t="str">
        <f>"304 p."</f>
        <v>304 p.</v>
      </c>
      <c r="G1413" s="1">
        <v>12</v>
      </c>
      <c r="H1413">
        <v>2012</v>
      </c>
      <c r="I1413" t="str">
        <f t="shared" si="51"/>
        <v>9: 300 - 399</v>
      </c>
      <c r="K1413" t="str">
        <f>"WB - In"</f>
        <v>WB - In</v>
      </c>
      <c r="L1413" s="1">
        <v>31</v>
      </c>
      <c r="M1413" t="s">
        <v>1332</v>
      </c>
      <c r="O1413" t="s">
        <v>28</v>
      </c>
      <c r="P1413">
        <v>4</v>
      </c>
      <c r="Q1413">
        <v>1</v>
      </c>
      <c r="R1413">
        <v>21</v>
      </c>
      <c r="S1413" s="2">
        <v>40940</v>
      </c>
      <c r="T1413" s="2">
        <v>41185</v>
      </c>
      <c r="U1413" s="2">
        <v>43547</v>
      </c>
      <c r="V1413" s="2">
        <v>43553</v>
      </c>
    </row>
    <row r="1414" spans="1:22" x14ac:dyDescent="0.2">
      <c r="A1414" t="str">
        <f>"362.1 BRI"</f>
        <v>362.1 BRI</v>
      </c>
      <c r="B1414" t="str">
        <f>"America's bitter pill: money, politics, "</f>
        <v xml:space="preserve">America's bitter pill: money, politics, </v>
      </c>
      <c r="C1414">
        <v>325594</v>
      </c>
      <c r="D1414" t="str">
        <f>"Brill, Steven"</f>
        <v>Brill, Steven</v>
      </c>
      <c r="F1414" t="str">
        <f>"x, 512 pages, 25 cm"</f>
        <v>x, 512 pages, 25 cm</v>
      </c>
      <c r="G1414" s="1">
        <v>15</v>
      </c>
      <c r="H1414">
        <v>2015</v>
      </c>
      <c r="I1414" t="str">
        <f t="shared" si="51"/>
        <v>9: 300 - 399</v>
      </c>
      <c r="K1414" t="str">
        <f>"LL - In"</f>
        <v>LL - In</v>
      </c>
      <c r="L1414" s="1">
        <v>33</v>
      </c>
      <c r="M1414" t="s">
        <v>1333</v>
      </c>
      <c r="O1414" t="s">
        <v>28</v>
      </c>
      <c r="P1414">
        <v>5</v>
      </c>
      <c r="Q1414">
        <v>0</v>
      </c>
      <c r="R1414">
        <v>14</v>
      </c>
      <c r="S1414" s="2">
        <v>42024</v>
      </c>
      <c r="T1414" s="2">
        <v>42213</v>
      </c>
      <c r="U1414" s="2">
        <v>43745</v>
      </c>
      <c r="V1414" s="2">
        <v>42220</v>
      </c>
    </row>
    <row r="1415" spans="1:22" x14ac:dyDescent="0.2">
      <c r="A1415" t="str">
        <f>"362.1 BUS"</f>
        <v>362.1 BUS</v>
      </c>
      <c r="B1415" t="str">
        <f>"Where does it hurt?: an entrepreneur's g"</f>
        <v>Where does it hurt?: an entrepreneur's g</v>
      </c>
      <c r="C1415">
        <v>321570</v>
      </c>
      <c r="D1415" t="str">
        <f>"Bush, Jonathan,"</f>
        <v>Bush, Jonathan,</v>
      </c>
      <c r="F1415" t="str">
        <f>"xi, 224 pages, 24 cm, illustrations"</f>
        <v>xi, 224 pages, 24 cm, illustrations</v>
      </c>
      <c r="G1415" s="1">
        <v>14</v>
      </c>
      <c r="H1415">
        <v>2014</v>
      </c>
      <c r="I1415" t="str">
        <f t="shared" si="51"/>
        <v>9: 300 - 399</v>
      </c>
      <c r="K1415" t="str">
        <f>"WB - In"</f>
        <v>WB - In</v>
      </c>
      <c r="L1415" s="1">
        <v>33</v>
      </c>
      <c r="M1415" t="s">
        <v>1334</v>
      </c>
      <c r="O1415" t="s">
        <v>28</v>
      </c>
      <c r="P1415">
        <v>2</v>
      </c>
      <c r="Q1415">
        <v>0</v>
      </c>
      <c r="R1415">
        <v>11</v>
      </c>
      <c r="S1415" s="2">
        <v>41787</v>
      </c>
      <c r="T1415" s="2">
        <v>41981</v>
      </c>
      <c r="U1415" s="2">
        <v>43614</v>
      </c>
      <c r="V1415" s="2">
        <v>41979</v>
      </c>
    </row>
    <row r="1416" spans="1:22" x14ac:dyDescent="0.2">
      <c r="A1416" t="str">
        <f>"362.1 CAS"</f>
        <v>362.1 CAS</v>
      </c>
      <c r="B1416" t="str">
        <f>"Seeking sickness: medical screening and "</f>
        <v xml:space="preserve">Seeking sickness: medical screening and </v>
      </c>
      <c r="C1416">
        <v>262100</v>
      </c>
      <c r="D1416" t="str">
        <f>"Cassels, Alan,"</f>
        <v>Cassels, Alan,</v>
      </c>
      <c r="F1416" t="str">
        <f>"177 p."</f>
        <v>177 p.</v>
      </c>
      <c r="G1416" s="1">
        <v>12</v>
      </c>
      <c r="H1416">
        <v>2012</v>
      </c>
      <c r="I1416" t="str">
        <f t="shared" ref="I1416:I1479" si="53">"9: 300 - 399"</f>
        <v>9: 300 - 399</v>
      </c>
      <c r="K1416" t="str">
        <f>"LL - Out"</f>
        <v>LL - Out</v>
      </c>
      <c r="L1416" s="1">
        <v>22</v>
      </c>
      <c r="M1416" t="s">
        <v>1335</v>
      </c>
      <c r="O1416" t="s">
        <v>28</v>
      </c>
      <c r="P1416">
        <v>3</v>
      </c>
      <c r="Q1416">
        <v>1</v>
      </c>
      <c r="R1416">
        <v>20</v>
      </c>
      <c r="S1416" s="2">
        <v>41250</v>
      </c>
      <c r="T1416" s="2">
        <v>41654</v>
      </c>
      <c r="U1416" s="2">
        <v>43857</v>
      </c>
      <c r="V1416" s="2">
        <v>43605</v>
      </c>
    </row>
    <row r="1417" spans="1:22" x14ac:dyDescent="0.2">
      <c r="A1417" t="str">
        <f>"362.1 CLA"</f>
        <v>362.1 CLA</v>
      </c>
      <c r="B1417" t="str">
        <f>"Demystifying hospice: inside the stories"</f>
        <v>Demystifying hospice: inside the stories</v>
      </c>
      <c r="C1417">
        <v>351657</v>
      </c>
      <c r="D1417" t="str">
        <f>"Clayton, Karen J."</f>
        <v>Clayton, Karen J.</v>
      </c>
      <c r="F1417" t="str">
        <f>"129 p."</f>
        <v>129 p.</v>
      </c>
      <c r="G1417" s="1">
        <v>18</v>
      </c>
      <c r="H1417">
        <v>2018</v>
      </c>
      <c r="I1417" t="str">
        <f t="shared" si="53"/>
        <v>9: 300 - 399</v>
      </c>
      <c r="K1417" t="str">
        <f>"WB - In"</f>
        <v>WB - In</v>
      </c>
      <c r="L1417" s="1">
        <v>35</v>
      </c>
      <c r="M1417" t="s">
        <v>1336</v>
      </c>
      <c r="O1417" t="s">
        <v>28</v>
      </c>
      <c r="P1417">
        <v>2</v>
      </c>
      <c r="Q1417">
        <v>0</v>
      </c>
      <c r="R1417">
        <v>2</v>
      </c>
      <c r="S1417" s="2">
        <v>43438</v>
      </c>
      <c r="T1417" s="2">
        <v>43454</v>
      </c>
      <c r="U1417" s="2">
        <v>43472</v>
      </c>
    </row>
    <row r="1418" spans="1:22" x14ac:dyDescent="0.2">
      <c r="A1418" t="str">
        <f>"362.1 EMA"</f>
        <v>362.1 EMA</v>
      </c>
      <c r="B1418" t="str">
        <f>"Prescription for the future: the twelve "</f>
        <v xml:space="preserve">Prescription for the future: the twelve </v>
      </c>
      <c r="C1418">
        <v>342981</v>
      </c>
      <c r="D1418" t="str">
        <f>"Emanuel, Ezekiel J.,"</f>
        <v>Emanuel, Ezekiel J.,</v>
      </c>
      <c r="F1418" t="str">
        <f>"x, 257 pages, 25 cm"</f>
        <v>x, 257 pages, 25 cm</v>
      </c>
      <c r="G1418" s="1">
        <v>17</v>
      </c>
      <c r="H1418">
        <v>2017</v>
      </c>
      <c r="I1418" t="str">
        <f t="shared" si="53"/>
        <v>9: 300 - 399</v>
      </c>
      <c r="K1418" t="str">
        <f>"LL - In"</f>
        <v>LL - In</v>
      </c>
      <c r="L1418" s="1">
        <v>32</v>
      </c>
      <c r="M1418" t="s">
        <v>1337</v>
      </c>
      <c r="O1418" t="s">
        <v>28</v>
      </c>
      <c r="P1418">
        <v>3</v>
      </c>
      <c r="Q1418">
        <v>0</v>
      </c>
      <c r="R1418">
        <v>3</v>
      </c>
      <c r="S1418" s="2">
        <v>42954</v>
      </c>
      <c r="T1418" s="2">
        <v>43124</v>
      </c>
      <c r="U1418" s="2">
        <v>43456</v>
      </c>
    </row>
    <row r="1419" spans="1:22" x14ac:dyDescent="0.2">
      <c r="A1419" t="str">
        <f>"362.1 FIN"</f>
        <v>362.1 FIN</v>
      </c>
      <c r="B1419" t="str">
        <f>"Five days at Memorial: life and death in"</f>
        <v>Five days at Memorial: life and death in</v>
      </c>
      <c r="C1419">
        <v>316669</v>
      </c>
      <c r="D1419" t="str">
        <f>"Fink, Sheri,"</f>
        <v>Fink, Sheri,</v>
      </c>
      <c r="F1419" t="str">
        <f>"xviii, 558 pages, 25 cm, map"</f>
        <v>xviii, 558 pages, 25 cm, map</v>
      </c>
      <c r="G1419" s="1">
        <v>13</v>
      </c>
      <c r="H1419">
        <v>2013</v>
      </c>
      <c r="I1419" t="str">
        <f t="shared" si="53"/>
        <v>9: 300 - 399</v>
      </c>
      <c r="K1419" t="str">
        <f>"WB - In"</f>
        <v>WB - In</v>
      </c>
      <c r="L1419" s="1">
        <v>32</v>
      </c>
      <c r="M1419" t="s">
        <v>1338</v>
      </c>
      <c r="O1419" t="s">
        <v>28</v>
      </c>
      <c r="P1419">
        <v>9</v>
      </c>
      <c r="Q1419">
        <v>0</v>
      </c>
      <c r="R1419">
        <v>32</v>
      </c>
      <c r="S1419" s="2">
        <v>41533</v>
      </c>
      <c r="T1419" s="2">
        <v>41772</v>
      </c>
      <c r="U1419" s="2">
        <v>43651</v>
      </c>
      <c r="V1419" s="2">
        <v>41923</v>
      </c>
    </row>
    <row r="1420" spans="1:22" x14ac:dyDescent="0.2">
      <c r="A1420" t="str">
        <f>"362.1 FRA"</f>
        <v>362.1 FRA</v>
      </c>
      <c r="B1420" t="str">
        <f>"How to survive a plague: the inside stor"</f>
        <v>How to survive a plague: the inside stor</v>
      </c>
      <c r="C1420">
        <v>338873</v>
      </c>
      <c r="D1420" t="str">
        <f>"France, David,"</f>
        <v>France, David,</v>
      </c>
      <c r="F1420" t="str">
        <f>"x, 624 pages, 25 cm, illustrations (some color)"</f>
        <v>x, 624 pages, 25 cm, illustrations (some color)</v>
      </c>
      <c r="G1420" s="1">
        <v>16</v>
      </c>
      <c r="H1420">
        <v>2016</v>
      </c>
      <c r="I1420" t="str">
        <f t="shared" si="53"/>
        <v>9: 300 - 399</v>
      </c>
      <c r="K1420" t="str">
        <f>"WB - In"</f>
        <v>WB - In</v>
      </c>
      <c r="L1420" s="1">
        <v>35</v>
      </c>
      <c r="M1420" t="s">
        <v>1339</v>
      </c>
      <c r="O1420" t="s">
        <v>28</v>
      </c>
      <c r="P1420">
        <v>1</v>
      </c>
      <c r="Q1420">
        <v>0</v>
      </c>
      <c r="R1420">
        <v>3</v>
      </c>
      <c r="S1420" s="2">
        <v>42727</v>
      </c>
      <c r="T1420" s="2">
        <v>42864</v>
      </c>
      <c r="U1420" s="2">
        <v>42938</v>
      </c>
    </row>
    <row r="1421" spans="1:22" x14ac:dyDescent="0.2">
      <c r="A1421" t="str">
        <f>"362.1 GAW"</f>
        <v>362.1 GAW</v>
      </c>
      <c r="B1421" t="str">
        <f>"Being mortal: medicine and what matters "</f>
        <v xml:space="preserve">Being mortal: medicine and what matters </v>
      </c>
      <c r="C1421">
        <v>324401</v>
      </c>
      <c r="D1421" t="str">
        <f>"Gawande, Atul"</f>
        <v>Gawande, Atul</v>
      </c>
      <c r="F1421" t="str">
        <f>"282 pages, 22 cm, illustrations"</f>
        <v>282 pages, 22 cm, illustrations</v>
      </c>
      <c r="G1421" s="1">
        <v>14</v>
      </c>
      <c r="H1421">
        <v>2014</v>
      </c>
      <c r="I1421" t="str">
        <f t="shared" si="53"/>
        <v>9: 300 - 399</v>
      </c>
      <c r="K1421" t="str">
        <f>"WB - In"</f>
        <v>WB - In</v>
      </c>
      <c r="L1421" s="1">
        <v>31</v>
      </c>
      <c r="M1421" t="s">
        <v>1340</v>
      </c>
      <c r="O1421" t="s">
        <v>28</v>
      </c>
      <c r="P1421">
        <v>22</v>
      </c>
      <c r="Q1421">
        <v>0</v>
      </c>
      <c r="R1421">
        <v>58</v>
      </c>
      <c r="S1421" s="2">
        <v>41942</v>
      </c>
      <c r="T1421" s="2">
        <v>42176</v>
      </c>
      <c r="U1421" s="2">
        <v>43807</v>
      </c>
      <c r="V1421" s="2">
        <v>42647</v>
      </c>
    </row>
    <row r="1422" spans="1:22" x14ac:dyDescent="0.2">
      <c r="A1422" t="str">
        <f>"362.1 GAW"</f>
        <v>362.1 GAW</v>
      </c>
      <c r="B1422" t="str">
        <f>"Being mortal: medicine and what matters "</f>
        <v xml:space="preserve">Being mortal: medicine and what matters </v>
      </c>
      <c r="C1422">
        <v>324918</v>
      </c>
      <c r="D1422" t="str">
        <f>"Gawande, Atul"</f>
        <v>Gawande, Atul</v>
      </c>
      <c r="F1422" t="str">
        <f>"282 pages, 22 cm, illustrations"</f>
        <v>282 pages, 22 cm, illustrations</v>
      </c>
      <c r="G1422" s="1">
        <v>14</v>
      </c>
      <c r="H1422">
        <v>2014</v>
      </c>
      <c r="I1422" t="str">
        <f t="shared" si="53"/>
        <v>9: 300 - 399</v>
      </c>
      <c r="K1422" t="str">
        <f>"WB - Out"</f>
        <v>WB - Out</v>
      </c>
      <c r="L1422" s="1">
        <v>31</v>
      </c>
      <c r="M1422" t="s">
        <v>1340</v>
      </c>
      <c r="O1422" t="s">
        <v>28</v>
      </c>
      <c r="P1422">
        <v>25</v>
      </c>
      <c r="Q1422">
        <v>2</v>
      </c>
      <c r="R1422">
        <v>58</v>
      </c>
      <c r="S1422" s="2">
        <v>41976</v>
      </c>
      <c r="T1422" s="2">
        <v>42171</v>
      </c>
      <c r="U1422" s="2">
        <v>43821</v>
      </c>
      <c r="V1422" s="2">
        <v>43056</v>
      </c>
    </row>
    <row r="1423" spans="1:22" x14ac:dyDescent="0.2">
      <c r="A1423" t="str">
        <f>"362.1 GOL"</f>
        <v>362.1 GOL</v>
      </c>
      <c r="B1423" t="str">
        <f>"Catastrophic care: how American health c"</f>
        <v>Catastrophic care: how American health c</v>
      </c>
      <c r="C1423">
        <v>312050</v>
      </c>
      <c r="D1423" t="str">
        <f>"Goldhill, David."</f>
        <v>Goldhill, David.</v>
      </c>
      <c r="F1423" t="str">
        <f>"369 p."</f>
        <v>369 p.</v>
      </c>
      <c r="G1423" s="1">
        <v>13</v>
      </c>
      <c r="H1423">
        <v>2013</v>
      </c>
      <c r="I1423" t="str">
        <f t="shared" si="53"/>
        <v>9: 300 - 399</v>
      </c>
      <c r="K1423" t="str">
        <f>"WB - In"</f>
        <v>WB - In</v>
      </c>
      <c r="L1423" s="1">
        <v>31</v>
      </c>
      <c r="M1423" t="s">
        <v>1341</v>
      </c>
      <c r="O1423" t="s">
        <v>28</v>
      </c>
      <c r="P1423">
        <v>5</v>
      </c>
      <c r="Q1423">
        <v>2</v>
      </c>
      <c r="R1423">
        <v>30</v>
      </c>
      <c r="S1423" s="2">
        <v>41290</v>
      </c>
      <c r="T1423" s="2">
        <v>42102</v>
      </c>
      <c r="U1423" s="2">
        <v>43761</v>
      </c>
      <c r="V1423" s="2">
        <v>43670</v>
      </c>
    </row>
    <row r="1424" spans="1:22" x14ac:dyDescent="0.2">
      <c r="A1424" t="str">
        <f>"362.1 GOR"</f>
        <v>362.1 GOR</v>
      </c>
      <c r="B1424" t="str">
        <f>"Denying to the grave: why we ignore the "</f>
        <v xml:space="preserve">Denying to the grave: why we ignore the </v>
      </c>
      <c r="C1424">
        <v>342746</v>
      </c>
      <c r="D1424" t="str">
        <f>"Gorman, Sara E."</f>
        <v>Gorman, Sara E.</v>
      </c>
      <c r="F1424" t="str">
        <f>"x, 312 pages, 25 cm"</f>
        <v>x, 312 pages, 25 cm</v>
      </c>
      <c r="G1424" s="1">
        <v>17</v>
      </c>
      <c r="H1424">
        <v>2017</v>
      </c>
      <c r="I1424" t="str">
        <f t="shared" si="53"/>
        <v>9: 300 - 399</v>
      </c>
      <c r="K1424" t="str">
        <f>"WB - In"</f>
        <v>WB - In</v>
      </c>
      <c r="L1424" s="1">
        <v>35</v>
      </c>
      <c r="M1424" t="s">
        <v>1342</v>
      </c>
      <c r="O1424" t="s">
        <v>28</v>
      </c>
      <c r="P1424">
        <v>8</v>
      </c>
      <c r="Q1424">
        <v>0</v>
      </c>
      <c r="R1424">
        <v>8</v>
      </c>
      <c r="S1424" s="2">
        <v>42947</v>
      </c>
      <c r="T1424" s="2">
        <v>43117</v>
      </c>
      <c r="U1424" s="2">
        <v>43512</v>
      </c>
    </row>
    <row r="1425" spans="1:22" x14ac:dyDescent="0.2">
      <c r="A1425" t="str">
        <f>"362.1 HIL"</f>
        <v>362.1 HIL</v>
      </c>
      <c r="B1425" t="str">
        <f>"wounded warrior handbook: a resource gui"</f>
        <v>wounded warrior handbook: a resource gui</v>
      </c>
      <c r="C1425">
        <v>334021</v>
      </c>
      <c r="D1425" t="str">
        <f>"Hill, Janelle."</f>
        <v>Hill, Janelle.</v>
      </c>
      <c r="F1425" t="str">
        <f>"x, 462 p., 23 cm, ill."</f>
        <v>x, 462 p., 23 cm, ill.</v>
      </c>
      <c r="G1425" s="1">
        <v>16</v>
      </c>
      <c r="H1425">
        <v>2015</v>
      </c>
      <c r="I1425" t="str">
        <f t="shared" si="53"/>
        <v>9: 300 - 399</v>
      </c>
      <c r="K1425" t="str">
        <f>"WB - In"</f>
        <v>WB - In</v>
      </c>
      <c r="L1425" s="1">
        <v>35</v>
      </c>
      <c r="M1425" t="s">
        <v>1343</v>
      </c>
      <c r="O1425" t="s">
        <v>28</v>
      </c>
      <c r="P1425">
        <v>0</v>
      </c>
      <c r="Q1425">
        <v>0</v>
      </c>
      <c r="R1425">
        <v>0</v>
      </c>
      <c r="S1425" s="2">
        <v>42450</v>
      </c>
      <c r="T1425" s="2">
        <v>42514</v>
      </c>
    </row>
    <row r="1426" spans="1:22" x14ac:dyDescent="0.2">
      <c r="A1426" t="str">
        <f>"362.1 KAP"</f>
        <v>362.1 KAP</v>
      </c>
      <c r="B1426" t="str">
        <f>"story of Jane: the legendary underground"</f>
        <v>story of Jane: the legendary underground</v>
      </c>
      <c r="C1426">
        <v>355791</v>
      </c>
      <c r="D1426" t="str">
        <f>"Kaplan, Laura"</f>
        <v>Kaplan, Laura</v>
      </c>
      <c r="F1426" t="str">
        <f>"292 p."</f>
        <v>292 p.</v>
      </c>
      <c r="G1426" s="1">
        <v>19</v>
      </c>
      <c r="H1426">
        <v>2019</v>
      </c>
      <c r="I1426" t="str">
        <f t="shared" si="53"/>
        <v>9: 300 - 399</v>
      </c>
      <c r="K1426" t="str">
        <f>"LL - In"</f>
        <v>LL - In</v>
      </c>
      <c r="L1426" s="1">
        <v>25</v>
      </c>
      <c r="M1426" t="s">
        <v>1344</v>
      </c>
      <c r="O1426" t="s">
        <v>28</v>
      </c>
      <c r="P1426">
        <v>5</v>
      </c>
      <c r="Q1426">
        <v>0</v>
      </c>
      <c r="R1426">
        <v>5</v>
      </c>
      <c r="S1426" s="2">
        <v>43640</v>
      </c>
      <c r="T1426" s="2">
        <v>43810</v>
      </c>
      <c r="U1426" s="2">
        <v>43799</v>
      </c>
    </row>
    <row r="1427" spans="1:22" x14ac:dyDescent="0.2">
      <c r="A1427" t="str">
        <f>"362.1 KHA"</f>
        <v>362.1 KHA</v>
      </c>
      <c r="B1427" t="str">
        <f>"next pandemic: on the front lines agains"</f>
        <v>next pandemic: on the front lines agains</v>
      </c>
      <c r="C1427">
        <v>335309</v>
      </c>
      <c r="D1427" t="str">
        <f>"Khan, Ali"</f>
        <v>Khan, Ali</v>
      </c>
      <c r="F1427" t="str">
        <f>"x, 275 pages, 25 cm"</f>
        <v>x, 275 pages, 25 cm</v>
      </c>
      <c r="G1427" s="1">
        <v>16</v>
      </c>
      <c r="H1427">
        <v>2016</v>
      </c>
      <c r="I1427" t="str">
        <f t="shared" si="53"/>
        <v>9: 300 - 399</v>
      </c>
      <c r="K1427" t="str">
        <f>"LL - In"</f>
        <v>LL - In</v>
      </c>
      <c r="L1427" s="1">
        <v>32</v>
      </c>
      <c r="M1427" t="s">
        <v>1345</v>
      </c>
      <c r="O1427" t="s">
        <v>28</v>
      </c>
      <c r="P1427">
        <v>0</v>
      </c>
      <c r="Q1427">
        <v>1</v>
      </c>
      <c r="R1427">
        <v>6</v>
      </c>
      <c r="S1427" s="2">
        <v>42521</v>
      </c>
      <c r="T1427" s="2">
        <v>42678</v>
      </c>
      <c r="U1427" s="2">
        <v>42644</v>
      </c>
      <c r="V1427" s="2">
        <v>43675</v>
      </c>
    </row>
    <row r="1428" spans="1:22" x14ac:dyDescent="0.2">
      <c r="A1428" t="str">
        <f>"362.1 LAL"</f>
        <v>362.1 LAL</v>
      </c>
      <c r="B1428" t="str">
        <f>"Your best health care now: get doctor di"</f>
        <v>Your best health care now: get doctor di</v>
      </c>
      <c r="C1428">
        <v>291072</v>
      </c>
      <c r="D1428" t="str">
        <f>"Lalli, Frank"</f>
        <v>Lalli, Frank</v>
      </c>
      <c r="F1428" t="str">
        <f>"viii, 342 pages, 22 cm"</f>
        <v>viii, 342 pages, 22 cm</v>
      </c>
      <c r="G1428" s="1">
        <v>16</v>
      </c>
      <c r="H1428">
        <v>2016</v>
      </c>
      <c r="I1428" t="str">
        <f t="shared" si="53"/>
        <v>9: 300 - 399</v>
      </c>
      <c r="K1428" t="str">
        <f>"WB - In"</f>
        <v>WB - In</v>
      </c>
      <c r="L1428" s="1">
        <v>25</v>
      </c>
      <c r="M1428" t="s">
        <v>1346</v>
      </c>
      <c r="O1428" t="s">
        <v>28</v>
      </c>
      <c r="P1428">
        <v>2</v>
      </c>
      <c r="Q1428">
        <v>0</v>
      </c>
      <c r="R1428">
        <v>4</v>
      </c>
      <c r="S1428" s="2">
        <v>42667</v>
      </c>
      <c r="T1428" s="2">
        <v>42671</v>
      </c>
      <c r="U1428" s="2">
        <v>43193</v>
      </c>
    </row>
    <row r="1429" spans="1:22" x14ac:dyDescent="0.2">
      <c r="A1429" t="str">
        <f>"362.1 MAN"</f>
        <v>362.1 MAN</v>
      </c>
      <c r="B1429" t="str">
        <f>"With the end in mind: dying, death, and "</f>
        <v xml:space="preserve">With the end in mind: dying, death, and </v>
      </c>
      <c r="C1429">
        <v>345890</v>
      </c>
      <c r="D1429" t="str">
        <f>"Mannix, Kathryn"</f>
        <v>Mannix, Kathryn</v>
      </c>
      <c r="F1429" t="str">
        <f>"viii, 341 pages, 22 cm"</f>
        <v>viii, 341 pages, 22 cm</v>
      </c>
      <c r="G1429" s="1">
        <v>18</v>
      </c>
      <c r="H1429">
        <v>2018</v>
      </c>
      <c r="I1429" t="str">
        <f t="shared" si="53"/>
        <v>9: 300 - 399</v>
      </c>
      <c r="K1429" t="str">
        <f>"WB - In"</f>
        <v>WB - In</v>
      </c>
      <c r="L1429" s="1">
        <v>32</v>
      </c>
      <c r="M1429" t="s">
        <v>1347</v>
      </c>
      <c r="O1429" t="s">
        <v>28</v>
      </c>
      <c r="P1429">
        <v>5</v>
      </c>
      <c r="Q1429">
        <v>0</v>
      </c>
      <c r="R1429">
        <v>5</v>
      </c>
      <c r="S1429" s="2">
        <v>43137</v>
      </c>
      <c r="T1429" s="2">
        <v>43306</v>
      </c>
      <c r="U1429" s="2">
        <v>43265</v>
      </c>
    </row>
    <row r="1430" spans="1:22" x14ac:dyDescent="0.2">
      <c r="A1430" t="str">
        <f>"362.1 MET"</f>
        <v>362.1 MET</v>
      </c>
      <c r="B1430" t="str">
        <f>"Dying of whiteness: how the politics of "</f>
        <v xml:space="preserve">Dying of whiteness: how the politics of </v>
      </c>
      <c r="C1430">
        <v>354899</v>
      </c>
      <c r="D1430" t="str">
        <f>"Metzl, Jonathan,"</f>
        <v>Metzl, Jonathan,</v>
      </c>
      <c r="F1430" t="str">
        <f>"viii, 341 pages, 25 cm, illustrations"</f>
        <v>viii, 341 pages, 25 cm, illustrations</v>
      </c>
      <c r="G1430" s="1">
        <v>19</v>
      </c>
      <c r="H1430">
        <v>2019</v>
      </c>
      <c r="I1430" t="str">
        <f t="shared" si="53"/>
        <v>9: 300 - 399</v>
      </c>
      <c r="K1430" t="str">
        <f>"WB - In"</f>
        <v>WB - In</v>
      </c>
      <c r="L1430" s="1">
        <v>37</v>
      </c>
      <c r="M1430" t="s">
        <v>1348</v>
      </c>
      <c r="O1430" t="s">
        <v>28</v>
      </c>
      <c r="P1430">
        <v>2</v>
      </c>
      <c r="Q1430">
        <v>1</v>
      </c>
      <c r="R1430">
        <v>3</v>
      </c>
      <c r="S1430" s="2">
        <v>43606</v>
      </c>
      <c r="T1430" s="2">
        <v>43768</v>
      </c>
      <c r="U1430" s="2">
        <v>43743</v>
      </c>
      <c r="V1430" s="2">
        <v>43713</v>
      </c>
    </row>
    <row r="1431" spans="1:22" x14ac:dyDescent="0.2">
      <c r="A1431" t="str">
        <f>"362.1 OSH"</f>
        <v>362.1 OSH</v>
      </c>
      <c r="B1431" t="str">
        <f>"Bellevue: three centuries of medicine an"</f>
        <v>Bellevue: three centuries of medicine an</v>
      </c>
      <c r="C1431">
        <v>338550</v>
      </c>
      <c r="D1431" t="str">
        <f>"Oshinsky, David M."</f>
        <v>Oshinsky, David M.</v>
      </c>
      <c r="F1431" t="str">
        <f>"387 pages, 16 unnumbered pages of plates, 25 cm, illustrations (some color)"</f>
        <v>387 pages, 16 unnumbered pages of plates, 25 cm, illustrations (some color)</v>
      </c>
      <c r="G1431" s="1">
        <v>16</v>
      </c>
      <c r="H1431">
        <v>2016</v>
      </c>
      <c r="I1431" t="str">
        <f t="shared" si="53"/>
        <v>9: 300 - 399</v>
      </c>
      <c r="K1431" t="str">
        <f>"WB - In"</f>
        <v>WB - In</v>
      </c>
      <c r="L1431" s="1">
        <v>35</v>
      </c>
      <c r="M1431" t="s">
        <v>1349</v>
      </c>
      <c r="O1431" t="s">
        <v>28</v>
      </c>
      <c r="P1431">
        <v>11</v>
      </c>
      <c r="Q1431">
        <v>1</v>
      </c>
      <c r="R1431">
        <v>15</v>
      </c>
      <c r="S1431" s="2">
        <v>42702</v>
      </c>
      <c r="T1431" s="2">
        <v>42886</v>
      </c>
      <c r="U1431" s="2">
        <v>43670</v>
      </c>
      <c r="V1431" s="2">
        <v>42886</v>
      </c>
    </row>
    <row r="1432" spans="1:22" x14ac:dyDescent="0.2">
      <c r="A1432" t="str">
        <f>"362.1 PEA"</f>
        <v>362.1 PEA</v>
      </c>
      <c r="B1432" t="str">
        <f>"No apparent distress: a doctor's coming-"</f>
        <v>No apparent distress: a doctor's coming-</v>
      </c>
      <c r="C1432">
        <v>295664</v>
      </c>
      <c r="D1432" t="str">
        <f>"Pearson, Rachel"</f>
        <v>Pearson, Rachel</v>
      </c>
      <c r="F1432" t="str">
        <f>"260 pages, 25 cm"</f>
        <v>260 pages, 25 cm</v>
      </c>
      <c r="G1432">
        <v>17</v>
      </c>
      <c r="H1432">
        <v>2017</v>
      </c>
      <c r="I1432" t="str">
        <f t="shared" si="53"/>
        <v>9: 300 - 399</v>
      </c>
      <c r="K1432" t="str">
        <f>"WB - In"</f>
        <v>WB - In</v>
      </c>
      <c r="L1432" s="1">
        <v>32</v>
      </c>
      <c r="M1432" t="s">
        <v>1350</v>
      </c>
      <c r="O1432" t="s">
        <v>28</v>
      </c>
      <c r="P1432">
        <v>8</v>
      </c>
      <c r="Q1432">
        <v>0</v>
      </c>
      <c r="R1432">
        <v>8</v>
      </c>
      <c r="S1432" s="2">
        <v>42908</v>
      </c>
      <c r="T1432" s="2">
        <v>43128</v>
      </c>
      <c r="U1432" s="2">
        <v>43087</v>
      </c>
    </row>
    <row r="1433" spans="1:22" x14ac:dyDescent="0.2">
      <c r="A1433" t="str">
        <f>"362.1 POT"</f>
        <v>362.1 POT</v>
      </c>
      <c r="B1433" t="str">
        <f>"Deadly spin: an insurance company inside"</f>
        <v>Deadly spin: an insurance company inside</v>
      </c>
      <c r="C1433">
        <v>146536</v>
      </c>
      <c r="D1433" t="str">
        <f>"Potter, Wendell,"</f>
        <v>Potter, Wendell,</v>
      </c>
      <c r="F1433" t="str">
        <f>"277 p., cm."</f>
        <v>277 p., cm.</v>
      </c>
      <c r="G1433" s="1">
        <v>10</v>
      </c>
      <c r="H1433">
        <v>2010</v>
      </c>
      <c r="I1433" t="str">
        <f t="shared" si="53"/>
        <v>9: 300 - 399</v>
      </c>
      <c r="K1433" t="str">
        <f>"LL - In"</f>
        <v>LL - In</v>
      </c>
      <c r="L1433" s="1">
        <v>31</v>
      </c>
      <c r="M1433" t="s">
        <v>1351</v>
      </c>
      <c r="O1433" t="s">
        <v>28</v>
      </c>
      <c r="P1433">
        <v>1</v>
      </c>
      <c r="Q1433">
        <v>0</v>
      </c>
      <c r="R1433">
        <v>17</v>
      </c>
      <c r="S1433" s="2">
        <v>40499</v>
      </c>
      <c r="T1433" s="2">
        <v>41053</v>
      </c>
      <c r="U1433" s="2">
        <v>43262</v>
      </c>
      <c r="V1433" s="2">
        <v>41107</v>
      </c>
    </row>
    <row r="1434" spans="1:22" x14ac:dyDescent="0.2">
      <c r="A1434" t="str">
        <f>"362.1 POW"</f>
        <v>362.1 POW</v>
      </c>
      <c r="B1434" t="str">
        <f>"Health care: meet the American dream"</f>
        <v>Health care: meet the American dream</v>
      </c>
      <c r="C1434">
        <v>351838</v>
      </c>
      <c r="D1434" t="str">
        <f>"Powers, Janis."</f>
        <v>Powers, Janis.</v>
      </c>
      <c r="F1434" t="str">
        <f>"205 p."</f>
        <v>205 p.</v>
      </c>
      <c r="G1434" s="1">
        <v>18</v>
      </c>
      <c r="H1434">
        <v>2018</v>
      </c>
      <c r="I1434" t="str">
        <f t="shared" si="53"/>
        <v>9: 300 - 399</v>
      </c>
      <c r="K1434" t="str">
        <f>"WB - In"</f>
        <v>WB - In</v>
      </c>
      <c r="L1434" s="1">
        <v>23</v>
      </c>
      <c r="M1434" t="s">
        <v>1352</v>
      </c>
      <c r="O1434" t="s">
        <v>28</v>
      </c>
      <c r="P1434">
        <v>2</v>
      </c>
      <c r="Q1434">
        <v>0</v>
      </c>
      <c r="R1434">
        <v>2</v>
      </c>
      <c r="S1434" s="2">
        <v>43444</v>
      </c>
      <c r="T1434" s="2">
        <v>43628</v>
      </c>
      <c r="U1434" s="2">
        <v>43546</v>
      </c>
    </row>
    <row r="1435" spans="1:22" x14ac:dyDescent="0.2">
      <c r="A1435" t="str">
        <f>"362.1 ROS"</f>
        <v>362.1 ROS</v>
      </c>
      <c r="B1435" t="str">
        <f>"American sickness: how healthcare became"</f>
        <v>American sickness: how healthcare became</v>
      </c>
      <c r="C1435">
        <v>340720</v>
      </c>
      <c r="D1435" t="str">
        <f>"Rosenthal, Elisabeth,"</f>
        <v>Rosenthal, Elisabeth,</v>
      </c>
      <c r="F1435" t="str">
        <f>"406 pages, 25 cm"</f>
        <v>406 pages, 25 cm</v>
      </c>
      <c r="G1435" s="1">
        <v>17</v>
      </c>
      <c r="H1435">
        <v>2017</v>
      </c>
      <c r="I1435" t="str">
        <f t="shared" si="53"/>
        <v>9: 300 - 399</v>
      </c>
      <c r="K1435" t="str">
        <f>"WB - In"</f>
        <v>WB - In</v>
      </c>
      <c r="L1435" s="1">
        <v>33</v>
      </c>
      <c r="M1435" t="s">
        <v>1353</v>
      </c>
      <c r="O1435" t="s">
        <v>28</v>
      </c>
      <c r="P1435">
        <v>18</v>
      </c>
      <c r="Q1435">
        <v>0</v>
      </c>
      <c r="R1435">
        <v>18</v>
      </c>
      <c r="S1435" s="2">
        <v>42835</v>
      </c>
      <c r="T1435" s="2">
        <v>43110</v>
      </c>
      <c r="U1435" s="2">
        <v>43651</v>
      </c>
    </row>
    <row r="1436" spans="1:22" x14ac:dyDescent="0.2">
      <c r="A1436" t="str">
        <f>"362.1 SHI"</f>
        <v>362.1 SHI</v>
      </c>
      <c r="B1436" t="str">
        <f>"And the band played on: politics, people"</f>
        <v>And the band played on: politics, people</v>
      </c>
      <c r="C1436">
        <v>321062</v>
      </c>
      <c r="D1436" t="str">
        <f>"Shilts, Randy."</f>
        <v>Shilts, Randy.</v>
      </c>
      <c r="F1436" t="str">
        <f>"xxiii, 630 p., 22 cm"</f>
        <v>xxiii, 630 p., 22 cm</v>
      </c>
      <c r="G1436" s="1">
        <v>14</v>
      </c>
      <c r="H1436">
        <v>2007</v>
      </c>
      <c r="I1436" t="str">
        <f t="shared" si="53"/>
        <v>9: 300 - 399</v>
      </c>
      <c r="K1436" t="str">
        <f>"LL - In"</f>
        <v>LL - In</v>
      </c>
      <c r="L1436" s="1">
        <v>25</v>
      </c>
      <c r="O1436" t="s">
        <v>28</v>
      </c>
      <c r="P1436">
        <v>2</v>
      </c>
      <c r="Q1436">
        <v>0</v>
      </c>
      <c r="R1436">
        <v>4</v>
      </c>
      <c r="S1436" s="2">
        <v>41760</v>
      </c>
      <c r="T1436" s="2">
        <v>41765</v>
      </c>
      <c r="U1436" s="2">
        <v>43265</v>
      </c>
    </row>
    <row r="1437" spans="1:22" x14ac:dyDescent="0.2">
      <c r="A1437" t="str">
        <f>"362.1 SIL"</f>
        <v>362.1 SIL</v>
      </c>
      <c r="B1437" t="str">
        <f>"Overcharged: why Americans pay too much "</f>
        <v xml:space="preserve">Overcharged: why Americans pay too much </v>
      </c>
      <c r="C1437">
        <v>350974</v>
      </c>
      <c r="D1437" t="str">
        <f>"Silver, Charles,"</f>
        <v>Silver, Charles,</v>
      </c>
      <c r="F1437" t="str">
        <f>"xxii, 555 pages, 23 cm"</f>
        <v>xxii, 555 pages, 23 cm</v>
      </c>
      <c r="G1437" s="1">
        <v>18</v>
      </c>
      <c r="H1437">
        <v>2018</v>
      </c>
      <c r="I1437" t="str">
        <f t="shared" si="53"/>
        <v>9: 300 - 399</v>
      </c>
      <c r="K1437" t="str">
        <f>"WB - In"</f>
        <v>WB - In</v>
      </c>
      <c r="L1437" s="1">
        <v>25</v>
      </c>
      <c r="M1437" t="s">
        <v>1354</v>
      </c>
      <c r="O1437" t="s">
        <v>28</v>
      </c>
      <c r="P1437">
        <v>4</v>
      </c>
      <c r="Q1437">
        <v>0</v>
      </c>
      <c r="R1437">
        <v>4</v>
      </c>
      <c r="S1437" s="2">
        <v>43402</v>
      </c>
      <c r="T1437" s="2">
        <v>43600</v>
      </c>
      <c r="U1437" s="2">
        <v>43560</v>
      </c>
    </row>
    <row r="1438" spans="1:22" x14ac:dyDescent="0.2">
      <c r="A1438" t="str">
        <f>"362.1 TAT"</f>
        <v>362.1 TAT</v>
      </c>
      <c r="B1438" t="str">
        <f>"ObamaCare survival guide"</f>
        <v>ObamaCare survival guide</v>
      </c>
      <c r="C1438">
        <v>312594</v>
      </c>
      <c r="D1438" t="str">
        <f>"Tate, Nick J."</f>
        <v>Tate, Nick J.</v>
      </c>
      <c r="F1438" t="str">
        <f>"xv, 229 p."</f>
        <v>xv, 229 p.</v>
      </c>
      <c r="G1438" s="1">
        <v>13</v>
      </c>
      <c r="H1438">
        <v>2012</v>
      </c>
      <c r="I1438" t="str">
        <f t="shared" si="53"/>
        <v>9: 300 - 399</v>
      </c>
      <c r="K1438" t="str">
        <f>"WB - In"</f>
        <v>WB - In</v>
      </c>
      <c r="L1438" s="1">
        <v>25</v>
      </c>
      <c r="M1438" t="s">
        <v>1355</v>
      </c>
      <c r="O1438" t="s">
        <v>28</v>
      </c>
      <c r="P1438">
        <v>0</v>
      </c>
      <c r="Q1438">
        <v>0</v>
      </c>
      <c r="R1438">
        <v>11</v>
      </c>
      <c r="S1438" s="2">
        <v>41320</v>
      </c>
      <c r="T1438" s="2">
        <v>41347</v>
      </c>
      <c r="U1438" s="2">
        <v>42367</v>
      </c>
    </row>
    <row r="1439" spans="1:22" x14ac:dyDescent="0.2">
      <c r="A1439" t="str">
        <f>"362.1 TAY"</f>
        <v>362.1 TAY</v>
      </c>
      <c r="B1439" t="str">
        <f>"My stroke of insight: a brain scientist'"</f>
        <v>My stroke of insight: a brain scientist'</v>
      </c>
      <c r="C1439">
        <v>211161</v>
      </c>
      <c r="D1439" t="str">
        <f>"Taylor, Jill Bolte"</f>
        <v>Taylor, Jill Bolte</v>
      </c>
      <c r="F1439" t="str">
        <f>"183 p."</f>
        <v>183 p.</v>
      </c>
      <c r="G1439" s="1">
        <v>8</v>
      </c>
      <c r="H1439">
        <v>2008</v>
      </c>
      <c r="I1439" t="str">
        <f t="shared" si="53"/>
        <v>9: 300 - 399</v>
      </c>
      <c r="K1439" t="str">
        <f>"LL - In"</f>
        <v>LL - In</v>
      </c>
      <c r="L1439" s="1">
        <v>30</v>
      </c>
      <c r="M1439" t="s">
        <v>1356</v>
      </c>
      <c r="O1439" t="s">
        <v>28</v>
      </c>
      <c r="P1439">
        <v>4</v>
      </c>
      <c r="Q1439">
        <v>1</v>
      </c>
      <c r="R1439">
        <v>58</v>
      </c>
      <c r="S1439" s="2">
        <v>39609</v>
      </c>
      <c r="T1439" s="2">
        <v>41053</v>
      </c>
      <c r="U1439" s="2">
        <v>43060</v>
      </c>
      <c r="V1439" s="2">
        <v>43675</v>
      </c>
    </row>
    <row r="1440" spans="1:22" x14ac:dyDescent="0.2">
      <c r="A1440" t="str">
        <f>"362.1 TAY"</f>
        <v>362.1 TAY</v>
      </c>
      <c r="B1440" t="str">
        <f>"My stroke of insight: a brain scientist'"</f>
        <v>My stroke of insight: a brain scientist'</v>
      </c>
      <c r="C1440">
        <v>131125</v>
      </c>
      <c r="D1440" t="str">
        <f>"Taylor, Jill Bolte"</f>
        <v>Taylor, Jill Bolte</v>
      </c>
      <c r="F1440" t="str">
        <f>"183 p."</f>
        <v>183 p.</v>
      </c>
      <c r="G1440" s="1">
        <v>8</v>
      </c>
      <c r="H1440">
        <v>2008</v>
      </c>
      <c r="I1440" t="str">
        <f t="shared" si="53"/>
        <v>9: 300 - 399</v>
      </c>
      <c r="K1440" t="str">
        <f>"WB - In"</f>
        <v>WB - In</v>
      </c>
      <c r="L1440" s="1">
        <v>30</v>
      </c>
      <c r="M1440" t="s">
        <v>1356</v>
      </c>
      <c r="O1440" t="s">
        <v>28</v>
      </c>
      <c r="P1440">
        <v>6</v>
      </c>
      <c r="Q1440">
        <v>0</v>
      </c>
      <c r="R1440">
        <v>58</v>
      </c>
      <c r="S1440" s="2">
        <v>39630</v>
      </c>
      <c r="T1440" s="2">
        <v>41053</v>
      </c>
      <c r="U1440" s="2">
        <v>43435</v>
      </c>
      <c r="V1440" s="2">
        <v>42638</v>
      </c>
    </row>
    <row r="1441" spans="1:22" x14ac:dyDescent="0.2">
      <c r="A1441" t="str">
        <f>"362.1 TRA"</f>
        <v>362.1 TRA</v>
      </c>
      <c r="B1441" t="str">
        <f>"Sicker, fatter, poorer: the urgent threa"</f>
        <v>Sicker, fatter, poorer: the urgent threa</v>
      </c>
      <c r="C1441">
        <v>352807</v>
      </c>
      <c r="D1441" t="str">
        <f>"Trasande, Leonardo"</f>
        <v>Trasande, Leonardo</v>
      </c>
      <c r="F1441" t="str">
        <f>"xvii, 221 pages, 22 cm"</f>
        <v>xvii, 221 pages, 22 cm</v>
      </c>
      <c r="G1441" s="1">
        <v>19</v>
      </c>
      <c r="H1441">
        <v>2019</v>
      </c>
      <c r="I1441" t="str">
        <f t="shared" si="53"/>
        <v>9: 300 - 399</v>
      </c>
      <c r="K1441" t="str">
        <f>"WB - In"</f>
        <v>WB - In</v>
      </c>
      <c r="L1441" s="1">
        <v>27</v>
      </c>
      <c r="M1441" t="s">
        <v>1357</v>
      </c>
      <c r="O1441" t="s">
        <v>28</v>
      </c>
      <c r="P1441">
        <v>5</v>
      </c>
      <c r="Q1441">
        <v>0</v>
      </c>
      <c r="R1441">
        <v>5</v>
      </c>
      <c r="S1441" s="2">
        <v>43507</v>
      </c>
      <c r="T1441" s="2">
        <v>43677</v>
      </c>
      <c r="U1441" s="2">
        <v>43659</v>
      </c>
    </row>
    <row r="1442" spans="1:22" x14ac:dyDescent="0.2">
      <c r="A1442" t="str">
        <f>"362.1 WEL"</f>
        <v>362.1 WEL</v>
      </c>
      <c r="B1442" t="str">
        <f>"Less medicine, more health: 7 assumption"</f>
        <v>Less medicine, more health: 7 assumption</v>
      </c>
      <c r="C1442">
        <v>292880</v>
      </c>
      <c r="D1442" t="str">
        <f>"Welch, H. Gilbert."</f>
        <v>Welch, H. Gilbert.</v>
      </c>
      <c r="F1442" t="str">
        <f>"xxii, 218 pages, 24 cm"</f>
        <v>xxii, 218 pages, 24 cm</v>
      </c>
      <c r="G1442" s="1">
        <v>17</v>
      </c>
      <c r="H1442">
        <v>2015</v>
      </c>
      <c r="I1442" t="str">
        <f t="shared" si="53"/>
        <v>9: 300 - 399</v>
      </c>
      <c r="K1442" t="str">
        <f>"WB - In"</f>
        <v>WB - In</v>
      </c>
      <c r="L1442" s="1">
        <v>21</v>
      </c>
      <c r="M1442" t="s">
        <v>1358</v>
      </c>
      <c r="O1442" t="s">
        <v>28</v>
      </c>
      <c r="P1442">
        <v>6</v>
      </c>
      <c r="Q1442">
        <v>2</v>
      </c>
      <c r="R1442">
        <v>9</v>
      </c>
      <c r="S1442" s="2">
        <v>42758</v>
      </c>
      <c r="T1442" s="2">
        <v>42761</v>
      </c>
      <c r="U1442" s="2">
        <v>43678</v>
      </c>
      <c r="V1442" s="2">
        <v>43000</v>
      </c>
    </row>
    <row r="1443" spans="1:22" x14ac:dyDescent="0.2">
      <c r="A1443" t="str">
        <f>"362.1 WEL"</f>
        <v>362.1 WEL</v>
      </c>
      <c r="B1443" t="str">
        <f>"Overdiagnosed: making people sick in the"</f>
        <v>Overdiagnosed: making people sick in the</v>
      </c>
      <c r="C1443">
        <v>302450</v>
      </c>
      <c r="D1443" t="str">
        <f>"Welch, H. Gilbert."</f>
        <v>Welch, H. Gilbert.</v>
      </c>
      <c r="F1443" t="str">
        <f>"xvii, 228 p., 24 cm., ill."</f>
        <v>xvii, 228 p., 24 cm., ill.</v>
      </c>
      <c r="G1443" s="1">
        <v>11</v>
      </c>
      <c r="H1443">
        <v>2011</v>
      </c>
      <c r="I1443" t="str">
        <f t="shared" si="53"/>
        <v>9: 300 - 399</v>
      </c>
      <c r="K1443" t="str">
        <f>"LL - In"</f>
        <v>LL - In</v>
      </c>
      <c r="L1443" s="1">
        <v>30</v>
      </c>
      <c r="M1443" t="s">
        <v>1359</v>
      </c>
      <c r="O1443" t="s">
        <v>28</v>
      </c>
      <c r="P1443">
        <v>10</v>
      </c>
      <c r="Q1443">
        <v>2</v>
      </c>
      <c r="R1443">
        <v>29</v>
      </c>
      <c r="S1443" s="2">
        <v>40785</v>
      </c>
      <c r="T1443" s="2">
        <v>41053</v>
      </c>
      <c r="U1443" s="2">
        <v>43822</v>
      </c>
      <c r="V1443" s="2">
        <v>43263</v>
      </c>
    </row>
    <row r="1444" spans="1:22" x14ac:dyDescent="0.2">
      <c r="A1444" t="str">
        <f>"362.1 WRE"</f>
        <v>362.1 WRE</v>
      </c>
      <c r="B1444" t="str">
        <f>"Dying well with hospice: a compassionate"</f>
        <v>Dying well with hospice: a compassionate</v>
      </c>
      <c r="C1444">
        <v>401412</v>
      </c>
      <c r="D1444" t="str">
        <f>"Wrenn, Paula"</f>
        <v>Wrenn, Paula</v>
      </c>
      <c r="F1444" t="str">
        <f>"211 p."</f>
        <v>211 p.</v>
      </c>
      <c r="G1444" s="1">
        <v>18</v>
      </c>
      <c r="H1444">
        <v>2017</v>
      </c>
      <c r="I1444" t="str">
        <f t="shared" si="53"/>
        <v>9: 300 - 399</v>
      </c>
      <c r="K1444" t="str">
        <f>"WB - In"</f>
        <v>WB - In</v>
      </c>
      <c r="L1444" s="1">
        <v>22</v>
      </c>
      <c r="M1444" t="s">
        <v>1360</v>
      </c>
      <c r="O1444" t="s">
        <v>28</v>
      </c>
      <c r="P1444">
        <v>1</v>
      </c>
      <c r="Q1444">
        <v>0</v>
      </c>
      <c r="R1444">
        <v>1</v>
      </c>
      <c r="S1444" s="2">
        <v>43237</v>
      </c>
      <c r="T1444" s="2">
        <v>43244</v>
      </c>
      <c r="U1444" s="2">
        <v>43386</v>
      </c>
    </row>
    <row r="1445" spans="1:22" x14ac:dyDescent="0.2">
      <c r="A1445" t="str">
        <f>"362.25 SCH"</f>
        <v>362.25 SCH</v>
      </c>
      <c r="B1445" t="str">
        <f>"Addiction by design: machine gambling in"</f>
        <v>Addiction by design: machine gambling in</v>
      </c>
      <c r="C1445">
        <v>327062</v>
      </c>
      <c r="D1445" t="str">
        <f>"Sch�ll, Natasha Dow,"</f>
        <v>Sch�ll, Natasha Dow,</v>
      </c>
      <c r="F1445" t="str">
        <f>"xi, 442 pages, 24 cm, illustrations"</f>
        <v>xi, 442 pages, 24 cm, illustrations</v>
      </c>
      <c r="G1445" s="1">
        <v>15</v>
      </c>
      <c r="H1445">
        <v>2014</v>
      </c>
      <c r="I1445" t="str">
        <f t="shared" si="53"/>
        <v>9: 300 - 399</v>
      </c>
      <c r="K1445" t="str">
        <f>"LL - In"</f>
        <v>LL - In</v>
      </c>
      <c r="L1445" s="1">
        <v>30</v>
      </c>
      <c r="M1445" t="s">
        <v>1361</v>
      </c>
      <c r="O1445" t="s">
        <v>28</v>
      </c>
      <c r="P1445">
        <v>1</v>
      </c>
      <c r="Q1445">
        <v>0</v>
      </c>
      <c r="R1445">
        <v>2</v>
      </c>
      <c r="S1445" s="2">
        <v>42121</v>
      </c>
      <c r="T1445" s="2">
        <v>43586</v>
      </c>
      <c r="U1445" s="2">
        <v>42791</v>
      </c>
    </row>
    <row r="1446" spans="1:22" x14ac:dyDescent="0.2">
      <c r="A1446" t="str">
        <f>"362.28 TAL"</f>
        <v>362.28 TAL</v>
      </c>
      <c r="B1446" t="str">
        <f>"All our relations: finding the path forw"</f>
        <v>All our relations: finding the path forw</v>
      </c>
      <c r="C1446">
        <v>351514</v>
      </c>
      <c r="D1446" t="str">
        <f>"Talaga, Tanya"</f>
        <v>Talaga, Tanya</v>
      </c>
      <c r="F1446" t="str">
        <f>"221 p."</f>
        <v>221 p.</v>
      </c>
      <c r="G1446" s="1">
        <v>18</v>
      </c>
      <c r="H1446">
        <v>2018</v>
      </c>
      <c r="I1446" t="str">
        <f t="shared" si="53"/>
        <v>9: 300 - 399</v>
      </c>
      <c r="K1446" t="str">
        <f>"LL - In"</f>
        <v>LL - In</v>
      </c>
      <c r="L1446" s="1">
        <v>21</v>
      </c>
      <c r="M1446" t="s">
        <v>1362</v>
      </c>
      <c r="O1446" t="s">
        <v>28</v>
      </c>
      <c r="P1446">
        <v>1</v>
      </c>
      <c r="Q1446">
        <v>1</v>
      </c>
      <c r="R1446">
        <v>2</v>
      </c>
      <c r="S1446" s="2">
        <v>43431</v>
      </c>
      <c r="T1446" s="2">
        <v>43441</v>
      </c>
      <c r="U1446" s="2">
        <v>43445</v>
      </c>
      <c r="V1446" s="2">
        <v>43482</v>
      </c>
    </row>
    <row r="1447" spans="1:22" x14ac:dyDescent="0.2">
      <c r="A1447" t="str">
        <f>"362.29 BOW"</f>
        <v>362.29 BOW</v>
      </c>
      <c r="B1447" t="str">
        <f>"Bottled: a mom's guide to early recovery"</f>
        <v>Bottled: a mom's guide to early recovery</v>
      </c>
      <c r="C1447">
        <v>352012</v>
      </c>
      <c r="D1447" t="str">
        <f>"Bowman, Dana"</f>
        <v>Bowman, Dana</v>
      </c>
      <c r="F1447" t="str">
        <f>"xii, 233 pages, 23 cm"</f>
        <v>xii, 233 pages, 23 cm</v>
      </c>
      <c r="G1447" s="1">
        <v>18</v>
      </c>
      <c r="H1447">
        <v>2015</v>
      </c>
      <c r="I1447" t="str">
        <f t="shared" si="53"/>
        <v>9: 300 - 399</v>
      </c>
      <c r="K1447" t="str">
        <f>"WB - In"</f>
        <v>WB - In</v>
      </c>
      <c r="L1447" s="1">
        <v>22</v>
      </c>
      <c r="M1447" t="s">
        <v>1363</v>
      </c>
      <c r="O1447" t="s">
        <v>28</v>
      </c>
      <c r="P1447">
        <v>1</v>
      </c>
      <c r="Q1447">
        <v>1</v>
      </c>
      <c r="R1447">
        <v>2</v>
      </c>
      <c r="S1447" s="2">
        <v>43462</v>
      </c>
      <c r="T1447" s="2">
        <v>43482</v>
      </c>
      <c r="U1447" s="2">
        <v>43484</v>
      </c>
      <c r="V1447" s="2">
        <v>43663</v>
      </c>
    </row>
    <row r="1448" spans="1:22" x14ac:dyDescent="0.2">
      <c r="A1448" t="str">
        <f>"362.29 BUS"</f>
        <v>362.29 BUS</v>
      </c>
      <c r="B1448" t="str">
        <f>"One by one: a memoir of love and loss in"</f>
        <v>One by one: a memoir of love and loss in</v>
      </c>
      <c r="C1448">
        <v>351333</v>
      </c>
      <c r="D1448" t="str">
        <f>"Bush, Nicholas."</f>
        <v>Bush, Nicholas.</v>
      </c>
      <c r="F1448" t="str">
        <f>"243 p."</f>
        <v>243 p.</v>
      </c>
      <c r="G1448" s="1">
        <v>18</v>
      </c>
      <c r="H1448">
        <v>2018</v>
      </c>
      <c r="I1448" t="str">
        <f t="shared" si="53"/>
        <v>9: 300 - 399</v>
      </c>
      <c r="K1448" t="str">
        <f>"WB - In"</f>
        <v>WB - In</v>
      </c>
      <c r="L1448" s="1">
        <v>30</v>
      </c>
      <c r="M1448" t="s">
        <v>1364</v>
      </c>
      <c r="O1448" t="s">
        <v>28</v>
      </c>
      <c r="P1448">
        <v>7</v>
      </c>
      <c r="Q1448">
        <v>0</v>
      </c>
      <c r="R1448">
        <v>7</v>
      </c>
      <c r="S1448" s="2">
        <v>43420</v>
      </c>
      <c r="T1448" s="2">
        <v>43656</v>
      </c>
      <c r="U1448" s="2">
        <v>43557</v>
      </c>
    </row>
    <row r="1449" spans="1:22" x14ac:dyDescent="0.2">
      <c r="A1449" t="str">
        <f>"362.29 GLA"</f>
        <v>362.29 GLA</v>
      </c>
      <c r="B1449" t="str">
        <f>"Her best-kept secret: why women drink --"</f>
        <v>Her best-kept secret: why women drink --</v>
      </c>
      <c r="C1449">
        <v>315407</v>
      </c>
      <c r="D1449" t="str">
        <f>"Glaser, Gabrielle."</f>
        <v>Glaser, Gabrielle.</v>
      </c>
      <c r="F1449" t="str">
        <f>"228 p."</f>
        <v>228 p.</v>
      </c>
      <c r="G1449" s="1">
        <v>13</v>
      </c>
      <c r="H1449">
        <v>2013</v>
      </c>
      <c r="I1449" t="str">
        <f t="shared" si="53"/>
        <v>9: 300 - 399</v>
      </c>
      <c r="K1449" t="str">
        <f>"WB - In"</f>
        <v>WB - In</v>
      </c>
      <c r="L1449" s="1">
        <v>29</v>
      </c>
      <c r="M1449" t="s">
        <v>1365</v>
      </c>
      <c r="O1449" t="s">
        <v>28</v>
      </c>
      <c r="P1449">
        <v>1</v>
      </c>
      <c r="Q1449">
        <v>0</v>
      </c>
      <c r="R1449">
        <v>13</v>
      </c>
      <c r="S1449" s="2">
        <v>41457</v>
      </c>
      <c r="T1449" s="2">
        <v>41702</v>
      </c>
      <c r="U1449" s="2">
        <v>43169</v>
      </c>
    </row>
    <row r="1450" spans="1:22" x14ac:dyDescent="0.2">
      <c r="A1450" t="str">
        <f>"362.29 GRI"</f>
        <v>362.29 GRI</v>
      </c>
      <c r="B1450" t="str">
        <f>"Never enough: the neuroscience and exper"</f>
        <v>Never enough: the neuroscience and exper</v>
      </c>
      <c r="C1450">
        <v>353143</v>
      </c>
      <c r="D1450" t="str">
        <f>"Grisel, Judith"</f>
        <v>Grisel, Judith</v>
      </c>
      <c r="F1450" t="str">
        <f>"241 pages, 22 cm, illustrations"</f>
        <v>241 pages, 22 cm, illustrations</v>
      </c>
      <c r="G1450" s="1">
        <v>19</v>
      </c>
      <c r="H1450">
        <v>2019</v>
      </c>
      <c r="I1450" t="str">
        <f t="shared" si="53"/>
        <v>9: 300 - 399</v>
      </c>
      <c r="K1450" t="str">
        <f>"LL - In"</f>
        <v>LL - In</v>
      </c>
      <c r="L1450" s="1">
        <v>32</v>
      </c>
      <c r="M1450" t="s">
        <v>1366</v>
      </c>
      <c r="O1450" t="s">
        <v>28</v>
      </c>
      <c r="P1450">
        <v>7</v>
      </c>
      <c r="Q1450">
        <v>1</v>
      </c>
      <c r="R1450">
        <v>8</v>
      </c>
      <c r="S1450" s="2">
        <v>43522</v>
      </c>
      <c r="T1450" s="2">
        <v>43599</v>
      </c>
      <c r="U1450" s="2">
        <v>43745</v>
      </c>
      <c r="V1450" s="2">
        <v>43746</v>
      </c>
    </row>
    <row r="1451" spans="1:22" x14ac:dyDescent="0.2">
      <c r="A1451" t="str">
        <f>"362.29 HAL"</f>
        <v>362.29 HAL</v>
      </c>
      <c r="B1451" t="str">
        <f>"Opium: how an ancient flower shaped and "</f>
        <v xml:space="preserve">Opium: how an ancient flower shaped and </v>
      </c>
      <c r="C1451">
        <v>356855</v>
      </c>
      <c r="D1451" t="str">
        <f>"Halpern, John."</f>
        <v>Halpern, John.</v>
      </c>
      <c r="F1451" t="str">
        <f>"270 p."</f>
        <v>270 p.</v>
      </c>
      <c r="G1451" s="1">
        <v>19</v>
      </c>
      <c r="H1451">
        <v>2019</v>
      </c>
      <c r="I1451" t="str">
        <f t="shared" si="53"/>
        <v>9: 300 - 399</v>
      </c>
      <c r="K1451" t="str">
        <f>"WB - In"</f>
        <v>WB - In</v>
      </c>
      <c r="L1451" s="1">
        <v>34</v>
      </c>
      <c r="M1451" t="s">
        <v>1367</v>
      </c>
      <c r="O1451" t="s">
        <v>28</v>
      </c>
      <c r="P1451">
        <v>3</v>
      </c>
      <c r="Q1451">
        <v>0</v>
      </c>
      <c r="R1451">
        <v>3</v>
      </c>
      <c r="S1451" s="2">
        <v>43691</v>
      </c>
      <c r="T1451" s="2">
        <v>43852</v>
      </c>
      <c r="U1451" s="2">
        <v>43836</v>
      </c>
    </row>
    <row r="1452" spans="1:22" x14ac:dyDescent="0.2">
      <c r="A1452" t="str">
        <f>"362.29 ING"</f>
        <v>362.29 ING</v>
      </c>
      <c r="B1452" t="str">
        <f>"Milk of paradise: a history of opium"</f>
        <v>Milk of paradise: a history of opium</v>
      </c>
      <c r="C1452">
        <v>353309</v>
      </c>
      <c r="D1452" t="str">
        <f>"Inglis, Lucy"</f>
        <v>Inglis, Lucy</v>
      </c>
      <c r="F1452" t="str">
        <f>"xxiv, 440 pages, 16 unnumbered pages of plates, 24 cm, illustrations (some color), maps"</f>
        <v>xxiv, 440 pages, 16 unnumbered pages of plates, 24 cm, illustrations (some color), maps</v>
      </c>
      <c r="G1452" s="1">
        <v>19</v>
      </c>
      <c r="H1452">
        <v>2019</v>
      </c>
      <c r="I1452" t="str">
        <f t="shared" si="53"/>
        <v>9: 300 - 399</v>
      </c>
      <c r="K1452" t="str">
        <f>"WB - In"</f>
        <v>WB - In</v>
      </c>
      <c r="L1452" s="1">
        <v>34</v>
      </c>
      <c r="M1452" t="s">
        <v>1368</v>
      </c>
      <c r="O1452" t="s">
        <v>28</v>
      </c>
      <c r="P1452">
        <v>5</v>
      </c>
      <c r="Q1452">
        <v>0</v>
      </c>
      <c r="R1452">
        <v>5</v>
      </c>
      <c r="S1452" s="2">
        <v>43529</v>
      </c>
      <c r="T1452" s="2">
        <v>43691</v>
      </c>
      <c r="U1452" s="2">
        <v>43619</v>
      </c>
    </row>
    <row r="1453" spans="1:22" x14ac:dyDescent="0.2">
      <c r="A1453" t="str">
        <f>"362.29 JOH"</f>
        <v>362.29 JOH</v>
      </c>
      <c r="B1453" t="str">
        <f>"Drink: the intimate relationship between"</f>
        <v>Drink: the intimate relationship between</v>
      </c>
      <c r="C1453">
        <v>318578</v>
      </c>
      <c r="D1453" t="str">
        <f>"Johnston, Ann Dowsett."</f>
        <v>Johnston, Ann Dowsett.</v>
      </c>
      <c r="F1453" t="str">
        <f>"305 pages, 24 cm"</f>
        <v>305 pages, 24 cm</v>
      </c>
      <c r="G1453" s="1">
        <v>13</v>
      </c>
      <c r="H1453">
        <v>2013</v>
      </c>
      <c r="I1453" t="str">
        <f t="shared" si="53"/>
        <v>9: 300 - 399</v>
      </c>
      <c r="K1453" t="str">
        <f>"LL - In"</f>
        <v>LL - In</v>
      </c>
      <c r="L1453" s="1">
        <v>33</v>
      </c>
      <c r="M1453" t="s">
        <v>1369</v>
      </c>
      <c r="O1453" t="s">
        <v>28</v>
      </c>
      <c r="P1453">
        <v>6</v>
      </c>
      <c r="Q1453">
        <v>1</v>
      </c>
      <c r="R1453">
        <v>24</v>
      </c>
      <c r="S1453" s="2">
        <v>41624</v>
      </c>
      <c r="T1453" s="2">
        <v>41898</v>
      </c>
      <c r="U1453" s="2">
        <v>43614</v>
      </c>
      <c r="V1453" s="2">
        <v>42974</v>
      </c>
    </row>
    <row r="1454" spans="1:22" x14ac:dyDescent="0.2">
      <c r="A1454" t="str">
        <f>"362.29 LAW"</f>
        <v>362.29 LAW</v>
      </c>
      <c r="B1454" t="str">
        <f>"What addicts know: 10 lessons from recov"</f>
        <v>What addicts know: 10 lessons from recov</v>
      </c>
      <c r="C1454">
        <v>318885</v>
      </c>
      <c r="D1454" t="str">
        <f>"Lawford, Christopher Kennedy,"</f>
        <v>Lawford, Christopher Kennedy,</v>
      </c>
      <c r="F1454" t="str">
        <f>"212 p."</f>
        <v>212 p.</v>
      </c>
      <c r="G1454" s="1">
        <v>14</v>
      </c>
      <c r="H1454">
        <v>2014</v>
      </c>
      <c r="I1454" t="str">
        <f t="shared" si="53"/>
        <v>9: 300 - 399</v>
      </c>
      <c r="K1454" t="str">
        <f>"LL - In"</f>
        <v>LL - In</v>
      </c>
      <c r="L1454" s="1">
        <v>32</v>
      </c>
      <c r="M1454" t="s">
        <v>1370</v>
      </c>
      <c r="O1454" t="s">
        <v>28</v>
      </c>
      <c r="P1454">
        <v>0</v>
      </c>
      <c r="Q1454">
        <v>0</v>
      </c>
      <c r="R1454">
        <v>17</v>
      </c>
      <c r="S1454" s="2">
        <v>41655</v>
      </c>
      <c r="T1454" s="2">
        <v>41899</v>
      </c>
      <c r="U1454" s="2">
        <v>42576</v>
      </c>
    </row>
    <row r="1455" spans="1:22" x14ac:dyDescent="0.2">
      <c r="A1455" t="str">
        <f>"362.29 LIN"</f>
        <v>362.29 LIN</v>
      </c>
      <c r="B1455" t="str">
        <f>"Mastering the addicted brain: building a"</f>
        <v>Mastering the addicted brain: building a</v>
      </c>
      <c r="C1455">
        <v>353138</v>
      </c>
      <c r="D1455" t="str">
        <f>"Ling, Walter"</f>
        <v>Ling, Walter</v>
      </c>
      <c r="F1455" t="str">
        <f>"xviii, 140 pages, 21 cm"</f>
        <v>xviii, 140 pages, 21 cm</v>
      </c>
      <c r="G1455" s="1">
        <v>19</v>
      </c>
      <c r="H1455">
        <v>2017</v>
      </c>
      <c r="I1455" t="str">
        <f t="shared" si="53"/>
        <v>9: 300 - 399</v>
      </c>
      <c r="K1455" t="str">
        <f>"LL - In"</f>
        <v>LL - In</v>
      </c>
      <c r="L1455" s="1">
        <v>21</v>
      </c>
      <c r="M1455" t="s">
        <v>1371</v>
      </c>
      <c r="O1455" t="s">
        <v>28</v>
      </c>
      <c r="P1455">
        <v>0</v>
      </c>
      <c r="Q1455">
        <v>0</v>
      </c>
      <c r="R1455">
        <v>0</v>
      </c>
      <c r="S1455" s="2">
        <v>43522</v>
      </c>
      <c r="T1455" s="2">
        <v>43539</v>
      </c>
    </row>
    <row r="1456" spans="1:22" x14ac:dyDescent="0.2">
      <c r="A1456" t="str">
        <f>"362.29 MAC"</f>
        <v>362.29 MAC</v>
      </c>
      <c r="B1456" t="str">
        <f>"Dopesick: dealers, doctors, and the drug"</f>
        <v>Dopesick: dealers, doctors, and the drug</v>
      </c>
      <c r="C1456">
        <v>349323</v>
      </c>
      <c r="D1456" t="str">
        <f>"Macy, Beth"</f>
        <v>Macy, Beth</v>
      </c>
      <c r="F1456" t="str">
        <f>"vi, 376 pages, 8 unnumbered pages of plates, 25 cm, illustrations"</f>
        <v>vi, 376 pages, 8 unnumbered pages of plates, 25 cm, illustrations</v>
      </c>
      <c r="G1456" s="1">
        <v>18</v>
      </c>
      <c r="H1456">
        <v>2018</v>
      </c>
      <c r="I1456" t="str">
        <f t="shared" si="53"/>
        <v>9: 300 - 399</v>
      </c>
      <c r="K1456" t="str">
        <f>"WB - In"</f>
        <v>WB - In</v>
      </c>
      <c r="L1456" s="1">
        <v>33</v>
      </c>
      <c r="M1456" t="s">
        <v>1372</v>
      </c>
      <c r="O1456" t="s">
        <v>28</v>
      </c>
      <c r="P1456">
        <v>8</v>
      </c>
      <c r="Q1456">
        <v>0</v>
      </c>
      <c r="R1456">
        <v>8</v>
      </c>
      <c r="S1456" s="2">
        <v>43326</v>
      </c>
      <c r="T1456" s="2">
        <v>43481</v>
      </c>
      <c r="U1456" s="2">
        <v>43843</v>
      </c>
    </row>
    <row r="1457" spans="1:22" x14ac:dyDescent="0.2">
      <c r="A1457" t="str">
        <f>"362.29 MAC"</f>
        <v>362.29 MAC</v>
      </c>
      <c r="B1457" t="str">
        <f>"Dopesick: dealers, doctors, and the drug"</f>
        <v>Dopesick: dealers, doctors, and the drug</v>
      </c>
      <c r="C1457">
        <v>349444</v>
      </c>
      <c r="D1457" t="str">
        <f>"Macy, Beth"</f>
        <v>Macy, Beth</v>
      </c>
      <c r="F1457" t="str">
        <f>"vi, 376 pages, 8 unnumbered pages of plates, 25 cm, illustrations"</f>
        <v>vi, 376 pages, 8 unnumbered pages of plates, 25 cm, illustrations</v>
      </c>
      <c r="G1457" s="1">
        <v>18</v>
      </c>
      <c r="H1457">
        <v>2018</v>
      </c>
      <c r="I1457" t="str">
        <f t="shared" si="53"/>
        <v>9: 300 - 399</v>
      </c>
      <c r="K1457" t="str">
        <f>"LL - In"</f>
        <v>LL - In</v>
      </c>
      <c r="L1457" s="1">
        <v>33</v>
      </c>
      <c r="M1457" t="s">
        <v>1372</v>
      </c>
      <c r="O1457" t="s">
        <v>28</v>
      </c>
      <c r="P1457">
        <v>6</v>
      </c>
      <c r="Q1457">
        <v>0</v>
      </c>
      <c r="R1457">
        <v>6</v>
      </c>
      <c r="S1457" s="2">
        <v>43333</v>
      </c>
      <c r="T1457" s="2">
        <v>43516</v>
      </c>
      <c r="U1457" s="2">
        <v>43538</v>
      </c>
    </row>
    <row r="1458" spans="1:22" x14ac:dyDescent="0.2">
      <c r="A1458" t="str">
        <f>"362.29 MCG"</f>
        <v>362.29 MCG</v>
      </c>
      <c r="B1458" t="str">
        <f>"American overdose: the opioid tragedy in"</f>
        <v>American overdose: the opioid tragedy in</v>
      </c>
      <c r="C1458">
        <v>351748</v>
      </c>
      <c r="D1458" t="str">
        <f>"McGreal, Chris"</f>
        <v>McGreal, Chris</v>
      </c>
      <c r="F1458" t="str">
        <f>"xv, 316 pages, 25 cm"</f>
        <v>xv, 316 pages, 25 cm</v>
      </c>
      <c r="G1458" s="1">
        <v>18</v>
      </c>
      <c r="H1458">
        <v>2018</v>
      </c>
      <c r="I1458" t="str">
        <f t="shared" si="53"/>
        <v>9: 300 - 399</v>
      </c>
      <c r="K1458" t="str">
        <f>"WB - In"</f>
        <v>WB - In</v>
      </c>
      <c r="L1458" s="1">
        <v>32</v>
      </c>
      <c r="M1458" t="s">
        <v>1373</v>
      </c>
      <c r="O1458" t="s">
        <v>28</v>
      </c>
      <c r="P1458">
        <v>2</v>
      </c>
      <c r="Q1458">
        <v>1</v>
      </c>
      <c r="R1458">
        <v>3</v>
      </c>
      <c r="S1458" s="2">
        <v>43444</v>
      </c>
      <c r="T1458" s="2">
        <v>43656</v>
      </c>
      <c r="U1458" s="2">
        <v>43599</v>
      </c>
      <c r="V1458" s="2">
        <v>43528</v>
      </c>
    </row>
    <row r="1459" spans="1:22" x14ac:dyDescent="0.2">
      <c r="A1459" t="str">
        <f>"362.29 ODE"</f>
        <v>362.29 ODE</v>
      </c>
      <c r="B1459" t="str">
        <f>"When nobody's home: the truth behind dru"</f>
        <v>When nobody's home: the truth behind dru</v>
      </c>
      <c r="C1459">
        <v>285388</v>
      </c>
      <c r="D1459" t="str">
        <f>"Oden, Michael S."</f>
        <v>Oden, Michael S.</v>
      </c>
      <c r="F1459" t="str">
        <f>"136 p., 24 cm."</f>
        <v>136 p., 24 cm.</v>
      </c>
      <c r="G1459" s="1">
        <v>16</v>
      </c>
      <c r="H1459">
        <v>2014</v>
      </c>
      <c r="I1459" t="str">
        <f t="shared" si="53"/>
        <v>9: 300 - 399</v>
      </c>
      <c r="K1459" t="str">
        <f>"LL - In"</f>
        <v>LL - In</v>
      </c>
      <c r="L1459" s="1">
        <v>22</v>
      </c>
      <c r="M1459" t="s">
        <v>1374</v>
      </c>
      <c r="O1459" t="s">
        <v>28</v>
      </c>
      <c r="P1459">
        <v>0</v>
      </c>
      <c r="Q1459">
        <v>0</v>
      </c>
      <c r="R1459">
        <v>4</v>
      </c>
      <c r="S1459" s="2">
        <v>42388</v>
      </c>
      <c r="T1459" s="2">
        <v>42395</v>
      </c>
      <c r="U1459" s="2">
        <v>42715</v>
      </c>
    </row>
    <row r="1460" spans="1:22" x14ac:dyDescent="0.2">
      <c r="A1460" t="str">
        <f>"362.29 QUI"</f>
        <v>362.29 QUI</v>
      </c>
      <c r="B1460" t="str">
        <f>"Dreamland: the true tale of America's op"</f>
        <v>Dreamland: the true tale of America's op</v>
      </c>
      <c r="C1460">
        <v>284689</v>
      </c>
      <c r="D1460" t="str">
        <f>"Quinones, Sam,"</f>
        <v>Quinones, Sam,</v>
      </c>
      <c r="F1460" t="str">
        <f>"xii, 368 pages, 25 cm, maps"</f>
        <v>xii, 368 pages, 25 cm, maps</v>
      </c>
      <c r="G1460" s="1">
        <v>15</v>
      </c>
      <c r="H1460">
        <v>2015</v>
      </c>
      <c r="I1460" t="str">
        <f t="shared" si="53"/>
        <v>9: 300 - 399</v>
      </c>
      <c r="K1460" t="str">
        <f>"WB - In"</f>
        <v>WB - In</v>
      </c>
      <c r="L1460" s="1">
        <v>33</v>
      </c>
      <c r="M1460" t="s">
        <v>1375</v>
      </c>
      <c r="O1460" t="s">
        <v>28</v>
      </c>
      <c r="P1460">
        <v>16</v>
      </c>
      <c r="Q1460">
        <v>0</v>
      </c>
      <c r="R1460">
        <v>27</v>
      </c>
      <c r="S1460" s="2">
        <v>42339</v>
      </c>
      <c r="T1460" s="2">
        <v>42522</v>
      </c>
      <c r="U1460" s="2">
        <v>43717</v>
      </c>
      <c r="V1460" s="2">
        <v>42390</v>
      </c>
    </row>
    <row r="1461" spans="1:22" x14ac:dyDescent="0.2">
      <c r="A1461" t="str">
        <f>"362.29 RIE"</f>
        <v>362.29 RIE</v>
      </c>
      <c r="B1461" t="str">
        <f>"In pain: a bioethicist's personal strugg"</f>
        <v>In pain: a bioethicist's personal strugg</v>
      </c>
      <c r="C1461">
        <v>355936</v>
      </c>
      <c r="D1461" t="str">
        <f>"Rieder, Travis N."</f>
        <v>Rieder, Travis N.</v>
      </c>
      <c r="F1461" t="str">
        <f>"xiii, 297 pages, 24 cm"</f>
        <v>xiii, 297 pages, 24 cm</v>
      </c>
      <c r="G1461" s="1">
        <v>19</v>
      </c>
      <c r="H1461">
        <v>2019</v>
      </c>
      <c r="I1461" t="str">
        <f t="shared" si="53"/>
        <v>9: 300 - 399</v>
      </c>
      <c r="K1461" t="str">
        <f>"LL - In"</f>
        <v>LL - In</v>
      </c>
      <c r="L1461" s="1">
        <v>33</v>
      </c>
      <c r="M1461" t="s">
        <v>1376</v>
      </c>
      <c r="O1461" t="s">
        <v>28</v>
      </c>
      <c r="P1461">
        <v>4</v>
      </c>
      <c r="Q1461">
        <v>2</v>
      </c>
      <c r="R1461">
        <v>6</v>
      </c>
      <c r="S1461" s="2">
        <v>43647</v>
      </c>
      <c r="T1461" s="2">
        <v>43817</v>
      </c>
      <c r="U1461" s="2">
        <v>43788</v>
      </c>
      <c r="V1461" s="2">
        <v>43817</v>
      </c>
    </row>
    <row r="1462" spans="1:22" x14ac:dyDescent="0.2">
      <c r="A1462" t="str">
        <f>"362.29 SHE"</f>
        <v>362.29 SHE</v>
      </c>
      <c r="B1462" t="str">
        <f>"Beautiful boy: a father's journey throug"</f>
        <v>Beautiful boy: a father's journey throug</v>
      </c>
      <c r="C1462">
        <v>129341</v>
      </c>
      <c r="D1462" t="str">
        <f>"Sheff, David"</f>
        <v>Sheff, David</v>
      </c>
      <c r="F1462" t="str">
        <f>"326 p."</f>
        <v>326 p.</v>
      </c>
      <c r="G1462" s="1">
        <v>8</v>
      </c>
      <c r="H1462">
        <v>2006</v>
      </c>
      <c r="I1462" t="str">
        <f t="shared" si="53"/>
        <v>9: 300 - 399</v>
      </c>
      <c r="K1462" t="str">
        <f>"WB - In"</f>
        <v>WB - In</v>
      </c>
      <c r="L1462" s="1">
        <v>29</v>
      </c>
      <c r="M1462" t="s">
        <v>1377</v>
      </c>
      <c r="O1462" t="s">
        <v>28</v>
      </c>
      <c r="P1462">
        <v>11</v>
      </c>
      <c r="Q1462">
        <v>0</v>
      </c>
      <c r="R1462">
        <v>55</v>
      </c>
      <c r="S1462" s="2">
        <v>39498</v>
      </c>
      <c r="T1462" s="2">
        <v>41053</v>
      </c>
      <c r="U1462" s="2">
        <v>43729</v>
      </c>
      <c r="V1462" s="2">
        <v>39931</v>
      </c>
    </row>
    <row r="1463" spans="1:22" x14ac:dyDescent="0.2">
      <c r="A1463" t="str">
        <f>"362.29 SHE"</f>
        <v>362.29 SHE</v>
      </c>
      <c r="B1463" t="str">
        <f>"Beautiful boy: a father's journey throug"</f>
        <v>Beautiful boy: a father's journey throug</v>
      </c>
      <c r="C1463">
        <v>351123</v>
      </c>
      <c r="D1463" t="str">
        <f>"Sheff, David"</f>
        <v>Sheff, David</v>
      </c>
      <c r="F1463" t="str">
        <f>"326 p."</f>
        <v>326 p.</v>
      </c>
      <c r="G1463" s="1">
        <v>18</v>
      </c>
      <c r="H1463">
        <v>2006</v>
      </c>
      <c r="I1463" t="str">
        <f t="shared" si="53"/>
        <v>9: 300 - 399</v>
      </c>
      <c r="K1463" t="str">
        <f>"LL - In"</f>
        <v>LL - In</v>
      </c>
      <c r="L1463" s="1">
        <v>21</v>
      </c>
      <c r="M1463" t="s">
        <v>1377</v>
      </c>
      <c r="O1463" t="s">
        <v>28</v>
      </c>
      <c r="P1463">
        <v>3</v>
      </c>
      <c r="Q1463">
        <v>0</v>
      </c>
      <c r="R1463">
        <v>3</v>
      </c>
      <c r="S1463" s="2">
        <v>43410</v>
      </c>
      <c r="T1463" s="2">
        <v>43420</v>
      </c>
      <c r="U1463" s="2">
        <v>43553</v>
      </c>
    </row>
    <row r="1464" spans="1:22" x14ac:dyDescent="0.2">
      <c r="A1464" t="str">
        <f>"362.29 SHE"</f>
        <v>362.29 SHE</v>
      </c>
      <c r="B1464" t="str">
        <f>"Clean: overcoming addiction and ending A"</f>
        <v>Clean: overcoming addiction and ending A</v>
      </c>
      <c r="C1464">
        <v>313769</v>
      </c>
      <c r="D1464" t="str">
        <f>"Sheff, David"</f>
        <v>Sheff, David</v>
      </c>
      <c r="F1464" t="str">
        <f>"xxii, 374 p., 24 cm."</f>
        <v>xxii, 374 p., 24 cm.</v>
      </c>
      <c r="G1464" s="1">
        <v>13</v>
      </c>
      <c r="H1464">
        <v>2013</v>
      </c>
      <c r="I1464" t="str">
        <f t="shared" si="53"/>
        <v>9: 300 - 399</v>
      </c>
      <c r="K1464" t="str">
        <f>"WB - Out"</f>
        <v>WB - Out</v>
      </c>
      <c r="L1464" s="1">
        <v>30</v>
      </c>
      <c r="M1464" t="s">
        <v>1378</v>
      </c>
      <c r="O1464" t="s">
        <v>28</v>
      </c>
      <c r="P1464">
        <v>7</v>
      </c>
      <c r="Q1464">
        <v>0</v>
      </c>
      <c r="R1464">
        <v>32</v>
      </c>
      <c r="S1464" s="2">
        <v>41395</v>
      </c>
      <c r="T1464" s="2">
        <v>41688</v>
      </c>
      <c r="U1464" s="2">
        <v>43859</v>
      </c>
      <c r="V1464" s="2">
        <v>42509</v>
      </c>
    </row>
    <row r="1465" spans="1:22" x14ac:dyDescent="0.2">
      <c r="A1465" t="str">
        <f>"362.29 SHE"</f>
        <v>362.29 SHE</v>
      </c>
      <c r="B1465" t="str">
        <f>"We all fall down: living with addiction"</f>
        <v>We all fall down: living with addiction</v>
      </c>
      <c r="C1465">
        <v>302374</v>
      </c>
      <c r="D1465" t="str">
        <f>"Sheff, Nic"</f>
        <v>Sheff, Nic</v>
      </c>
      <c r="F1465" t="str">
        <f>"xviii, 345 p., 22 cm."</f>
        <v>xviii, 345 p., 22 cm.</v>
      </c>
      <c r="G1465" s="1">
        <v>11</v>
      </c>
      <c r="H1465">
        <v>2011</v>
      </c>
      <c r="I1465" t="str">
        <f t="shared" si="53"/>
        <v>9: 300 - 399</v>
      </c>
      <c r="K1465" t="str">
        <f>"WB - In"</f>
        <v>WB - In</v>
      </c>
      <c r="L1465" s="1">
        <v>23</v>
      </c>
      <c r="M1465" t="s">
        <v>1379</v>
      </c>
      <c r="O1465" t="s">
        <v>28</v>
      </c>
      <c r="P1465">
        <v>4</v>
      </c>
      <c r="Q1465">
        <v>0</v>
      </c>
      <c r="R1465">
        <v>11</v>
      </c>
      <c r="S1465" s="2">
        <v>40778</v>
      </c>
      <c r="T1465" s="2">
        <v>41053</v>
      </c>
      <c r="U1465" s="2">
        <v>43564</v>
      </c>
      <c r="V1465" s="2">
        <v>42146</v>
      </c>
    </row>
    <row r="1466" spans="1:22" x14ac:dyDescent="0.2">
      <c r="A1466" t="str">
        <f>"362.29 SZA"</f>
        <v>362.29 SZA</v>
      </c>
      <c r="B1466" t="str">
        <f>"Unbroken brain: a revolutionary new way "</f>
        <v xml:space="preserve">Unbroken brain: a revolutionary new way </v>
      </c>
      <c r="C1466">
        <v>334734</v>
      </c>
      <c r="D1466" t="str">
        <f>"Szalavitz, Maia"</f>
        <v>Szalavitz, Maia</v>
      </c>
      <c r="F1466" t="str">
        <f>"336 pages, 25 cm"</f>
        <v>336 pages, 25 cm</v>
      </c>
      <c r="G1466" s="1">
        <v>16</v>
      </c>
      <c r="H1466">
        <v>2016</v>
      </c>
      <c r="I1466" t="str">
        <f t="shared" si="53"/>
        <v>9: 300 - 399</v>
      </c>
      <c r="K1466" t="str">
        <f>"LL - In"</f>
        <v>LL - In</v>
      </c>
      <c r="L1466" s="1">
        <v>33</v>
      </c>
      <c r="M1466" t="s">
        <v>1380</v>
      </c>
      <c r="O1466" t="s">
        <v>28</v>
      </c>
      <c r="P1466">
        <v>4</v>
      </c>
      <c r="Q1466">
        <v>0</v>
      </c>
      <c r="R1466">
        <v>13</v>
      </c>
      <c r="S1466" s="2">
        <v>42486</v>
      </c>
      <c r="T1466" s="2">
        <v>42565</v>
      </c>
      <c r="U1466" s="2">
        <v>43543</v>
      </c>
    </row>
    <row r="1467" spans="1:22" x14ac:dyDescent="0.2">
      <c r="A1467" t="str">
        <f>"362.29 WOL"</f>
        <v>362.29 WOL</v>
      </c>
      <c r="B1467" t="str">
        <f>"electric Kool-Aid acid test"</f>
        <v>electric Kool-Aid acid test</v>
      </c>
      <c r="C1467">
        <v>348470</v>
      </c>
      <c r="D1467" t="str">
        <f>"Wolfe, Tom"</f>
        <v>Wolfe, Tom</v>
      </c>
      <c r="F1467" t="str">
        <f>"416 p., 21 cm"</f>
        <v>416 p., 21 cm</v>
      </c>
      <c r="G1467" s="1">
        <v>18</v>
      </c>
      <c r="H1467">
        <v>2008</v>
      </c>
      <c r="I1467" t="str">
        <f t="shared" si="53"/>
        <v>9: 300 - 399</v>
      </c>
      <c r="K1467" t="str">
        <f>"WB - In"</f>
        <v>WB - In</v>
      </c>
      <c r="L1467" s="1">
        <v>23</v>
      </c>
      <c r="M1467" t="s">
        <v>1381</v>
      </c>
      <c r="O1467" t="s">
        <v>28</v>
      </c>
      <c r="P1467">
        <v>3</v>
      </c>
      <c r="Q1467">
        <v>0</v>
      </c>
      <c r="R1467">
        <v>3</v>
      </c>
      <c r="S1467" s="2">
        <v>43283</v>
      </c>
      <c r="T1467" s="2">
        <v>43291</v>
      </c>
      <c r="U1467" s="2">
        <v>43633</v>
      </c>
    </row>
    <row r="1468" spans="1:22" x14ac:dyDescent="0.2">
      <c r="A1468" t="str">
        <f>"362.5 ARN"</f>
        <v>362.5 ARN</v>
      </c>
      <c r="B1468" t="str">
        <f>"Dignity: seeking respect in back row Ame"</f>
        <v>Dignity: seeking respect in back row Ame</v>
      </c>
      <c r="C1468">
        <v>355754</v>
      </c>
      <c r="D1468" t="str">
        <f>"Arnade, Chris"</f>
        <v>Arnade, Chris</v>
      </c>
      <c r="F1468" t="str">
        <f>"x, 284 pages, 25 cm, color illustrations"</f>
        <v>x, 284 pages, 25 cm, color illustrations</v>
      </c>
      <c r="G1468" s="1">
        <v>19</v>
      </c>
      <c r="H1468">
        <v>2019</v>
      </c>
      <c r="I1468" t="str">
        <f t="shared" si="53"/>
        <v>9: 300 - 399</v>
      </c>
      <c r="K1468" t="str">
        <f>"LL - In"</f>
        <v>LL - In</v>
      </c>
      <c r="L1468" s="1">
        <v>35</v>
      </c>
      <c r="M1468" t="s">
        <v>1382</v>
      </c>
      <c r="O1468" t="s">
        <v>28</v>
      </c>
      <c r="P1468">
        <v>7</v>
      </c>
      <c r="Q1468">
        <v>0</v>
      </c>
      <c r="R1468">
        <v>7</v>
      </c>
      <c r="S1468" s="2">
        <v>43640</v>
      </c>
      <c r="T1468" s="2">
        <v>43836</v>
      </c>
      <c r="U1468" s="2">
        <v>43803</v>
      </c>
    </row>
    <row r="1469" spans="1:22" x14ac:dyDescent="0.2">
      <c r="A1469" t="str">
        <f>"362.5 EIG"</f>
        <v>362.5 EIG</v>
      </c>
      <c r="B1469" t="str">
        <f>"Travels with Lizbeth: three years on the"</f>
        <v>Travels with Lizbeth: three years on the</v>
      </c>
      <c r="C1469">
        <v>289802</v>
      </c>
      <c r="D1469" t="str">
        <f>"Eighner, Lars"</f>
        <v>Eighner, Lars</v>
      </c>
      <c r="F1469" t="str">
        <f>"xvi, 298 pages, 21 cm"</f>
        <v>xvi, 298 pages, 21 cm</v>
      </c>
      <c r="G1469" s="1">
        <v>16</v>
      </c>
      <c r="H1469">
        <v>2013</v>
      </c>
      <c r="I1469" t="str">
        <f t="shared" si="53"/>
        <v>9: 300 - 399</v>
      </c>
      <c r="K1469" t="str">
        <f>"WB - In"</f>
        <v>WB - In</v>
      </c>
      <c r="L1469" s="1">
        <v>21</v>
      </c>
      <c r="M1469" t="s">
        <v>1383</v>
      </c>
      <c r="O1469" t="s">
        <v>28</v>
      </c>
      <c r="P1469">
        <v>5</v>
      </c>
      <c r="Q1469">
        <v>0</v>
      </c>
      <c r="R1469">
        <v>5</v>
      </c>
      <c r="S1469" s="2">
        <v>42583</v>
      </c>
      <c r="T1469" s="2">
        <v>42633</v>
      </c>
      <c r="U1469" s="2">
        <v>43674</v>
      </c>
    </row>
    <row r="1470" spans="1:22" x14ac:dyDescent="0.2">
      <c r="A1470" t="str">
        <f>"362.5 EUB"</f>
        <v>362.5 EUB</v>
      </c>
      <c r="B1470" t="str">
        <f>"Automating inequality: how high-tech too"</f>
        <v>Automating inequality: how high-tech too</v>
      </c>
      <c r="C1470">
        <v>347761</v>
      </c>
      <c r="D1470" t="str">
        <f>"Eubanks, Virginia,"</f>
        <v>Eubanks, Virginia,</v>
      </c>
      <c r="F1470" t="str">
        <f>"260 pages, 22 cm, illustrations"</f>
        <v>260 pages, 22 cm, illustrations</v>
      </c>
      <c r="G1470" s="1">
        <v>18</v>
      </c>
      <c r="H1470">
        <v>2018</v>
      </c>
      <c r="I1470" t="str">
        <f t="shared" si="53"/>
        <v>9: 300 - 399</v>
      </c>
      <c r="K1470" t="str">
        <f>"WB - In"</f>
        <v>WB - In</v>
      </c>
      <c r="L1470" s="1">
        <v>32</v>
      </c>
      <c r="M1470" t="s">
        <v>1384</v>
      </c>
      <c r="O1470" t="s">
        <v>28</v>
      </c>
      <c r="P1470">
        <v>5</v>
      </c>
      <c r="Q1470">
        <v>0</v>
      </c>
      <c r="R1470">
        <v>5</v>
      </c>
      <c r="S1470" s="2">
        <v>43243</v>
      </c>
      <c r="T1470" s="2">
        <v>43418</v>
      </c>
      <c r="U1470" s="2">
        <v>43372</v>
      </c>
    </row>
    <row r="1471" spans="1:22" x14ac:dyDescent="0.2">
      <c r="A1471" t="str">
        <f>"362.5 GRA"</f>
        <v>362.5 GRA</v>
      </c>
      <c r="B1471" t="str">
        <f>"Welcome homeless: one man's journey of d"</f>
        <v>Welcome homeless: one man's journey of d</v>
      </c>
      <c r="C1471">
        <v>293951</v>
      </c>
      <c r="D1471" t="str">
        <f>"Graham, Alan"</f>
        <v>Graham, Alan</v>
      </c>
      <c r="F1471" t="str">
        <f>"xxv, 211 pages, 22 cm, illustrations"</f>
        <v>xxv, 211 pages, 22 cm, illustrations</v>
      </c>
      <c r="G1471" s="1">
        <v>17</v>
      </c>
      <c r="H1471">
        <v>2017</v>
      </c>
      <c r="I1471" t="str">
        <f t="shared" si="53"/>
        <v>9: 300 - 399</v>
      </c>
      <c r="K1471" t="str">
        <f>"LL - In"</f>
        <v>LL - In</v>
      </c>
      <c r="L1471" s="1">
        <v>22</v>
      </c>
      <c r="M1471" t="s">
        <v>1385</v>
      </c>
      <c r="O1471" t="s">
        <v>28</v>
      </c>
      <c r="P1471">
        <v>20</v>
      </c>
      <c r="Q1471">
        <v>0</v>
      </c>
      <c r="R1471">
        <v>20</v>
      </c>
      <c r="S1471" s="2">
        <v>42817</v>
      </c>
      <c r="T1471" s="2">
        <v>42969</v>
      </c>
      <c r="U1471" s="2">
        <v>43773</v>
      </c>
    </row>
    <row r="1472" spans="1:22" x14ac:dyDescent="0.2">
      <c r="A1472" t="str">
        <f>"362.5 GRA"</f>
        <v>362.5 GRA</v>
      </c>
      <c r="B1472" t="str">
        <f>"Welcome homeless: one man's journey of d"</f>
        <v>Welcome homeless: one man's journey of d</v>
      </c>
      <c r="C1472">
        <v>294644</v>
      </c>
      <c r="D1472" t="str">
        <f>"Graham, Alan"</f>
        <v>Graham, Alan</v>
      </c>
      <c r="F1472" t="str">
        <f>"xxv, 211 pages, 22 cm, illustrations"</f>
        <v>xxv, 211 pages, 22 cm, illustrations</v>
      </c>
      <c r="G1472" s="1">
        <v>17</v>
      </c>
      <c r="H1472">
        <v>2017</v>
      </c>
      <c r="I1472" t="str">
        <f t="shared" si="53"/>
        <v>9: 300 - 399</v>
      </c>
      <c r="K1472" t="str">
        <f>"WB - In"</f>
        <v>WB - In</v>
      </c>
      <c r="L1472" s="1">
        <v>22</v>
      </c>
      <c r="M1472" t="s">
        <v>1385</v>
      </c>
      <c r="O1472" t="s">
        <v>28</v>
      </c>
      <c r="P1472">
        <v>18</v>
      </c>
      <c r="Q1472">
        <v>0</v>
      </c>
      <c r="R1472">
        <v>18</v>
      </c>
      <c r="S1472" s="2">
        <v>42849</v>
      </c>
      <c r="T1472" s="2">
        <v>43023</v>
      </c>
      <c r="U1472" s="2">
        <v>43539</v>
      </c>
    </row>
    <row r="1473" spans="1:22" x14ac:dyDescent="0.2">
      <c r="A1473" t="str">
        <f>"362.5 HAL"</f>
        <v>362.5 HAL</v>
      </c>
      <c r="B1473" t="str">
        <f>"Same kind of different as me"</f>
        <v>Same kind of different as me</v>
      </c>
      <c r="C1473">
        <v>295436</v>
      </c>
      <c r="D1473" t="str">
        <f>"Hall, Ron"</f>
        <v>Hall, Ron</v>
      </c>
      <c r="F1473" t="str">
        <f>"235 p."</f>
        <v>235 p.</v>
      </c>
      <c r="G1473">
        <v>17</v>
      </c>
      <c r="H1473">
        <v>2006</v>
      </c>
      <c r="I1473" t="str">
        <f t="shared" si="53"/>
        <v>9: 300 - 399</v>
      </c>
      <c r="K1473" t="str">
        <f>"LL - In"</f>
        <v>LL - In</v>
      </c>
      <c r="L1473" s="1">
        <v>27</v>
      </c>
      <c r="M1473" t="s">
        <v>1386</v>
      </c>
      <c r="O1473" t="s">
        <v>28</v>
      </c>
      <c r="P1473">
        <v>12</v>
      </c>
      <c r="Q1473">
        <v>1</v>
      </c>
      <c r="R1473">
        <v>13</v>
      </c>
      <c r="S1473" s="2">
        <v>42892</v>
      </c>
      <c r="T1473" s="2">
        <v>42901</v>
      </c>
      <c r="U1473" s="2">
        <v>43696</v>
      </c>
      <c r="V1473" s="2">
        <v>43725</v>
      </c>
    </row>
    <row r="1474" spans="1:22" x14ac:dyDescent="0.2">
      <c r="A1474" t="str">
        <f>"362.5 IZA"</f>
        <v>362.5 IZA</v>
      </c>
      <c r="B1474" t="str">
        <f>"The hundred story home: a journey of hom"</f>
        <v>The hundred story home: a journey of hom</v>
      </c>
      <c r="C1474">
        <v>295744</v>
      </c>
      <c r="D1474" t="str">
        <f>"Izard, Kathy"</f>
        <v>Izard, Kathy</v>
      </c>
      <c r="F1474" t="str">
        <f>"xix, 291 pages, 21 cm"</f>
        <v>xix, 291 pages, 21 cm</v>
      </c>
      <c r="G1474" s="1">
        <v>17</v>
      </c>
      <c r="H1474">
        <v>2016</v>
      </c>
      <c r="I1474" t="str">
        <f t="shared" si="53"/>
        <v>9: 300 - 399</v>
      </c>
      <c r="K1474" t="str">
        <f>"LL - In"</f>
        <v>LL - In</v>
      </c>
      <c r="L1474" s="1">
        <v>20</v>
      </c>
      <c r="M1474" t="s">
        <v>1387</v>
      </c>
      <c r="O1474" t="s">
        <v>28</v>
      </c>
      <c r="P1474">
        <v>12</v>
      </c>
      <c r="Q1474">
        <v>1</v>
      </c>
      <c r="R1474">
        <v>13</v>
      </c>
      <c r="S1474" s="2">
        <v>42916</v>
      </c>
      <c r="T1474" s="2">
        <v>43128</v>
      </c>
      <c r="U1474" s="2">
        <v>43637</v>
      </c>
      <c r="V1474" s="2">
        <v>43686</v>
      </c>
    </row>
    <row r="1475" spans="1:22" x14ac:dyDescent="0.2">
      <c r="A1475" t="str">
        <f>"362.5 IZA"</f>
        <v>362.5 IZA</v>
      </c>
      <c r="B1475" t="str">
        <f>"The hundred story home: a journey of hom"</f>
        <v>The hundred story home: a journey of hom</v>
      </c>
      <c r="C1475">
        <v>295745</v>
      </c>
      <c r="D1475" t="str">
        <f>"Izard, Kathy"</f>
        <v>Izard, Kathy</v>
      </c>
      <c r="F1475" t="str">
        <f>"xix, 291 pages, 21 cm"</f>
        <v>xix, 291 pages, 21 cm</v>
      </c>
      <c r="G1475" s="1">
        <v>17</v>
      </c>
      <c r="H1475">
        <v>2016</v>
      </c>
      <c r="I1475" t="str">
        <f t="shared" si="53"/>
        <v>9: 300 - 399</v>
      </c>
      <c r="K1475" t="str">
        <f t="shared" ref="K1475:K1482" si="54">"WB - In"</f>
        <v>WB - In</v>
      </c>
      <c r="L1475" s="1">
        <v>20</v>
      </c>
      <c r="M1475" t="s">
        <v>1387</v>
      </c>
      <c r="O1475" t="s">
        <v>28</v>
      </c>
      <c r="P1475">
        <v>10</v>
      </c>
      <c r="Q1475">
        <v>2</v>
      </c>
      <c r="R1475">
        <v>12</v>
      </c>
      <c r="S1475" s="2">
        <v>42916</v>
      </c>
      <c r="T1475" s="2">
        <v>43152</v>
      </c>
      <c r="U1475" s="2">
        <v>43640</v>
      </c>
      <c r="V1475" s="2">
        <v>43670</v>
      </c>
    </row>
    <row r="1476" spans="1:22" x14ac:dyDescent="0.2">
      <c r="A1476" t="str">
        <f>"362.5 IZA"</f>
        <v>362.5 IZA</v>
      </c>
      <c r="B1476" t="str">
        <f>"The hundred story home: a journey of hom"</f>
        <v>The hundred story home: a journey of hom</v>
      </c>
      <c r="C1476">
        <v>353587</v>
      </c>
      <c r="D1476" t="str">
        <f>"Izard, Kathy"</f>
        <v>Izard, Kathy</v>
      </c>
      <c r="F1476" t="str">
        <f>"xix, 291 pages, 21 cm"</f>
        <v>xix, 291 pages, 21 cm</v>
      </c>
      <c r="G1476" s="1">
        <v>19</v>
      </c>
      <c r="H1476">
        <v>2016</v>
      </c>
      <c r="I1476" t="str">
        <f t="shared" si="53"/>
        <v>9: 300 - 399</v>
      </c>
      <c r="K1476" t="str">
        <f t="shared" si="54"/>
        <v>WB - In</v>
      </c>
      <c r="L1476" s="1">
        <v>22</v>
      </c>
      <c r="M1476" t="s">
        <v>1387</v>
      </c>
      <c r="O1476" t="s">
        <v>28</v>
      </c>
      <c r="P1476">
        <v>1</v>
      </c>
      <c r="Q1476">
        <v>0</v>
      </c>
      <c r="R1476">
        <v>1</v>
      </c>
      <c r="S1476" s="2">
        <v>43542</v>
      </c>
      <c r="T1476" s="2">
        <v>43559</v>
      </c>
      <c r="U1476" s="2">
        <v>43636</v>
      </c>
    </row>
    <row r="1477" spans="1:22" x14ac:dyDescent="0.2">
      <c r="A1477" t="str">
        <f>"362.5 KNO"</f>
        <v>362.5 KNO</v>
      </c>
      <c r="B1477" t="str">
        <f>"You are my brother: lessons learned embr"</f>
        <v>You are my brother: lessons learned embr</v>
      </c>
      <c r="C1477">
        <v>404122</v>
      </c>
      <c r="D1477" t="str">
        <f>"Knotts, Judith."</f>
        <v>Knotts, Judith.</v>
      </c>
      <c r="F1477" t="str">
        <f>"170 p."</f>
        <v>170 p.</v>
      </c>
      <c r="G1477" s="1">
        <v>18</v>
      </c>
      <c r="H1477">
        <v>2018</v>
      </c>
      <c r="I1477" t="str">
        <f t="shared" si="53"/>
        <v>9: 300 - 399</v>
      </c>
      <c r="K1477" t="str">
        <f t="shared" si="54"/>
        <v>WB - In</v>
      </c>
      <c r="L1477" s="1">
        <v>20</v>
      </c>
      <c r="M1477" t="s">
        <v>1388</v>
      </c>
      <c r="O1477" t="s">
        <v>28</v>
      </c>
      <c r="P1477">
        <v>3</v>
      </c>
      <c r="Q1477">
        <v>0</v>
      </c>
      <c r="R1477">
        <v>3</v>
      </c>
      <c r="S1477" s="2">
        <v>43447</v>
      </c>
      <c r="T1477" s="2">
        <v>43454</v>
      </c>
      <c r="U1477" s="2">
        <v>43706</v>
      </c>
    </row>
    <row r="1478" spans="1:22" x14ac:dyDescent="0.2">
      <c r="A1478" t="str">
        <f>"362.5 KOZ"</f>
        <v>362.5 KOZ</v>
      </c>
      <c r="B1478" t="str">
        <f>"Rachel and her children: homeless famili"</f>
        <v>Rachel and her children: homeless famili</v>
      </c>
      <c r="C1478">
        <v>356447</v>
      </c>
      <c r="D1478" t="str">
        <f>"Kozol, Jonathan."</f>
        <v>Kozol, Jonathan.</v>
      </c>
      <c r="F1478" t="str">
        <f>"303 p., 21 cm"</f>
        <v>303 p., 21 cm</v>
      </c>
      <c r="G1478" s="1">
        <v>19</v>
      </c>
      <c r="H1478">
        <v>2006</v>
      </c>
      <c r="I1478" t="str">
        <f t="shared" si="53"/>
        <v>9: 300 - 399</v>
      </c>
      <c r="K1478" t="str">
        <f t="shared" si="54"/>
        <v>WB - In</v>
      </c>
      <c r="L1478" s="1">
        <v>20</v>
      </c>
      <c r="M1478" t="s">
        <v>1389</v>
      </c>
      <c r="O1478" t="s">
        <v>28</v>
      </c>
      <c r="P1478">
        <v>0</v>
      </c>
      <c r="Q1478">
        <v>0</v>
      </c>
      <c r="R1478">
        <v>0</v>
      </c>
      <c r="S1478" s="2">
        <v>43669</v>
      </c>
      <c r="T1478" s="2">
        <v>43675</v>
      </c>
    </row>
    <row r="1479" spans="1:22" x14ac:dyDescent="0.2">
      <c r="A1479" t="str">
        <f>"362.5 TIR"</f>
        <v>362.5 TIR</v>
      </c>
      <c r="B1479" t="str">
        <f>"Hand to mouth: living in bootstrap Ameri"</f>
        <v>Hand to mouth: living in bootstrap Ameri</v>
      </c>
      <c r="C1479">
        <v>324166</v>
      </c>
      <c r="D1479" t="str">
        <f>"Tirado, Linda."</f>
        <v>Tirado, Linda.</v>
      </c>
      <c r="F1479" t="str">
        <f>"191 p."</f>
        <v>191 p.</v>
      </c>
      <c r="G1479" s="1">
        <v>14</v>
      </c>
      <c r="H1479">
        <v>2014</v>
      </c>
      <c r="I1479" t="str">
        <f t="shared" si="53"/>
        <v>9: 300 - 399</v>
      </c>
      <c r="K1479" t="str">
        <f t="shared" si="54"/>
        <v>WB - In</v>
      </c>
      <c r="L1479" s="1">
        <v>31</v>
      </c>
      <c r="M1479" t="s">
        <v>1390</v>
      </c>
      <c r="O1479" t="s">
        <v>28</v>
      </c>
      <c r="P1479">
        <v>4</v>
      </c>
      <c r="Q1479">
        <v>0</v>
      </c>
      <c r="R1479">
        <v>17</v>
      </c>
      <c r="S1479" s="2">
        <v>41932</v>
      </c>
      <c r="T1479" s="2">
        <v>42150</v>
      </c>
      <c r="U1479" s="2">
        <v>43269</v>
      </c>
      <c r="V1479" s="2">
        <v>42009</v>
      </c>
    </row>
    <row r="1480" spans="1:22" x14ac:dyDescent="0.2">
      <c r="A1480" t="str">
        <f>"362.5 WAG"</f>
        <v>362.5 WAG</v>
      </c>
      <c r="B1480" t="str">
        <f>"No longer homeless: how the ex-homeless "</f>
        <v xml:space="preserve">No longer homeless: how the ex-homeless </v>
      </c>
      <c r="C1480">
        <v>346833</v>
      </c>
      <c r="D1480" t="str">
        <f>"Wagner, David"</f>
        <v>Wagner, David</v>
      </c>
      <c r="F1480" t="str">
        <f>"159 p."</f>
        <v>159 p.</v>
      </c>
      <c r="G1480" s="1">
        <v>18</v>
      </c>
      <c r="H1480">
        <v>2018</v>
      </c>
      <c r="I1480" t="str">
        <f t="shared" ref="I1480:I1543" si="55">"9: 300 - 399"</f>
        <v>9: 300 - 399</v>
      </c>
      <c r="K1480" t="str">
        <f t="shared" si="54"/>
        <v>WB - In</v>
      </c>
      <c r="L1480" s="1">
        <v>41</v>
      </c>
      <c r="M1480" t="s">
        <v>1391</v>
      </c>
      <c r="O1480" t="s">
        <v>28</v>
      </c>
      <c r="P1480">
        <v>5</v>
      </c>
      <c r="Q1480">
        <v>0</v>
      </c>
      <c r="R1480">
        <v>5</v>
      </c>
      <c r="S1480" s="2">
        <v>43179</v>
      </c>
      <c r="T1480" s="2">
        <v>43341</v>
      </c>
      <c r="U1480" s="2">
        <v>43336</v>
      </c>
    </row>
    <row r="1481" spans="1:22" x14ac:dyDescent="0.2">
      <c r="A1481" t="str">
        <f>"362.5 YAN"</f>
        <v>362.5 YAN</v>
      </c>
      <c r="B1481" t="str">
        <f>"war on normal people: the truth about Am"</f>
        <v>war on normal people: the truth about Am</v>
      </c>
      <c r="C1481">
        <v>349207</v>
      </c>
      <c r="D1481" t="str">
        <f>"Yang, Andrew"</f>
        <v>Yang, Andrew</v>
      </c>
      <c r="F1481" t="str">
        <f>"xix, 284 pages, 24 cm, illustrations"</f>
        <v>xix, 284 pages, 24 cm, illustrations</v>
      </c>
      <c r="G1481" s="1">
        <v>18</v>
      </c>
      <c r="H1481">
        <v>2018</v>
      </c>
      <c r="I1481" t="str">
        <f t="shared" si="55"/>
        <v>9: 300 - 399</v>
      </c>
      <c r="K1481" t="str">
        <f t="shared" si="54"/>
        <v>WB - In</v>
      </c>
      <c r="L1481" s="1">
        <v>33</v>
      </c>
      <c r="M1481" t="s">
        <v>1392</v>
      </c>
      <c r="O1481" t="s">
        <v>28</v>
      </c>
      <c r="P1481">
        <v>10</v>
      </c>
      <c r="Q1481">
        <v>1</v>
      </c>
      <c r="R1481">
        <v>11</v>
      </c>
      <c r="S1481" s="2">
        <v>43320</v>
      </c>
      <c r="T1481" s="2">
        <v>43614</v>
      </c>
      <c r="U1481" s="2">
        <v>43588</v>
      </c>
      <c r="V1481" s="2">
        <v>43615</v>
      </c>
    </row>
    <row r="1482" spans="1:22" x14ac:dyDescent="0.2">
      <c r="A1482" t="str">
        <f>"362.6 ARO"</f>
        <v>362.6 ARO</v>
      </c>
      <c r="B1482" t="str">
        <f>"Elderhood: redefining aging, transformin"</f>
        <v>Elderhood: redefining aging, transformin</v>
      </c>
      <c r="C1482">
        <v>355409</v>
      </c>
      <c r="D1482" t="str">
        <f>"Aronson, Louise"</f>
        <v>Aronson, Louise</v>
      </c>
      <c r="F1482" t="str">
        <f>"xiv, 449 pages, 25 cm"</f>
        <v>xiv, 449 pages, 25 cm</v>
      </c>
      <c r="G1482" s="1">
        <v>19</v>
      </c>
      <c r="H1482">
        <v>2019</v>
      </c>
      <c r="I1482" t="str">
        <f t="shared" si="55"/>
        <v>9: 300 - 399</v>
      </c>
      <c r="K1482" t="str">
        <f t="shared" si="54"/>
        <v>WB - In</v>
      </c>
      <c r="L1482" s="1">
        <v>35</v>
      </c>
      <c r="M1482" t="s">
        <v>1393</v>
      </c>
      <c r="O1482" t="s">
        <v>28</v>
      </c>
      <c r="P1482">
        <v>8</v>
      </c>
      <c r="Q1482">
        <v>0</v>
      </c>
      <c r="R1482">
        <v>8</v>
      </c>
      <c r="S1482" s="2">
        <v>43626</v>
      </c>
      <c r="T1482" s="2">
        <v>43838</v>
      </c>
      <c r="U1482" s="2">
        <v>43822</v>
      </c>
    </row>
    <row r="1483" spans="1:22" x14ac:dyDescent="0.2">
      <c r="A1483" t="str">
        <f>"362.6 GRO"</f>
        <v>362.6 GRO</v>
      </c>
      <c r="B1483" t="str">
        <f>"bittersweet season: caring for our aging"</f>
        <v>bittersweet season: caring for our aging</v>
      </c>
      <c r="C1483">
        <v>149850</v>
      </c>
      <c r="D1483" t="str">
        <f>"Gross, Jane."</f>
        <v>Gross, Jane.</v>
      </c>
      <c r="F1483" t="str">
        <f>"350 p."</f>
        <v>350 p.</v>
      </c>
      <c r="G1483" s="1">
        <v>11</v>
      </c>
      <c r="H1483">
        <v>2011</v>
      </c>
      <c r="I1483" t="str">
        <f t="shared" si="55"/>
        <v>9: 300 - 399</v>
      </c>
      <c r="K1483" t="str">
        <f>"LL - In"</f>
        <v>LL - In</v>
      </c>
      <c r="L1483" s="1">
        <v>32</v>
      </c>
      <c r="M1483" t="s">
        <v>1394</v>
      </c>
      <c r="O1483" t="s">
        <v>28</v>
      </c>
      <c r="P1483">
        <v>2</v>
      </c>
      <c r="Q1483">
        <v>0</v>
      </c>
      <c r="R1483">
        <v>14</v>
      </c>
      <c r="S1483" s="2">
        <v>40655</v>
      </c>
      <c r="T1483" s="2">
        <v>41053</v>
      </c>
      <c r="U1483" s="2">
        <v>43646</v>
      </c>
      <c r="V1483" s="2">
        <v>41626</v>
      </c>
    </row>
    <row r="1484" spans="1:22" x14ac:dyDescent="0.2">
      <c r="A1484" t="str">
        <f>"362.6 LEV"</f>
        <v>362.6 LEV</v>
      </c>
      <c r="B1484" t="str">
        <f>"Navigating your later years"</f>
        <v>Navigating your later years</v>
      </c>
      <c r="C1484">
        <v>353142</v>
      </c>
      <c r="D1484" t="str">
        <f>"Levine, Carol,"</f>
        <v>Levine, Carol,</v>
      </c>
      <c r="E1484" t="str">
        <f>"For Dummies series"</f>
        <v>For Dummies series</v>
      </c>
      <c r="F1484" t="str">
        <f>"xv, 364 pages, 24 cm"</f>
        <v>xv, 364 pages, 24 cm</v>
      </c>
      <c r="G1484" s="1">
        <v>19</v>
      </c>
      <c r="H1484">
        <v>2018</v>
      </c>
      <c r="I1484" t="str">
        <f t="shared" si="55"/>
        <v>9: 300 - 399</v>
      </c>
      <c r="K1484" t="str">
        <f>"LL - In"</f>
        <v>LL - In</v>
      </c>
      <c r="L1484" s="1">
        <v>28</v>
      </c>
      <c r="M1484" t="s">
        <v>1395</v>
      </c>
      <c r="O1484" t="s">
        <v>28</v>
      </c>
      <c r="P1484">
        <v>0</v>
      </c>
      <c r="Q1484">
        <v>0</v>
      </c>
      <c r="R1484">
        <v>0</v>
      </c>
      <c r="S1484" s="2">
        <v>43522</v>
      </c>
      <c r="T1484" s="2">
        <v>43628</v>
      </c>
    </row>
    <row r="1485" spans="1:22" x14ac:dyDescent="0.2">
      <c r="A1485" t="str">
        <f>"362.6 LEV"</f>
        <v>362.6 LEV</v>
      </c>
      <c r="B1485" t="str">
        <f>"family caregiver's manual: a practical p"</f>
        <v>family caregiver's manual: a practical p</v>
      </c>
      <c r="C1485">
        <v>334738</v>
      </c>
      <c r="D1485" t="str">
        <f>"Levy, David"</f>
        <v>Levy, David</v>
      </c>
      <c r="F1485" t="str">
        <f>"278 p."</f>
        <v>278 p.</v>
      </c>
      <c r="G1485" s="1">
        <v>16</v>
      </c>
      <c r="H1485">
        <v>2016</v>
      </c>
      <c r="I1485" t="str">
        <f t="shared" si="55"/>
        <v>9: 300 - 399</v>
      </c>
      <c r="K1485" t="str">
        <f>"LL - In"</f>
        <v>LL - In</v>
      </c>
      <c r="L1485" s="1">
        <v>30</v>
      </c>
      <c r="M1485" t="s">
        <v>1396</v>
      </c>
      <c r="O1485" t="s">
        <v>28</v>
      </c>
      <c r="P1485">
        <v>4</v>
      </c>
      <c r="Q1485">
        <v>0</v>
      </c>
      <c r="R1485">
        <v>7</v>
      </c>
      <c r="S1485" s="2">
        <v>42486</v>
      </c>
      <c r="T1485" s="2">
        <v>42493</v>
      </c>
      <c r="U1485" s="2">
        <v>43646</v>
      </c>
    </row>
    <row r="1486" spans="1:22" x14ac:dyDescent="0.2">
      <c r="A1486" t="str">
        <f>"362.6 LOV"</f>
        <v>362.6 LOV</v>
      </c>
      <c r="B1486" t="str">
        <f>"Who will take care of me when I'm old?: "</f>
        <v xml:space="preserve">Who will take care of me when I'm old?: </v>
      </c>
      <c r="C1486">
        <v>297983</v>
      </c>
      <c r="D1486" t="str">
        <f>"Loverde, Joy"</f>
        <v>Loverde, Joy</v>
      </c>
      <c r="F1486" t="str">
        <f>"xviii, 313 pages, 24 cm"</f>
        <v>xviii, 313 pages, 24 cm</v>
      </c>
      <c r="G1486" s="1">
        <v>17</v>
      </c>
      <c r="H1486">
        <v>2017</v>
      </c>
      <c r="I1486" t="str">
        <f t="shared" si="55"/>
        <v>9: 300 - 399</v>
      </c>
      <c r="K1486" t="str">
        <f>"WB - In"</f>
        <v>WB - In</v>
      </c>
      <c r="L1486" s="1">
        <v>23</v>
      </c>
      <c r="M1486" t="s">
        <v>1397</v>
      </c>
      <c r="O1486" t="s">
        <v>28</v>
      </c>
      <c r="P1486">
        <v>7</v>
      </c>
      <c r="Q1486">
        <v>0</v>
      </c>
      <c r="R1486">
        <v>7</v>
      </c>
      <c r="S1486" s="2">
        <v>43046</v>
      </c>
      <c r="T1486" s="2">
        <v>43053</v>
      </c>
      <c r="U1486" s="2">
        <v>43560</v>
      </c>
    </row>
    <row r="1487" spans="1:22" x14ac:dyDescent="0.2">
      <c r="A1487" t="str">
        <f>"362.6 MAT"</f>
        <v>362.6 MAT</v>
      </c>
      <c r="B1487" t="str">
        <f>"Long-term care: how to plan and pay for "</f>
        <v xml:space="preserve">Long-term care: how to plan and pay for </v>
      </c>
      <c r="C1487">
        <v>351783</v>
      </c>
      <c r="D1487" t="str">
        <f>"Matthews, J. L.,"</f>
        <v>Matthews, J. L.,</v>
      </c>
      <c r="F1487" t="str">
        <f>"364 pages, 23 cm"</f>
        <v>364 pages, 23 cm</v>
      </c>
      <c r="G1487" s="1">
        <v>18</v>
      </c>
      <c r="H1487">
        <v>2018</v>
      </c>
      <c r="I1487" t="str">
        <f t="shared" si="55"/>
        <v>9: 300 - 399</v>
      </c>
      <c r="K1487" t="str">
        <f>"LL - Out"</f>
        <v>LL - Out</v>
      </c>
      <c r="L1487" s="1">
        <v>35</v>
      </c>
      <c r="M1487" t="s">
        <v>1398</v>
      </c>
      <c r="O1487" t="s">
        <v>28</v>
      </c>
      <c r="P1487">
        <v>5</v>
      </c>
      <c r="Q1487">
        <v>0</v>
      </c>
      <c r="R1487">
        <v>5</v>
      </c>
      <c r="S1487" s="2">
        <v>43444</v>
      </c>
      <c r="T1487" s="2">
        <v>43446</v>
      </c>
      <c r="U1487" s="2">
        <v>43859</v>
      </c>
    </row>
    <row r="1488" spans="1:22" x14ac:dyDescent="0.2">
      <c r="A1488" t="str">
        <f>"362.6 MCC"</f>
        <v>362.6 MCC</v>
      </c>
      <c r="B1488" t="str">
        <f>"My mother, your mother: embracing ""slow "</f>
        <v xml:space="preserve">My mother, your mother: embracing "slow </v>
      </c>
      <c r="C1488">
        <v>208234</v>
      </c>
      <c r="D1488" t="str">
        <f>"McCullough, Dennis"</f>
        <v>McCullough, Dennis</v>
      </c>
      <c r="F1488" t="str">
        <f>"263 p."</f>
        <v>263 p.</v>
      </c>
      <c r="G1488" s="1">
        <v>8</v>
      </c>
      <c r="H1488">
        <v>2008</v>
      </c>
      <c r="I1488" t="str">
        <f t="shared" si="55"/>
        <v>9: 300 - 399</v>
      </c>
      <c r="K1488" t="str">
        <f>"WB - In"</f>
        <v>WB - In</v>
      </c>
      <c r="L1488" s="1">
        <v>31</v>
      </c>
      <c r="M1488" t="s">
        <v>1399</v>
      </c>
      <c r="O1488" t="s">
        <v>28</v>
      </c>
      <c r="P1488">
        <v>3</v>
      </c>
      <c r="Q1488">
        <v>0</v>
      </c>
      <c r="R1488">
        <v>23</v>
      </c>
      <c r="S1488" s="2">
        <v>39492</v>
      </c>
      <c r="T1488" s="2">
        <v>41053</v>
      </c>
      <c r="U1488" s="2">
        <v>43518</v>
      </c>
      <c r="V1488" s="2">
        <v>42416</v>
      </c>
    </row>
    <row r="1489" spans="1:22" x14ac:dyDescent="0.2">
      <c r="A1489" t="str">
        <f>"362.6 MOR"</f>
        <v>362.6 MOR</v>
      </c>
      <c r="B1489" t="str">
        <f>"How to care for aging parents: a one-sto"</f>
        <v>How to care for aging parents: a one-sto</v>
      </c>
      <c r="C1489">
        <v>348014</v>
      </c>
      <c r="D1489" t="str">
        <f>"Morris, Virginia."</f>
        <v>Morris, Virginia.</v>
      </c>
      <c r="F1489" t="str">
        <f>"xvi, 671 pages, 23 cm"</f>
        <v>xvi, 671 pages, 23 cm</v>
      </c>
      <c r="G1489" s="1">
        <v>18</v>
      </c>
      <c r="H1489">
        <v>2014</v>
      </c>
      <c r="I1489" t="str">
        <f t="shared" si="55"/>
        <v>9: 300 - 399</v>
      </c>
      <c r="K1489" t="str">
        <f>"LL - In"</f>
        <v>LL - In</v>
      </c>
      <c r="L1489" s="1">
        <v>24</v>
      </c>
      <c r="M1489" t="s">
        <v>1400</v>
      </c>
      <c r="O1489" t="s">
        <v>28</v>
      </c>
      <c r="P1489">
        <v>4</v>
      </c>
      <c r="Q1489">
        <v>0</v>
      </c>
      <c r="R1489">
        <v>4</v>
      </c>
      <c r="S1489" s="2">
        <v>43257</v>
      </c>
      <c r="T1489" s="2">
        <v>43269</v>
      </c>
      <c r="U1489" s="2">
        <v>43708</v>
      </c>
    </row>
    <row r="1490" spans="1:22" x14ac:dyDescent="0.2">
      <c r="A1490" t="str">
        <f>"362.6 NET"</f>
        <v>362.6 NET</v>
      </c>
      <c r="B1490" t="str">
        <f>"Assisted living: an insider's view"</f>
        <v>Assisted living: an insider's view</v>
      </c>
      <c r="C1490">
        <v>354805</v>
      </c>
      <c r="D1490" t="str">
        <f>"Netzer, Carol"</f>
        <v>Netzer, Carol</v>
      </c>
      <c r="G1490" s="1">
        <v>19</v>
      </c>
      <c r="H1490">
        <v>2014</v>
      </c>
      <c r="I1490" t="str">
        <f t="shared" si="55"/>
        <v>9: 300 - 399</v>
      </c>
      <c r="K1490" t="str">
        <f>"WB - In"</f>
        <v>WB - In</v>
      </c>
      <c r="L1490" s="1">
        <v>13</v>
      </c>
      <c r="M1490" t="s">
        <v>1401</v>
      </c>
      <c r="O1490" t="s">
        <v>28</v>
      </c>
      <c r="P1490">
        <v>2</v>
      </c>
      <c r="Q1490">
        <v>0</v>
      </c>
      <c r="R1490">
        <v>2</v>
      </c>
      <c r="S1490" s="2">
        <v>43595</v>
      </c>
      <c r="T1490" s="2">
        <v>43640</v>
      </c>
      <c r="U1490" s="2">
        <v>43780</v>
      </c>
    </row>
    <row r="1491" spans="1:22" x14ac:dyDescent="0.2">
      <c r="A1491" t="str">
        <f>"362.6 POO"</f>
        <v>362.6 POO</v>
      </c>
      <c r="B1491" t="str">
        <f>"age of dignity: preparing for the elder "</f>
        <v xml:space="preserve">age of dignity: preparing for the elder </v>
      </c>
      <c r="C1491">
        <v>326821</v>
      </c>
      <c r="D1491" t="str">
        <f>"Poo, Ai-jen."</f>
        <v>Poo, Ai-jen.</v>
      </c>
      <c r="F1491" t="str">
        <f>"229 pages, 22 cm, illustrations"</f>
        <v>229 pages, 22 cm, illustrations</v>
      </c>
      <c r="G1491" s="1">
        <v>15</v>
      </c>
      <c r="H1491">
        <v>2015</v>
      </c>
      <c r="I1491" t="str">
        <f t="shared" si="55"/>
        <v>9: 300 - 399</v>
      </c>
      <c r="K1491" t="str">
        <f>"LL - In"</f>
        <v>LL - In</v>
      </c>
      <c r="L1491" s="1">
        <v>31</v>
      </c>
      <c r="M1491" t="s">
        <v>1402</v>
      </c>
      <c r="O1491" t="s">
        <v>28</v>
      </c>
      <c r="P1491">
        <v>2</v>
      </c>
      <c r="Q1491">
        <v>0</v>
      </c>
      <c r="R1491">
        <v>9</v>
      </c>
      <c r="S1491" s="2">
        <v>42107</v>
      </c>
      <c r="T1491" s="2">
        <v>42293</v>
      </c>
      <c r="U1491" s="2">
        <v>43510</v>
      </c>
      <c r="V1491" s="2">
        <v>42221</v>
      </c>
    </row>
    <row r="1492" spans="1:22" x14ac:dyDescent="0.2">
      <c r="A1492" t="str">
        <f>"362.6 WES"</f>
        <v>362.6 WES</v>
      </c>
      <c r="B1492" t="str">
        <f>"Moving your aging parents: fulfilling th"</f>
        <v>Moving your aging parents: fulfilling th</v>
      </c>
      <c r="C1492">
        <v>236893</v>
      </c>
      <c r="D1492" t="str">
        <f>"Wesson, Nancy Daniel"</f>
        <v>Wesson, Nancy Daniel</v>
      </c>
      <c r="F1492" t="str">
        <f>"265 p."</f>
        <v>265 p.</v>
      </c>
      <c r="G1492">
        <v>10</v>
      </c>
      <c r="H1492">
        <v>2009</v>
      </c>
      <c r="I1492" t="str">
        <f t="shared" si="55"/>
        <v>9: 300 - 399</v>
      </c>
      <c r="K1492" t="str">
        <f t="shared" ref="K1492:K1497" si="56">"WB - In"</f>
        <v>WB - In</v>
      </c>
      <c r="L1492" s="1">
        <v>30</v>
      </c>
      <c r="M1492" t="s">
        <v>1403</v>
      </c>
      <c r="O1492" t="s">
        <v>28</v>
      </c>
      <c r="P1492">
        <v>8</v>
      </c>
      <c r="Q1492">
        <v>0</v>
      </c>
      <c r="R1492">
        <v>28</v>
      </c>
      <c r="S1492" s="2">
        <v>40303</v>
      </c>
      <c r="T1492" s="2">
        <v>41053</v>
      </c>
      <c r="U1492" s="2">
        <v>43801</v>
      </c>
      <c r="V1492" s="2">
        <v>40919</v>
      </c>
    </row>
    <row r="1493" spans="1:22" x14ac:dyDescent="0.2">
      <c r="A1493" t="str">
        <f>"362.7 SOL"</f>
        <v>362.7 SOL</v>
      </c>
      <c r="B1493" t="str">
        <f>"Solito, solita: crossing borders with yo"</f>
        <v>Solito, solita: crossing borders with yo</v>
      </c>
      <c r="C1493">
        <v>356416</v>
      </c>
      <c r="F1493" t="str">
        <f>"xi, 316 pages, 22 cm, illustrations, maps"</f>
        <v>xi, 316 pages, 22 cm, illustrations, maps</v>
      </c>
      <c r="G1493" s="1">
        <v>19</v>
      </c>
      <c r="H1493">
        <v>2019</v>
      </c>
      <c r="I1493" t="str">
        <f t="shared" si="55"/>
        <v>9: 300 - 399</v>
      </c>
      <c r="K1493" t="str">
        <f t="shared" si="56"/>
        <v>WB - In</v>
      </c>
      <c r="L1493" s="1">
        <v>25</v>
      </c>
      <c r="M1493" t="s">
        <v>1404</v>
      </c>
      <c r="O1493" t="s">
        <v>28</v>
      </c>
      <c r="P1493">
        <v>6</v>
      </c>
      <c r="Q1493">
        <v>0</v>
      </c>
      <c r="R1493">
        <v>6</v>
      </c>
      <c r="S1493" s="2">
        <v>43671</v>
      </c>
      <c r="T1493" s="2">
        <v>43832</v>
      </c>
      <c r="U1493" s="2">
        <v>43821</v>
      </c>
    </row>
    <row r="1494" spans="1:22" x14ac:dyDescent="0.2">
      <c r="A1494" t="str">
        <f>"362.76 DAM"</f>
        <v>362.76 DAM</v>
      </c>
      <c r="B1494" t="str">
        <f>"Becca's best friend: a victim blaming ""k"</f>
        <v>Becca's best friend: a victim blaming "k</v>
      </c>
      <c r="C1494">
        <v>408492</v>
      </c>
      <c r="D1494" t="str">
        <f>"Damsel in Defense"</f>
        <v>Damsel in Defense</v>
      </c>
      <c r="E1494" t="str">
        <f>"SAFE Hearts series"</f>
        <v>SAFE Hearts series</v>
      </c>
      <c r="F1494" t="str">
        <f>"29 pages, 29 cm, color illustrations"</f>
        <v>29 pages, 29 cm, color illustrations</v>
      </c>
      <c r="G1494" s="1">
        <v>19</v>
      </c>
      <c r="H1494">
        <v>2018</v>
      </c>
      <c r="I1494" t="str">
        <f t="shared" si="55"/>
        <v>9: 300 - 399</v>
      </c>
      <c r="K1494" t="str">
        <f t="shared" si="56"/>
        <v>WB - In</v>
      </c>
      <c r="L1494" s="1">
        <v>30</v>
      </c>
      <c r="O1494" t="s">
        <v>28</v>
      </c>
      <c r="P1494">
        <v>0</v>
      </c>
      <c r="Q1494">
        <v>0</v>
      </c>
      <c r="R1494">
        <v>0</v>
      </c>
      <c r="S1494" s="2">
        <v>43809</v>
      </c>
      <c r="T1494" s="2">
        <v>43819</v>
      </c>
    </row>
    <row r="1495" spans="1:22" x14ac:dyDescent="0.2">
      <c r="A1495" t="str">
        <f>"362.76 SAF"</f>
        <v>362.76 SAF</v>
      </c>
      <c r="B1495" t="str">
        <f>"Proactive parent guide: 12 essential fam"</f>
        <v>Proactive parent guide: 12 essential fam</v>
      </c>
      <c r="C1495">
        <v>408417</v>
      </c>
      <c r="D1495" t="str">
        <f>"Damsel in Defense"</f>
        <v>Damsel in Defense</v>
      </c>
      <c r="E1495" t="str">
        <f>"SAFE Hearts series"</f>
        <v>SAFE Hearts series</v>
      </c>
      <c r="F1495" t="str">
        <f>"37 pages, 22 cm, illustrations"</f>
        <v>37 pages, 22 cm, illustrations</v>
      </c>
      <c r="G1495" s="1">
        <v>19</v>
      </c>
      <c r="H1495">
        <v>2016</v>
      </c>
      <c r="I1495" t="str">
        <f t="shared" si="55"/>
        <v>9: 300 - 399</v>
      </c>
      <c r="K1495" t="str">
        <f t="shared" si="56"/>
        <v>WB - In</v>
      </c>
      <c r="L1495" s="1">
        <v>11</v>
      </c>
      <c r="O1495" t="s">
        <v>28</v>
      </c>
      <c r="P1495">
        <v>0</v>
      </c>
      <c r="Q1495">
        <v>0</v>
      </c>
      <c r="R1495">
        <v>0</v>
      </c>
      <c r="S1495" s="2">
        <v>43791</v>
      </c>
      <c r="T1495" s="2">
        <v>43791</v>
      </c>
    </row>
    <row r="1496" spans="1:22" x14ac:dyDescent="0.2">
      <c r="A1496" t="str">
        <f>"362.76 SMI"</f>
        <v>362.76 SMI</v>
      </c>
      <c r="B1496" t="str">
        <f>"Renting Lacy: a story of America's prost"</f>
        <v>Renting Lacy: a story of America's prost</v>
      </c>
      <c r="C1496">
        <v>405563</v>
      </c>
      <c r="D1496" t="str">
        <f>"Smith, Linda Tuhiwai,"</f>
        <v>Smith, Linda Tuhiwai,</v>
      </c>
      <c r="F1496" t="str">
        <f>"xvii, 168 pages, 22 cm"</f>
        <v>xvii, 168 pages, 22 cm</v>
      </c>
      <c r="G1496" s="1">
        <v>19</v>
      </c>
      <c r="H1496">
        <v>2009</v>
      </c>
      <c r="I1496" t="str">
        <f t="shared" si="55"/>
        <v>9: 300 - 399</v>
      </c>
      <c r="K1496" t="str">
        <f t="shared" si="56"/>
        <v>WB - In</v>
      </c>
      <c r="L1496" s="1">
        <v>19</v>
      </c>
      <c r="M1496" t="s">
        <v>1405</v>
      </c>
      <c r="O1496" t="s">
        <v>28</v>
      </c>
      <c r="P1496">
        <v>2</v>
      </c>
      <c r="Q1496">
        <v>0</v>
      </c>
      <c r="R1496">
        <v>2</v>
      </c>
      <c r="S1496" s="2">
        <v>43557</v>
      </c>
      <c r="T1496" s="2">
        <v>43559</v>
      </c>
      <c r="U1496" s="2">
        <v>43574</v>
      </c>
    </row>
    <row r="1497" spans="1:22" x14ac:dyDescent="0.2">
      <c r="A1497" t="str">
        <f>"362.82 KUB"</f>
        <v>362.82 KUB</v>
      </c>
      <c r="B1497" t="str">
        <f>"Healing the trauma of domestic violence:"</f>
        <v>Healing the trauma of domestic violence:</v>
      </c>
      <c r="C1497">
        <v>352976</v>
      </c>
      <c r="D1497" t="str">
        <f>"Kubany, Edward S."</f>
        <v>Kubany, Edward S.</v>
      </c>
      <c r="F1497" t="str">
        <f>"iv, 206 p., 28 cm"</f>
        <v>iv, 206 p., 28 cm</v>
      </c>
      <c r="G1497" s="1">
        <v>19</v>
      </c>
      <c r="H1497">
        <v>2003</v>
      </c>
      <c r="I1497" t="str">
        <f t="shared" si="55"/>
        <v>9: 300 - 399</v>
      </c>
      <c r="K1497" t="str">
        <f t="shared" si="56"/>
        <v>WB - In</v>
      </c>
      <c r="L1497" s="1">
        <v>30</v>
      </c>
      <c r="M1497" t="s">
        <v>1406</v>
      </c>
      <c r="O1497" t="s">
        <v>28</v>
      </c>
      <c r="P1497">
        <v>0</v>
      </c>
      <c r="Q1497">
        <v>0</v>
      </c>
      <c r="R1497">
        <v>0</v>
      </c>
      <c r="S1497" s="2">
        <v>43515</v>
      </c>
      <c r="T1497" s="2">
        <v>43733</v>
      </c>
    </row>
    <row r="1498" spans="1:22" x14ac:dyDescent="0.2">
      <c r="A1498" t="str">
        <f>"362.82 MIL"</f>
        <v>362.82 MIL</v>
      </c>
      <c r="B1498" t="str">
        <f>"Paternity: the elusive quest for the fat"</f>
        <v>Paternity: the elusive quest for the fat</v>
      </c>
      <c r="C1498">
        <v>356624</v>
      </c>
      <c r="D1498" t="str">
        <f>"Milanich, Nara B.,"</f>
        <v>Milanich, Nara B.,</v>
      </c>
      <c r="F1498" t="str">
        <f>"267 p."</f>
        <v>267 p.</v>
      </c>
      <c r="G1498" s="1">
        <v>19</v>
      </c>
      <c r="H1498">
        <v>2019</v>
      </c>
      <c r="I1498" t="str">
        <f t="shared" si="55"/>
        <v>9: 300 - 399</v>
      </c>
      <c r="K1498" t="str">
        <f>"LL - In"</f>
        <v>LL - In</v>
      </c>
      <c r="L1498" s="1">
        <v>40</v>
      </c>
      <c r="M1498" t="s">
        <v>1407</v>
      </c>
      <c r="O1498" t="s">
        <v>28</v>
      </c>
      <c r="P1498">
        <v>2</v>
      </c>
      <c r="Q1498">
        <v>0</v>
      </c>
      <c r="R1498">
        <v>2</v>
      </c>
      <c r="S1498" s="2">
        <v>43682</v>
      </c>
      <c r="T1498" s="2">
        <v>43852</v>
      </c>
      <c r="U1498" s="2">
        <v>43829</v>
      </c>
    </row>
    <row r="1499" spans="1:22" x14ac:dyDescent="0.2">
      <c r="A1499" t="str">
        <f>"362.82 SNY"</f>
        <v>362.82 SNY</v>
      </c>
      <c r="B1499" t="str">
        <f>"No visible bruises: what we don't know a"</f>
        <v>No visible bruises: what we don't know a</v>
      </c>
      <c r="C1499">
        <v>354758</v>
      </c>
      <c r="D1499" t="str">
        <f>"Snyder, Rachel Louise"</f>
        <v>Snyder, Rachel Louise</v>
      </c>
      <c r="F1499" t="str">
        <f>"viii, 307 pages, 25 cm"</f>
        <v>viii, 307 pages, 25 cm</v>
      </c>
      <c r="G1499" s="1">
        <v>19</v>
      </c>
      <c r="H1499">
        <v>2019</v>
      </c>
      <c r="I1499" t="str">
        <f t="shared" si="55"/>
        <v>9: 300 - 399</v>
      </c>
      <c r="K1499" t="str">
        <f>"WB - In"</f>
        <v>WB - In</v>
      </c>
      <c r="L1499" s="1">
        <v>33</v>
      </c>
      <c r="M1499" t="s">
        <v>1408</v>
      </c>
      <c r="O1499" t="s">
        <v>28</v>
      </c>
      <c r="P1499">
        <v>1</v>
      </c>
      <c r="Q1499">
        <v>1</v>
      </c>
      <c r="R1499">
        <v>2</v>
      </c>
      <c r="S1499" s="2">
        <v>43602</v>
      </c>
      <c r="T1499" s="2">
        <v>43768</v>
      </c>
      <c r="U1499" s="2">
        <v>43738</v>
      </c>
      <c r="V1499" s="2">
        <v>43639</v>
      </c>
    </row>
    <row r="1500" spans="1:22" x14ac:dyDescent="0.2">
      <c r="A1500" t="str">
        <f>"362.87 DIS"</f>
        <v>362.87 DIS</v>
      </c>
      <c r="B1500" t="str">
        <f>"displaced: refugee writers on refugee li"</f>
        <v>displaced: refugee writers on refugee li</v>
      </c>
      <c r="C1500">
        <v>400329</v>
      </c>
      <c r="F1500" t="str">
        <f>"190 pages, 22 cm, illustrations"</f>
        <v>190 pages, 22 cm, illustrations</v>
      </c>
      <c r="G1500" s="1">
        <v>18</v>
      </c>
      <c r="H1500">
        <v>2018</v>
      </c>
      <c r="I1500" t="str">
        <f t="shared" si="55"/>
        <v>9: 300 - 399</v>
      </c>
      <c r="K1500" t="str">
        <f>"LL - In"</f>
        <v>LL - In</v>
      </c>
      <c r="L1500" s="1">
        <v>30</v>
      </c>
      <c r="M1500" t="s">
        <v>1409</v>
      </c>
      <c r="O1500" t="s">
        <v>28</v>
      </c>
      <c r="P1500">
        <v>7</v>
      </c>
      <c r="Q1500">
        <v>2</v>
      </c>
      <c r="R1500">
        <v>9</v>
      </c>
      <c r="S1500" s="2">
        <v>43207</v>
      </c>
      <c r="T1500" s="2">
        <v>43405</v>
      </c>
      <c r="U1500" s="2">
        <v>43361</v>
      </c>
      <c r="V1500" s="2">
        <v>43405</v>
      </c>
    </row>
    <row r="1501" spans="1:22" x14ac:dyDescent="0.2">
      <c r="A1501" t="str">
        <f>"362.9 KRI"</f>
        <v>362.9 KRI</v>
      </c>
      <c r="B1501" t="str">
        <f>"Half the sky: turning oppression to oppo"</f>
        <v>Half the sky: turning oppression to oppo</v>
      </c>
      <c r="C1501">
        <v>138739</v>
      </c>
      <c r="D1501" t="str">
        <f>"Kristof, Nicholas D.,"</f>
        <v>Kristof, Nicholas D.,</v>
      </c>
      <c r="F1501" t="str">
        <f>"294 p."</f>
        <v>294 p.</v>
      </c>
      <c r="G1501" s="1">
        <v>9</v>
      </c>
      <c r="H1501">
        <v>2009</v>
      </c>
      <c r="I1501" t="str">
        <f t="shared" si="55"/>
        <v>9: 300 - 399</v>
      </c>
      <c r="K1501" t="str">
        <f>"LL - In"</f>
        <v>LL - In</v>
      </c>
      <c r="L1501" s="1">
        <v>33</v>
      </c>
      <c r="M1501" t="s">
        <v>1410</v>
      </c>
      <c r="O1501" t="s">
        <v>28</v>
      </c>
      <c r="P1501">
        <v>4</v>
      </c>
      <c r="Q1501">
        <v>0</v>
      </c>
      <c r="R1501">
        <v>49</v>
      </c>
      <c r="S1501" s="2">
        <v>40072</v>
      </c>
      <c r="T1501" s="2">
        <v>41053</v>
      </c>
      <c r="U1501" s="2">
        <v>43564</v>
      </c>
      <c r="V1501" s="2">
        <v>42035</v>
      </c>
    </row>
    <row r="1502" spans="1:22" x14ac:dyDescent="0.2">
      <c r="A1502" t="str">
        <f>"363.12 CAS"</f>
        <v>363.12 CAS</v>
      </c>
      <c r="B1502" t="str">
        <f>"TWA 800: the crash, the cover-up, and th"</f>
        <v>TWA 800: the crash, the cover-up, and th</v>
      </c>
      <c r="C1502">
        <v>336372</v>
      </c>
      <c r="D1502" t="str">
        <f>"Cashill, Jack."</f>
        <v>Cashill, Jack.</v>
      </c>
      <c r="F1502" t="str">
        <f>"257 p."</f>
        <v>257 p.</v>
      </c>
      <c r="G1502" s="1">
        <v>16</v>
      </c>
      <c r="H1502">
        <v>2016</v>
      </c>
      <c r="I1502" t="str">
        <f t="shared" si="55"/>
        <v>9: 300 - 399</v>
      </c>
      <c r="K1502" t="str">
        <f>"WB - In"</f>
        <v>WB - In</v>
      </c>
      <c r="L1502" s="1">
        <v>34</v>
      </c>
      <c r="M1502" t="s">
        <v>1411</v>
      </c>
      <c r="O1502" t="s">
        <v>28</v>
      </c>
      <c r="P1502">
        <v>2</v>
      </c>
      <c r="Q1502">
        <v>1</v>
      </c>
      <c r="R1502">
        <v>11</v>
      </c>
      <c r="S1502" s="2">
        <v>42576</v>
      </c>
      <c r="T1502" s="2">
        <v>42795</v>
      </c>
      <c r="U1502" s="2">
        <v>43617</v>
      </c>
      <c r="V1502" s="2">
        <v>42783</v>
      </c>
    </row>
    <row r="1503" spans="1:22" x14ac:dyDescent="0.2">
      <c r="A1503" t="str">
        <f>"363.12 LEI"</f>
        <v>363.12 LEI</v>
      </c>
      <c r="B1503" t="str">
        <f>"Bringing Columbia home: the untold story"</f>
        <v>Bringing Columbia home: the untold story</v>
      </c>
      <c r="C1503">
        <v>346482</v>
      </c>
      <c r="D1503" t="str">
        <f>"Leinbach, Michael D."</f>
        <v>Leinbach, Michael D.</v>
      </c>
      <c r="F1503" t="str">
        <f>"xii, 356 pages, 24 cm, illustrations (chiefly color), color maps"</f>
        <v>xii, 356 pages, 24 cm, illustrations (chiefly color), color maps</v>
      </c>
      <c r="G1503" s="1">
        <v>18</v>
      </c>
      <c r="H1503">
        <v>2018</v>
      </c>
      <c r="I1503" t="str">
        <f t="shared" si="55"/>
        <v>9: 300 - 399</v>
      </c>
      <c r="K1503" t="str">
        <f>"LL - In"</f>
        <v>LL - In</v>
      </c>
      <c r="L1503" s="1">
        <v>31</v>
      </c>
      <c r="M1503" t="s">
        <v>1412</v>
      </c>
      <c r="O1503" t="s">
        <v>28</v>
      </c>
      <c r="P1503">
        <v>6</v>
      </c>
      <c r="Q1503">
        <v>2</v>
      </c>
      <c r="R1503">
        <v>8</v>
      </c>
      <c r="S1503" s="2">
        <v>43164</v>
      </c>
      <c r="T1503" s="2">
        <v>43360</v>
      </c>
      <c r="U1503" s="2">
        <v>43308</v>
      </c>
      <c r="V1503" s="2">
        <v>43295</v>
      </c>
    </row>
    <row r="1504" spans="1:22" x14ac:dyDescent="0.2">
      <c r="A1504" t="str">
        <f>"363.12 NEG"</f>
        <v>363.12 NEG</v>
      </c>
      <c r="B1504" t="str">
        <f>"crash detectives: investigating the worl"</f>
        <v>crash detectives: investigating the worl</v>
      </c>
      <c r="C1504">
        <v>337884</v>
      </c>
      <c r="D1504" t="str">
        <f>"Negroni, Christine"</f>
        <v>Negroni, Christine</v>
      </c>
      <c r="F1504" t="str">
        <f>"xi, 276 pages, 16 unnumbered pages of plates, 22 cm, illustrations"</f>
        <v>xi, 276 pages, 16 unnumbered pages of plates, 22 cm, illustrations</v>
      </c>
      <c r="G1504" s="1">
        <v>16</v>
      </c>
      <c r="H1504">
        <v>2016</v>
      </c>
      <c r="I1504" t="str">
        <f t="shared" si="55"/>
        <v>9: 300 - 399</v>
      </c>
      <c r="K1504" t="str">
        <f>"WB - In"</f>
        <v>WB - In</v>
      </c>
      <c r="L1504" s="1">
        <v>22</v>
      </c>
      <c r="M1504" t="s">
        <v>1413</v>
      </c>
      <c r="O1504" t="s">
        <v>28</v>
      </c>
      <c r="P1504">
        <v>6</v>
      </c>
      <c r="Q1504">
        <v>0</v>
      </c>
      <c r="R1504">
        <v>10</v>
      </c>
      <c r="S1504" s="2">
        <v>42661</v>
      </c>
      <c r="T1504" s="2">
        <v>42893</v>
      </c>
      <c r="U1504" s="2">
        <v>42858</v>
      </c>
    </row>
    <row r="1505" spans="1:22" x14ac:dyDescent="0.2">
      <c r="A1505" t="str">
        <f>"363.13 BRO"</f>
        <v>363.13 BRO</v>
      </c>
      <c r="B1505" t="str">
        <f>"unexplained death: the true story of a b"</f>
        <v>unexplained death: the true story of a b</v>
      </c>
      <c r="C1505">
        <v>351562</v>
      </c>
      <c r="D1505" t="str">
        <f>"Brottman, Mikita,"</f>
        <v>Brottman, Mikita,</v>
      </c>
      <c r="F1505" t="str">
        <f>"269 pages, 22 cm, illustrations"</f>
        <v>269 pages, 22 cm, illustrations</v>
      </c>
      <c r="G1505" s="1">
        <v>18</v>
      </c>
      <c r="H1505">
        <v>2018</v>
      </c>
      <c r="I1505" t="str">
        <f t="shared" si="55"/>
        <v>9: 300 - 399</v>
      </c>
      <c r="K1505" t="str">
        <f>"WB - In"</f>
        <v>WB - In</v>
      </c>
      <c r="L1505" s="1">
        <v>33</v>
      </c>
      <c r="M1505" t="s">
        <v>1414</v>
      </c>
      <c r="O1505" t="s">
        <v>28</v>
      </c>
      <c r="P1505">
        <v>9</v>
      </c>
      <c r="Q1505">
        <v>1</v>
      </c>
      <c r="R1505">
        <v>10</v>
      </c>
      <c r="S1505" s="2">
        <v>43431</v>
      </c>
      <c r="T1505" s="2">
        <v>43621</v>
      </c>
      <c r="U1505" s="2">
        <v>43588</v>
      </c>
      <c r="V1505" s="2">
        <v>43622</v>
      </c>
    </row>
    <row r="1506" spans="1:22" x14ac:dyDescent="0.2">
      <c r="A1506" t="str">
        <f>"363.17 ALE"</f>
        <v>363.17 ALE</v>
      </c>
      <c r="B1506" t="str">
        <f>"Voices from Chernobyl: the oral history "</f>
        <v xml:space="preserve">Voices from Chernobyl: the oral history </v>
      </c>
      <c r="C1506">
        <v>331286</v>
      </c>
      <c r="D1506" t="str">
        <f>"Aleksievich, Svetlana."</f>
        <v>Aleksievich, Svetlana.</v>
      </c>
      <c r="F1506" t="str">
        <f>"xiii, 236 p., 22 cm"</f>
        <v>xiii, 236 p., 22 cm</v>
      </c>
      <c r="G1506" s="1">
        <v>15</v>
      </c>
      <c r="H1506">
        <v>2006</v>
      </c>
      <c r="I1506" t="str">
        <f t="shared" si="55"/>
        <v>9: 300 - 399</v>
      </c>
      <c r="K1506" t="str">
        <f>"WB - In"</f>
        <v>WB - In</v>
      </c>
      <c r="L1506" s="1">
        <v>21</v>
      </c>
      <c r="M1506" t="s">
        <v>1415</v>
      </c>
      <c r="O1506" t="s">
        <v>28</v>
      </c>
      <c r="P1506">
        <v>10</v>
      </c>
      <c r="Q1506">
        <v>0</v>
      </c>
      <c r="R1506">
        <v>24</v>
      </c>
      <c r="S1506" s="2">
        <v>42318</v>
      </c>
      <c r="T1506" s="2">
        <v>42558</v>
      </c>
      <c r="U1506" s="2">
        <v>43653</v>
      </c>
    </row>
    <row r="1507" spans="1:22" x14ac:dyDescent="0.2">
      <c r="A1507" t="str">
        <f>"363.17 HIG"</f>
        <v>363.17 HIG</v>
      </c>
      <c r="B1507" t="str">
        <f>"Midnight in Chernobyl: the untold story "</f>
        <v xml:space="preserve">Midnight in Chernobyl: the untold story </v>
      </c>
      <c r="C1507">
        <v>352798</v>
      </c>
      <c r="D1507" t="str">
        <f>"Higginbotham, Adam."</f>
        <v>Higginbotham, Adam.</v>
      </c>
      <c r="F1507" t="str">
        <f>"386 p."</f>
        <v>386 p.</v>
      </c>
      <c r="G1507" s="1">
        <v>19</v>
      </c>
      <c r="H1507">
        <v>2019</v>
      </c>
      <c r="I1507" t="str">
        <f t="shared" si="55"/>
        <v>9: 300 - 399</v>
      </c>
      <c r="K1507" t="str">
        <f>"WB - Out"</f>
        <v>WB - Out</v>
      </c>
      <c r="L1507" s="1">
        <v>35</v>
      </c>
      <c r="M1507" t="s">
        <v>1416</v>
      </c>
      <c r="O1507" t="s">
        <v>28</v>
      </c>
      <c r="P1507">
        <v>11</v>
      </c>
      <c r="Q1507">
        <v>0</v>
      </c>
      <c r="R1507">
        <v>11</v>
      </c>
      <c r="S1507" s="2">
        <v>43507</v>
      </c>
      <c r="T1507" s="2">
        <v>43670</v>
      </c>
      <c r="U1507" s="2">
        <v>43855</v>
      </c>
    </row>
    <row r="1508" spans="1:22" x14ac:dyDescent="0.2">
      <c r="A1508" t="str">
        <f>"363.17 MOO"</f>
        <v>363.17 MOO</v>
      </c>
      <c r="B1508" t="str">
        <f>"radium girls: the dark story of America'"</f>
        <v>radium girls: the dark story of America'</v>
      </c>
      <c r="C1508">
        <v>341398</v>
      </c>
      <c r="D1508" t="str">
        <f>"Moore, Kate"</f>
        <v>Moore, Kate</v>
      </c>
      <c r="F1508" t="str">
        <f>"xvi, 479 pages, 24 cm, illustrations"</f>
        <v>xvi, 479 pages, 24 cm, illustrations</v>
      </c>
      <c r="G1508" s="1">
        <v>17</v>
      </c>
      <c r="H1508">
        <v>2017</v>
      </c>
      <c r="I1508" t="str">
        <f t="shared" si="55"/>
        <v>9: 300 - 399</v>
      </c>
      <c r="K1508" t="str">
        <f>"LL - In"</f>
        <v>LL - In</v>
      </c>
      <c r="L1508" s="1">
        <v>32</v>
      </c>
      <c r="M1508" t="s">
        <v>1417</v>
      </c>
      <c r="O1508" t="s">
        <v>28</v>
      </c>
      <c r="P1508">
        <v>23</v>
      </c>
      <c r="Q1508">
        <v>1</v>
      </c>
      <c r="R1508">
        <v>24</v>
      </c>
      <c r="S1508" s="2">
        <v>42870</v>
      </c>
      <c r="T1508" s="2">
        <v>43066</v>
      </c>
      <c r="U1508" s="2">
        <v>43445</v>
      </c>
      <c r="V1508" s="2">
        <v>43306</v>
      </c>
    </row>
    <row r="1509" spans="1:22" x14ac:dyDescent="0.2">
      <c r="A1509" t="str">
        <f>"363.17 MOO"</f>
        <v>363.17 MOO</v>
      </c>
      <c r="B1509" t="str">
        <f>"radium girls: the dark story of America'"</f>
        <v>radium girls: the dark story of America'</v>
      </c>
      <c r="C1509">
        <v>356146</v>
      </c>
      <c r="D1509" t="str">
        <f>"Moore, Kate"</f>
        <v>Moore, Kate</v>
      </c>
      <c r="F1509" t="str">
        <f>"xvi, 479 pages, 24 cm, illustrations"</f>
        <v>xvi, 479 pages, 24 cm, illustrations</v>
      </c>
      <c r="G1509" s="1">
        <v>19</v>
      </c>
      <c r="H1509">
        <v>2017</v>
      </c>
      <c r="I1509" t="str">
        <f t="shared" si="55"/>
        <v>9: 300 - 399</v>
      </c>
      <c r="K1509" t="str">
        <f t="shared" ref="K1509:K1516" si="57">"WB - In"</f>
        <v>WB - In</v>
      </c>
      <c r="L1509" s="1">
        <v>23</v>
      </c>
      <c r="M1509" t="s">
        <v>1417</v>
      </c>
      <c r="O1509" t="s">
        <v>28</v>
      </c>
      <c r="P1509">
        <v>2</v>
      </c>
      <c r="Q1509">
        <v>0</v>
      </c>
      <c r="R1509">
        <v>2</v>
      </c>
      <c r="S1509" s="2">
        <v>43655</v>
      </c>
      <c r="T1509" s="2">
        <v>43665</v>
      </c>
      <c r="U1509" s="2">
        <v>43782</v>
      </c>
    </row>
    <row r="1510" spans="1:22" x14ac:dyDescent="0.2">
      <c r="A1510" t="str">
        <f>"363.17 PLO"</f>
        <v>363.17 PLO</v>
      </c>
      <c r="B1510" t="str">
        <f>"Chernobyl: the history of a nuclear cata"</f>
        <v>Chernobyl: the history of a nuclear cata</v>
      </c>
      <c r="C1510">
        <v>347879</v>
      </c>
      <c r="D1510" t="str">
        <f>"Plokhy, Serhii,"</f>
        <v>Plokhy, Serhii,</v>
      </c>
      <c r="F1510" t="str">
        <f>"404 p."</f>
        <v>404 p.</v>
      </c>
      <c r="G1510" s="1">
        <v>18</v>
      </c>
      <c r="H1510">
        <v>2018</v>
      </c>
      <c r="I1510" t="str">
        <f t="shared" si="55"/>
        <v>9: 300 - 399</v>
      </c>
      <c r="K1510" t="str">
        <f t="shared" si="57"/>
        <v>WB - In</v>
      </c>
      <c r="L1510" s="1">
        <v>37</v>
      </c>
      <c r="M1510" t="s">
        <v>1418</v>
      </c>
      <c r="O1510" t="s">
        <v>28</v>
      </c>
      <c r="P1510">
        <v>7</v>
      </c>
      <c r="Q1510">
        <v>1</v>
      </c>
      <c r="R1510">
        <v>8</v>
      </c>
      <c r="S1510" s="2">
        <v>43249</v>
      </c>
      <c r="T1510" s="2">
        <v>43396</v>
      </c>
      <c r="U1510" s="2">
        <v>43668</v>
      </c>
      <c r="V1510" s="2">
        <v>43396</v>
      </c>
    </row>
    <row r="1511" spans="1:22" x14ac:dyDescent="0.2">
      <c r="A1511" t="str">
        <f>"363.2 BAL"</f>
        <v>363.2 BAL</v>
      </c>
      <c r="B1511" t="str">
        <f>"Rise of the warrior cop: the militarizat"</f>
        <v>Rise of the warrior cop: the militarizat</v>
      </c>
      <c r="C1511">
        <v>328197</v>
      </c>
      <c r="D1511" t="str">
        <f>"Balko, Radley."</f>
        <v>Balko, Radley.</v>
      </c>
      <c r="F1511" t="str">
        <f>"xvi, 382 pages, 25 cm"</f>
        <v>xvi, 382 pages, 25 cm</v>
      </c>
      <c r="G1511" s="1">
        <v>15</v>
      </c>
      <c r="H1511">
        <v>2013</v>
      </c>
      <c r="I1511" t="str">
        <f t="shared" si="55"/>
        <v>9: 300 - 399</v>
      </c>
      <c r="K1511" t="str">
        <f t="shared" si="57"/>
        <v>WB - In</v>
      </c>
      <c r="L1511" s="1">
        <v>23</v>
      </c>
      <c r="M1511" t="s">
        <v>1419</v>
      </c>
      <c r="O1511" t="s">
        <v>28</v>
      </c>
      <c r="P1511">
        <v>1</v>
      </c>
      <c r="Q1511">
        <v>0</v>
      </c>
      <c r="R1511">
        <v>1</v>
      </c>
      <c r="S1511" s="2">
        <v>42180</v>
      </c>
      <c r="T1511" s="2">
        <v>42186</v>
      </c>
      <c r="U1511" s="2">
        <v>43694</v>
      </c>
    </row>
    <row r="1512" spans="1:22" x14ac:dyDescent="0.2">
      <c r="A1512" t="str">
        <f>"363.2 HAY"</f>
        <v>363.2 HAY</v>
      </c>
      <c r="B1512" t="str">
        <f>"colony in a nation"</f>
        <v>colony in a nation</v>
      </c>
      <c r="C1512">
        <v>340559</v>
      </c>
      <c r="D1512" t="str">
        <f>"Hayes, Christopher,"</f>
        <v>Hayes, Christopher,</v>
      </c>
      <c r="F1512" t="str">
        <f>"256 pages, 25 cm"</f>
        <v>256 pages, 25 cm</v>
      </c>
      <c r="G1512" s="1">
        <v>17</v>
      </c>
      <c r="H1512">
        <v>2017</v>
      </c>
      <c r="I1512" t="str">
        <f t="shared" si="55"/>
        <v>9: 300 - 399</v>
      </c>
      <c r="K1512" t="str">
        <f t="shared" si="57"/>
        <v>WB - In</v>
      </c>
      <c r="L1512" s="1">
        <v>32</v>
      </c>
      <c r="M1512" t="s">
        <v>1420</v>
      </c>
      <c r="O1512" t="s">
        <v>28</v>
      </c>
      <c r="P1512">
        <v>6</v>
      </c>
      <c r="Q1512">
        <v>0</v>
      </c>
      <c r="R1512">
        <v>6</v>
      </c>
      <c r="S1512" s="2">
        <v>42828</v>
      </c>
      <c r="T1512" s="2">
        <v>42998</v>
      </c>
      <c r="U1512" s="2">
        <v>43049</v>
      </c>
    </row>
    <row r="1513" spans="1:22" x14ac:dyDescent="0.2">
      <c r="A1513" t="str">
        <f>"363.2 MAC"</f>
        <v>363.2 MAC</v>
      </c>
      <c r="B1513" t="str">
        <f>"war on cops: how the new attack on law a"</f>
        <v>war on cops: how the new attack on law a</v>
      </c>
      <c r="C1513">
        <v>336671</v>
      </c>
      <c r="D1513" t="str">
        <f>"Mac Donald, Heather"</f>
        <v>Mac Donald, Heather</v>
      </c>
      <c r="F1513" t="str">
        <f>"iv, 242 pages, 24 cm"</f>
        <v>iv, 242 pages, 24 cm</v>
      </c>
      <c r="G1513" s="1">
        <v>16</v>
      </c>
      <c r="H1513">
        <v>2016</v>
      </c>
      <c r="I1513" t="str">
        <f t="shared" si="55"/>
        <v>9: 300 - 399</v>
      </c>
      <c r="K1513" t="str">
        <f t="shared" si="57"/>
        <v>WB - In</v>
      </c>
      <c r="L1513" s="1">
        <v>29</v>
      </c>
      <c r="M1513" t="s">
        <v>1421</v>
      </c>
      <c r="O1513" t="s">
        <v>28</v>
      </c>
      <c r="P1513">
        <v>4</v>
      </c>
      <c r="Q1513">
        <v>0</v>
      </c>
      <c r="R1513">
        <v>14</v>
      </c>
      <c r="S1513" s="2">
        <v>42590</v>
      </c>
      <c r="T1513" s="2">
        <v>42767</v>
      </c>
      <c r="U1513" s="2">
        <v>43706</v>
      </c>
      <c r="V1513" s="2">
        <v>42739</v>
      </c>
    </row>
    <row r="1514" spans="1:22" x14ac:dyDescent="0.2">
      <c r="A1514" t="str">
        <f>"363.2 SPE"</f>
        <v>363.2 SPE</v>
      </c>
      <c r="B1514" t="str">
        <f>"Police state: how America's cops get awa"</f>
        <v>Police state: how America's cops get awa</v>
      </c>
      <c r="C1514">
        <v>330034</v>
      </c>
      <c r="D1514" t="str">
        <f>"Spence, Gerry,"</f>
        <v>Spence, Gerry,</v>
      </c>
      <c r="F1514" t="str">
        <f>"338 pages, 25 cm"</f>
        <v>338 pages, 25 cm</v>
      </c>
      <c r="G1514" s="1">
        <v>15</v>
      </c>
      <c r="H1514">
        <v>2015</v>
      </c>
      <c r="I1514" t="str">
        <f t="shared" si="55"/>
        <v>9: 300 - 399</v>
      </c>
      <c r="K1514" t="str">
        <f t="shared" si="57"/>
        <v>WB - In</v>
      </c>
      <c r="L1514" s="1">
        <v>34</v>
      </c>
      <c r="M1514" t="s">
        <v>1422</v>
      </c>
      <c r="O1514" t="s">
        <v>28</v>
      </c>
      <c r="P1514">
        <v>0</v>
      </c>
      <c r="Q1514">
        <v>0</v>
      </c>
      <c r="R1514">
        <v>7</v>
      </c>
      <c r="S1514" s="2">
        <v>42266</v>
      </c>
      <c r="T1514" s="2">
        <v>42458</v>
      </c>
      <c r="U1514" s="2">
        <v>42414</v>
      </c>
    </row>
    <row r="1515" spans="1:22" x14ac:dyDescent="0.2">
      <c r="A1515" t="str">
        <f>"363.2 STA"</f>
        <v>363.2 STA</v>
      </c>
      <c r="B1515" t="str">
        <f>"To protect and serve: how to fix America"</f>
        <v>To protect and serve: how to fix America</v>
      </c>
      <c r="C1515">
        <v>336903</v>
      </c>
      <c r="D1515" t="str">
        <f>"Stamper, Norm"</f>
        <v>Stamper, Norm</v>
      </c>
      <c r="F1515" t="str">
        <f>"xx, 309 pages, 25 cm, illustrations"</f>
        <v>xx, 309 pages, 25 cm, illustrations</v>
      </c>
      <c r="G1515" s="1">
        <v>16</v>
      </c>
      <c r="H1515">
        <v>2016</v>
      </c>
      <c r="I1515" t="str">
        <f t="shared" si="55"/>
        <v>9: 300 - 399</v>
      </c>
      <c r="K1515" t="str">
        <f t="shared" si="57"/>
        <v>WB - In</v>
      </c>
      <c r="L1515" s="1">
        <v>33</v>
      </c>
      <c r="M1515" t="s">
        <v>1423</v>
      </c>
      <c r="O1515" t="s">
        <v>28</v>
      </c>
      <c r="P1515">
        <v>0</v>
      </c>
      <c r="Q1515">
        <v>0</v>
      </c>
      <c r="R1515">
        <v>2</v>
      </c>
      <c r="S1515" s="2">
        <v>42600</v>
      </c>
      <c r="T1515" s="2">
        <v>42732</v>
      </c>
      <c r="U1515" s="2">
        <v>42672</v>
      </c>
    </row>
    <row r="1516" spans="1:22" x14ac:dyDescent="0.2">
      <c r="A1516" t="str">
        <f>"363.2 STR"</f>
        <v>363.2 STR</v>
      </c>
      <c r="B1516" t="str">
        <f>"Thin blue lie: the failure of high-tech "</f>
        <v xml:space="preserve">Thin blue lie: the failure of high-tech </v>
      </c>
      <c r="C1516">
        <v>359886</v>
      </c>
      <c r="D1516" t="str">
        <f>"Stroud, Matt"</f>
        <v>Stroud, Matt</v>
      </c>
      <c r="F1516" t="str">
        <f>"pages cm"</f>
        <v>pages cm</v>
      </c>
      <c r="G1516" s="1">
        <v>19</v>
      </c>
      <c r="H1516">
        <v>2018</v>
      </c>
      <c r="I1516" t="str">
        <f t="shared" si="55"/>
        <v>9: 300 - 399</v>
      </c>
      <c r="K1516" t="str">
        <f t="shared" si="57"/>
        <v>WB - In</v>
      </c>
      <c r="L1516" s="1">
        <v>33</v>
      </c>
      <c r="M1516" t="s">
        <v>1424</v>
      </c>
      <c r="O1516" t="s">
        <v>28</v>
      </c>
      <c r="P1516">
        <v>0</v>
      </c>
      <c r="Q1516">
        <v>0</v>
      </c>
      <c r="R1516">
        <v>0</v>
      </c>
      <c r="S1516" s="2">
        <v>43815</v>
      </c>
      <c r="T1516" s="2">
        <v>43819</v>
      </c>
    </row>
    <row r="1517" spans="1:22" x14ac:dyDescent="0.2">
      <c r="A1517" t="str">
        <f>"363.2 TUC"</f>
        <v>363.2 TUC</v>
      </c>
      <c r="B1517" t="str">
        <f>"City of light, city of poison: murder, m"</f>
        <v>City of light, city of poison: murder, m</v>
      </c>
      <c r="C1517">
        <v>341344</v>
      </c>
      <c r="D1517" t="str">
        <f>"Tucker, Holly"</f>
        <v>Tucker, Holly</v>
      </c>
      <c r="F1517" t="str">
        <f>"xxiii, 310 pages, 16 pages of unnumbered plates, 25 cm, illustrations, map"</f>
        <v>xxiii, 310 pages, 16 pages of unnumbered plates, 25 cm, illustrations, map</v>
      </c>
      <c r="G1517" s="1">
        <v>17</v>
      </c>
      <c r="H1517">
        <v>2017</v>
      </c>
      <c r="I1517" t="str">
        <f t="shared" si="55"/>
        <v>9: 300 - 399</v>
      </c>
      <c r="K1517" t="str">
        <f>"LL - In"</f>
        <v>LL - In</v>
      </c>
      <c r="L1517" s="1">
        <v>32</v>
      </c>
      <c r="M1517" t="s">
        <v>1425</v>
      </c>
      <c r="O1517" t="s">
        <v>28</v>
      </c>
      <c r="P1517">
        <v>9</v>
      </c>
      <c r="Q1517">
        <v>0</v>
      </c>
      <c r="R1517">
        <v>9</v>
      </c>
      <c r="S1517" s="2">
        <v>42873</v>
      </c>
      <c r="T1517" s="2">
        <v>43096</v>
      </c>
      <c r="U1517" s="2">
        <v>43708</v>
      </c>
    </row>
    <row r="1518" spans="1:22" x14ac:dyDescent="0.2">
      <c r="A1518" t="str">
        <f>"363.2 VIT"</f>
        <v>363.2 VIT</v>
      </c>
      <c r="B1518" t="str">
        <f>"end of policing"</f>
        <v>end of policing</v>
      </c>
      <c r="C1518">
        <v>348008</v>
      </c>
      <c r="D1518" t="str">
        <f>"Vitale, Alex S."</f>
        <v>Vitale, Alex S.</v>
      </c>
      <c r="F1518" t="str">
        <f>"266 pages, 22 cm"</f>
        <v>266 pages, 22 cm</v>
      </c>
      <c r="G1518" s="1">
        <v>18</v>
      </c>
      <c r="H1518">
        <v>2017</v>
      </c>
      <c r="I1518" t="str">
        <f t="shared" si="55"/>
        <v>9: 300 - 399</v>
      </c>
      <c r="K1518" t="str">
        <f>"WB - In"</f>
        <v>WB - In</v>
      </c>
      <c r="L1518" s="1">
        <v>32</v>
      </c>
      <c r="M1518" t="s">
        <v>1426</v>
      </c>
      <c r="O1518" t="s">
        <v>28</v>
      </c>
      <c r="P1518">
        <v>4</v>
      </c>
      <c r="Q1518">
        <v>2</v>
      </c>
      <c r="R1518">
        <v>6</v>
      </c>
      <c r="S1518" s="2">
        <v>43257</v>
      </c>
      <c r="T1518" s="2">
        <v>43432</v>
      </c>
      <c r="U1518" s="2">
        <v>43389</v>
      </c>
      <c r="V1518" s="2">
        <v>43431</v>
      </c>
    </row>
    <row r="1519" spans="1:22" x14ac:dyDescent="0.2">
      <c r="A1519" t="str">
        <f>"363.2 WIL"</f>
        <v>363.2 WIL</v>
      </c>
      <c r="B1519" t="str">
        <f>"good month for murder: the inside story "</f>
        <v xml:space="preserve">good month for murder: the inside story </v>
      </c>
      <c r="C1519">
        <v>336883</v>
      </c>
      <c r="D1519" t="str">
        <f>"Wilber, Del Quentin."</f>
        <v>Wilber, Del Quentin.</v>
      </c>
      <c r="F1519" t="str">
        <f>"273 pages, 25 cm, map"</f>
        <v>273 pages, 25 cm, map</v>
      </c>
      <c r="G1519" s="1">
        <v>16</v>
      </c>
      <c r="H1519">
        <v>2016</v>
      </c>
      <c r="I1519" t="str">
        <f t="shared" si="55"/>
        <v>9: 300 - 399</v>
      </c>
      <c r="K1519" t="str">
        <f>"WB - In"</f>
        <v>WB - In</v>
      </c>
      <c r="L1519" s="1">
        <v>35</v>
      </c>
      <c r="M1519" t="s">
        <v>1427</v>
      </c>
      <c r="O1519" t="s">
        <v>28</v>
      </c>
      <c r="P1519">
        <v>1</v>
      </c>
      <c r="Q1519">
        <v>0</v>
      </c>
      <c r="R1519">
        <v>6</v>
      </c>
      <c r="S1519" s="2">
        <v>42600</v>
      </c>
      <c r="T1519" s="2">
        <v>42788</v>
      </c>
      <c r="U1519" s="2">
        <v>43295</v>
      </c>
    </row>
    <row r="1520" spans="1:22" x14ac:dyDescent="0.2">
      <c r="A1520" t="str">
        <f>"363.25 DOU"</f>
        <v>363.25 DOU</v>
      </c>
      <c r="B1520" t="str">
        <f>"killer across the table: unlocking the s"</f>
        <v>killer across the table: unlocking the s</v>
      </c>
      <c r="C1520">
        <v>356391</v>
      </c>
      <c r="D1520" t="str">
        <f>"Douglas, John E."</f>
        <v>Douglas, John E.</v>
      </c>
      <c r="F1520" t="str">
        <f>"340 pages, 24 cm"</f>
        <v>340 pages, 24 cm</v>
      </c>
      <c r="G1520" s="1">
        <v>19</v>
      </c>
      <c r="H1520">
        <v>2019</v>
      </c>
      <c r="I1520" t="str">
        <f t="shared" si="55"/>
        <v>9: 300 - 399</v>
      </c>
      <c r="K1520" t="str">
        <f>"LL - In"</f>
        <v>LL - In</v>
      </c>
      <c r="L1520" s="1">
        <v>32</v>
      </c>
      <c r="M1520" t="s">
        <v>1428</v>
      </c>
      <c r="O1520" t="s">
        <v>28</v>
      </c>
      <c r="P1520">
        <v>8</v>
      </c>
      <c r="Q1520">
        <v>1</v>
      </c>
      <c r="R1520">
        <v>9</v>
      </c>
      <c r="S1520" s="2">
        <v>43671</v>
      </c>
      <c r="T1520" s="2">
        <v>43852</v>
      </c>
      <c r="U1520" s="2">
        <v>43803</v>
      </c>
      <c r="V1520" s="2">
        <v>43773</v>
      </c>
    </row>
    <row r="1521" spans="1:22" x14ac:dyDescent="0.2">
      <c r="A1521" t="str">
        <f>"363.25 DOU"</f>
        <v>363.25 DOU</v>
      </c>
      <c r="B1521" t="str">
        <f>"Mindhunter: inside the FBI's elite seria"</f>
        <v>Mindhunter: inside the FBI's elite seria</v>
      </c>
      <c r="C1521">
        <v>345019</v>
      </c>
      <c r="D1521" t="str">
        <f>"Douglas, John E."</f>
        <v>Douglas, John E.</v>
      </c>
      <c r="F1521" t="str">
        <f>"xxviii, 420 pages, 8 unnumbered pages of plates, 23 cm, illustraitons"</f>
        <v>xxviii, 420 pages, 8 unnumbered pages of plates, 23 cm, illustraitons</v>
      </c>
      <c r="G1521" s="1">
        <v>17</v>
      </c>
      <c r="H1521">
        <v>2017</v>
      </c>
      <c r="I1521" t="str">
        <f t="shared" si="55"/>
        <v>9: 300 - 399</v>
      </c>
      <c r="K1521" t="str">
        <f>"WB - In"</f>
        <v>WB - In</v>
      </c>
      <c r="L1521" s="1">
        <v>22</v>
      </c>
      <c r="M1521" t="s">
        <v>1429</v>
      </c>
      <c r="O1521" t="s">
        <v>28</v>
      </c>
      <c r="P1521">
        <v>4</v>
      </c>
      <c r="Q1521">
        <v>2</v>
      </c>
      <c r="R1521">
        <v>6</v>
      </c>
      <c r="S1521" s="2">
        <v>43073</v>
      </c>
      <c r="T1521" s="2">
        <v>43080</v>
      </c>
      <c r="U1521" s="2">
        <v>43803</v>
      </c>
      <c r="V1521" s="2">
        <v>43577</v>
      </c>
    </row>
    <row r="1522" spans="1:22" x14ac:dyDescent="0.2">
      <c r="A1522" t="str">
        <f>"363.25 DOU"</f>
        <v>363.25 DOU</v>
      </c>
      <c r="B1522" t="str">
        <f>"Mindhunter: inside the FBI's elite seria"</f>
        <v>Mindhunter: inside the FBI's elite seria</v>
      </c>
      <c r="C1522">
        <v>358326</v>
      </c>
      <c r="D1522" t="str">
        <f>"Douglas, John E."</f>
        <v>Douglas, John E.</v>
      </c>
      <c r="F1522" t="str">
        <f>"xxviii, 420 pages, 8 unnumbered pages of plates, 23 cm, illustraitons"</f>
        <v>xxviii, 420 pages, 8 unnumbered pages of plates, 23 cm, illustraitons</v>
      </c>
      <c r="G1522" s="1">
        <v>19</v>
      </c>
      <c r="H1522">
        <v>2017</v>
      </c>
      <c r="I1522" t="str">
        <f t="shared" si="55"/>
        <v>9: 300 - 399</v>
      </c>
      <c r="K1522" t="str">
        <f>"LL - In"</f>
        <v>LL - In</v>
      </c>
      <c r="L1522" s="1">
        <v>23</v>
      </c>
      <c r="M1522" t="s">
        <v>1429</v>
      </c>
      <c r="O1522" t="s">
        <v>28</v>
      </c>
      <c r="P1522">
        <v>2</v>
      </c>
      <c r="Q1522">
        <v>0</v>
      </c>
      <c r="R1522">
        <v>2</v>
      </c>
      <c r="S1522" s="2">
        <v>43749</v>
      </c>
      <c r="T1522" s="2">
        <v>43756</v>
      </c>
      <c r="U1522" s="2">
        <v>43817</v>
      </c>
    </row>
    <row r="1523" spans="1:22" x14ac:dyDescent="0.2">
      <c r="A1523" t="str">
        <f>"363.25 HAL"</f>
        <v>363.25 HAL</v>
      </c>
      <c r="B1523" t="str">
        <f>"skeleton crew: how amateur sleuths are s"</f>
        <v>skeleton crew: how amateur sleuths are s</v>
      </c>
      <c r="C1523">
        <v>282165</v>
      </c>
      <c r="D1523" t="str">
        <f>"Halber, Deborah."</f>
        <v>Halber, Deborah.</v>
      </c>
      <c r="F1523" t="str">
        <f>"285 p."</f>
        <v>285 p.</v>
      </c>
      <c r="G1523" s="1">
        <v>15</v>
      </c>
      <c r="H1523">
        <v>2015</v>
      </c>
      <c r="I1523" t="str">
        <f t="shared" si="55"/>
        <v>9: 300 - 399</v>
      </c>
      <c r="K1523" t="str">
        <f>"WB - In"</f>
        <v>WB - In</v>
      </c>
      <c r="L1523" s="1">
        <v>21</v>
      </c>
      <c r="M1523" t="s">
        <v>1430</v>
      </c>
      <c r="O1523" t="s">
        <v>28</v>
      </c>
      <c r="P1523">
        <v>3</v>
      </c>
      <c r="Q1523">
        <v>1</v>
      </c>
      <c r="R1523">
        <v>14</v>
      </c>
      <c r="S1523" s="2">
        <v>42215</v>
      </c>
      <c r="T1523" s="2">
        <v>42457</v>
      </c>
      <c r="U1523" s="2">
        <v>43439</v>
      </c>
      <c r="V1523" s="2">
        <v>43609</v>
      </c>
    </row>
    <row r="1524" spans="1:22" x14ac:dyDescent="0.2">
      <c r="A1524" t="str">
        <f>"363.25 KES"</f>
        <v>363.25 KES</v>
      </c>
      <c r="B1524" t="str">
        <f>"secrets of the FBI"</f>
        <v>secrets of the FBI</v>
      </c>
      <c r="C1524">
        <v>301962</v>
      </c>
      <c r="D1524" t="str">
        <f>"Kessler, Ronald"</f>
        <v>Kessler, Ronald</v>
      </c>
      <c r="F1524" t="str">
        <f>"296 p."</f>
        <v>296 p.</v>
      </c>
      <c r="G1524" s="1">
        <v>11</v>
      </c>
      <c r="H1524">
        <v>2011</v>
      </c>
      <c r="I1524" t="str">
        <f t="shared" si="55"/>
        <v>9: 300 - 399</v>
      </c>
      <c r="K1524" t="str">
        <f>"LL - In"</f>
        <v>LL - In</v>
      </c>
      <c r="L1524" s="1">
        <v>31</v>
      </c>
      <c r="M1524" t="s">
        <v>1431</v>
      </c>
      <c r="O1524" t="s">
        <v>28</v>
      </c>
      <c r="P1524">
        <v>1</v>
      </c>
      <c r="Q1524">
        <v>0</v>
      </c>
      <c r="R1524">
        <v>13</v>
      </c>
      <c r="S1524" s="2">
        <v>40757</v>
      </c>
      <c r="T1524" s="2">
        <v>41053</v>
      </c>
      <c r="U1524" s="2">
        <v>42904</v>
      </c>
      <c r="V1524" s="2">
        <v>42568</v>
      </c>
    </row>
    <row r="1525" spans="1:22" x14ac:dyDescent="0.2">
      <c r="A1525" t="str">
        <f>"363.25 MCD"</f>
        <v>363.25 MCD</v>
      </c>
      <c r="B1525" t="str">
        <f>"Forensics: what bugs, burns, prints, DNA"</f>
        <v>Forensics: what bugs, burns, prints, DNA</v>
      </c>
      <c r="C1525">
        <v>292545</v>
      </c>
      <c r="D1525" t="str">
        <f>"McDermid, Val"</f>
        <v>McDermid, Val</v>
      </c>
      <c r="F1525" t="str">
        <f>"ix, 310 pages, 8 unnumbered pages of plates, 24 cm, illustrations (some color)"</f>
        <v>ix, 310 pages, 8 unnumbered pages of plates, 24 cm, illustrations (some color)</v>
      </c>
      <c r="G1525" s="1">
        <v>16</v>
      </c>
      <c r="H1525">
        <v>2015</v>
      </c>
      <c r="I1525" t="str">
        <f t="shared" si="55"/>
        <v>9: 300 - 399</v>
      </c>
      <c r="K1525" t="str">
        <f>"WB - In"</f>
        <v>WB - In</v>
      </c>
      <c r="L1525" s="1">
        <v>21</v>
      </c>
      <c r="M1525" t="s">
        <v>1432</v>
      </c>
      <c r="O1525" t="s">
        <v>28</v>
      </c>
      <c r="P1525">
        <v>2</v>
      </c>
      <c r="Q1525">
        <v>0</v>
      </c>
      <c r="R1525">
        <v>2</v>
      </c>
      <c r="S1525" s="2">
        <v>42726</v>
      </c>
      <c r="T1525" s="2">
        <v>42738</v>
      </c>
      <c r="U1525" s="2">
        <v>43822</v>
      </c>
    </row>
    <row r="1526" spans="1:22" x14ac:dyDescent="0.2">
      <c r="A1526" t="str">
        <f>"363.25 MUR"</f>
        <v>363.25 MUR</v>
      </c>
      <c r="B1526" t="str">
        <f>"Trails of evidence: how forensic s [DVD]"</f>
        <v>Trails of evidence: how forensic s [DVD]</v>
      </c>
      <c r="C1526">
        <v>259019</v>
      </c>
      <c r="D1526" t="str">
        <f>"Murray, Elizabeth A."</f>
        <v>Murray, Elizabeth A.</v>
      </c>
      <c r="E1526" t="str">
        <f>"Great Courses series"</f>
        <v>Great Courses series</v>
      </c>
      <c r="F1526" t="str">
        <f>"285 p."</f>
        <v>285 p.</v>
      </c>
      <c r="G1526" s="1">
        <v>12</v>
      </c>
      <c r="H1526">
        <v>2012</v>
      </c>
      <c r="I1526" t="str">
        <f t="shared" si="55"/>
        <v>9: 300 - 399</v>
      </c>
      <c r="K1526" t="str">
        <f>"LL - In"</f>
        <v>LL - In</v>
      </c>
      <c r="L1526" s="1">
        <v>8</v>
      </c>
      <c r="O1526" t="s">
        <v>28</v>
      </c>
      <c r="P1526">
        <v>0</v>
      </c>
      <c r="Q1526">
        <v>0</v>
      </c>
      <c r="R1526">
        <v>3</v>
      </c>
      <c r="S1526" s="2">
        <v>41110</v>
      </c>
      <c r="T1526" s="2">
        <v>41114</v>
      </c>
      <c r="U1526" s="2">
        <v>42156</v>
      </c>
      <c r="V1526" s="2">
        <v>42107</v>
      </c>
    </row>
    <row r="1527" spans="1:22" x14ac:dyDescent="0.2">
      <c r="A1527" t="str">
        <f>"363.25 WEI"</f>
        <v>363.25 WEI</v>
      </c>
      <c r="B1527" t="str">
        <f>"Enemies: the history of the FBI at war"</f>
        <v>Enemies: the history of the FBI at war</v>
      </c>
      <c r="C1527">
        <v>295627</v>
      </c>
      <c r="D1527" t="str">
        <f>"Weiner, Tim"</f>
        <v>Weiner, Tim</v>
      </c>
      <c r="F1527" t="str">
        <f>"448 p."</f>
        <v>448 p.</v>
      </c>
      <c r="G1527" s="1">
        <v>17</v>
      </c>
      <c r="H1527">
        <v>2012</v>
      </c>
      <c r="I1527" t="str">
        <f t="shared" si="55"/>
        <v>9: 300 - 399</v>
      </c>
      <c r="K1527" t="str">
        <f>"WB - In"</f>
        <v>WB - In</v>
      </c>
      <c r="L1527" s="1">
        <v>25</v>
      </c>
      <c r="M1527" t="s">
        <v>1433</v>
      </c>
      <c r="O1527" t="s">
        <v>28</v>
      </c>
      <c r="P1527">
        <v>1</v>
      </c>
      <c r="Q1527">
        <v>0</v>
      </c>
      <c r="R1527">
        <v>1</v>
      </c>
      <c r="S1527" s="2">
        <v>42907</v>
      </c>
      <c r="T1527" s="2">
        <v>42913</v>
      </c>
      <c r="U1527" s="2">
        <v>42914</v>
      </c>
    </row>
    <row r="1528" spans="1:22" x14ac:dyDescent="0.2">
      <c r="A1528" t="str">
        <f>"363.28 BYR"</f>
        <v>363.28 BYR</v>
      </c>
      <c r="B1528" t="str">
        <f>"Secrets of the Secret Service: the histo"</f>
        <v>Secrets of the Secret Service: the histo</v>
      </c>
      <c r="C1528">
        <v>345570</v>
      </c>
      <c r="D1528" t="str">
        <f>"Byrne, Gary J."</f>
        <v>Byrne, Gary J.</v>
      </c>
      <c r="F1528" t="str">
        <f>"295 pages, 24 cm"</f>
        <v>295 pages, 24 cm</v>
      </c>
      <c r="G1528" s="1">
        <v>18</v>
      </c>
      <c r="H1528">
        <v>2018</v>
      </c>
      <c r="I1528" t="str">
        <f t="shared" si="55"/>
        <v>9: 300 - 399</v>
      </c>
      <c r="K1528" t="str">
        <f>"LL - In"</f>
        <v>LL - In</v>
      </c>
      <c r="L1528" s="1">
        <v>32</v>
      </c>
      <c r="M1528" t="s">
        <v>1434</v>
      </c>
      <c r="O1528" t="s">
        <v>28</v>
      </c>
      <c r="P1528">
        <v>10</v>
      </c>
      <c r="Q1528">
        <v>2</v>
      </c>
      <c r="R1528">
        <v>12</v>
      </c>
      <c r="S1528" s="2">
        <v>43117</v>
      </c>
      <c r="T1528" s="2">
        <v>43304</v>
      </c>
      <c r="U1528" s="2">
        <v>43685</v>
      </c>
      <c r="V1528" s="2">
        <v>43304</v>
      </c>
    </row>
    <row r="1529" spans="1:22" x14ac:dyDescent="0.2">
      <c r="A1529" t="str">
        <f>"363.28 KES"</f>
        <v>363.28 KES</v>
      </c>
      <c r="B1529" t="str">
        <f>"In the president's secret service: behin"</f>
        <v>In the president's secret service: behin</v>
      </c>
      <c r="C1529">
        <v>138944</v>
      </c>
      <c r="D1529" t="str">
        <f>"Kessler, Ronald"</f>
        <v>Kessler, Ronald</v>
      </c>
      <c r="F1529" t="str">
        <f>"273 p., 24 cm., ill."</f>
        <v>273 p., 24 cm., ill.</v>
      </c>
      <c r="G1529" s="1">
        <v>9</v>
      </c>
      <c r="H1529">
        <v>2009</v>
      </c>
      <c r="I1529" t="str">
        <f t="shared" si="55"/>
        <v>9: 300 - 399</v>
      </c>
      <c r="K1529" t="str">
        <f>"WB - In"</f>
        <v>WB - In</v>
      </c>
      <c r="L1529" s="1">
        <v>31</v>
      </c>
      <c r="M1529" t="s">
        <v>1435</v>
      </c>
      <c r="O1529" t="s">
        <v>28</v>
      </c>
      <c r="P1529">
        <v>1</v>
      </c>
      <c r="Q1529">
        <v>0</v>
      </c>
      <c r="R1529">
        <v>30</v>
      </c>
      <c r="S1529" s="2">
        <v>40080</v>
      </c>
      <c r="T1529" s="2">
        <v>41053</v>
      </c>
      <c r="U1529" s="2">
        <v>43446</v>
      </c>
      <c r="V1529" s="2">
        <v>40330</v>
      </c>
    </row>
    <row r="1530" spans="1:22" x14ac:dyDescent="0.2">
      <c r="A1530" t="str">
        <f>"363.3 BER"</f>
        <v>363.3 BER</v>
      </c>
      <c r="B1530" t="str">
        <f>"Manhunt: the ten-year search for Bin Lad"</f>
        <v>Manhunt: the ten-year search for Bin Lad</v>
      </c>
      <c r="C1530">
        <v>307385</v>
      </c>
      <c r="D1530" t="str">
        <f>"Bergen, Peter L."</f>
        <v>Bergen, Peter L.</v>
      </c>
      <c r="F1530" t="str">
        <f>"359 p."</f>
        <v>359 p.</v>
      </c>
      <c r="G1530" s="1">
        <v>12</v>
      </c>
      <c r="H1530">
        <v>2012</v>
      </c>
      <c r="I1530" t="str">
        <f t="shared" si="55"/>
        <v>9: 300 - 399</v>
      </c>
      <c r="K1530" t="str">
        <f>"WB - Problem"</f>
        <v>WB - Problem</v>
      </c>
      <c r="L1530" s="1">
        <v>31</v>
      </c>
      <c r="M1530" t="s">
        <v>1436</v>
      </c>
      <c r="O1530" t="s">
        <v>28</v>
      </c>
      <c r="P1530">
        <v>1</v>
      </c>
      <c r="Q1530">
        <v>0</v>
      </c>
      <c r="R1530">
        <v>8</v>
      </c>
      <c r="S1530" s="2">
        <v>41037</v>
      </c>
      <c r="T1530" s="2">
        <v>41107</v>
      </c>
      <c r="U1530" s="2">
        <v>43704</v>
      </c>
      <c r="V1530" s="2">
        <v>41409</v>
      </c>
    </row>
    <row r="1531" spans="1:22" x14ac:dyDescent="0.2">
      <c r="A1531" t="str">
        <f>"363.3 BER"</f>
        <v>363.3 BER</v>
      </c>
      <c r="B1531" t="str">
        <f>"United States of Jihad: investigating Am"</f>
        <v>United States of Jihad: investigating Am</v>
      </c>
      <c r="C1531">
        <v>333433</v>
      </c>
      <c r="D1531" t="str">
        <f>"Bergen, Peter L."</f>
        <v>Bergen, Peter L.</v>
      </c>
      <c r="F1531" t="str">
        <f>"387 pages, 8 unnumbered pages of plates, 25 cm, color illustrations"</f>
        <v>387 pages, 8 unnumbered pages of plates, 25 cm, color illustrations</v>
      </c>
      <c r="G1531" s="1">
        <v>16</v>
      </c>
      <c r="H1531">
        <v>2016</v>
      </c>
      <c r="I1531" t="str">
        <f t="shared" si="55"/>
        <v>9: 300 - 399</v>
      </c>
      <c r="K1531" t="str">
        <f>"LL - In"</f>
        <v>LL - In</v>
      </c>
      <c r="L1531" s="1">
        <v>33</v>
      </c>
      <c r="M1531" t="s">
        <v>1437</v>
      </c>
      <c r="O1531" t="s">
        <v>28</v>
      </c>
      <c r="P1531">
        <v>0</v>
      </c>
      <c r="Q1531">
        <v>0</v>
      </c>
      <c r="R1531">
        <v>8</v>
      </c>
      <c r="S1531" s="2">
        <v>42424</v>
      </c>
      <c r="T1531" s="2">
        <v>42619</v>
      </c>
      <c r="U1531" s="2">
        <v>42759</v>
      </c>
    </row>
    <row r="1532" spans="1:22" x14ac:dyDescent="0.2">
      <c r="A1532" t="str">
        <f>"363.3 CLA"</f>
        <v>363.3 CLA</v>
      </c>
      <c r="B1532" t="str">
        <f>"fifth domain: defending our country, our"</f>
        <v>fifth domain: defending our country, our</v>
      </c>
      <c r="C1532">
        <v>356655</v>
      </c>
      <c r="D1532" t="str">
        <f>"Clarke, Richard A."</f>
        <v>Clarke, Richard A.</v>
      </c>
      <c r="F1532" t="str">
        <f>"344 pages, 25 cm"</f>
        <v>344 pages, 25 cm</v>
      </c>
      <c r="G1532" s="1">
        <v>19</v>
      </c>
      <c r="H1532">
        <v>2019</v>
      </c>
      <c r="I1532" t="str">
        <f t="shared" si="55"/>
        <v>9: 300 - 399</v>
      </c>
      <c r="K1532" t="str">
        <f>"LL - In"</f>
        <v>LL - In</v>
      </c>
      <c r="L1532" s="1">
        <v>35</v>
      </c>
      <c r="M1532" t="s">
        <v>1438</v>
      </c>
      <c r="O1532" t="s">
        <v>28</v>
      </c>
      <c r="P1532">
        <v>4</v>
      </c>
      <c r="Q1532">
        <v>0</v>
      </c>
      <c r="R1532">
        <v>4</v>
      </c>
      <c r="S1532" s="2">
        <v>43689</v>
      </c>
      <c r="T1532" s="2">
        <v>43852</v>
      </c>
      <c r="U1532" s="2">
        <v>43717</v>
      </c>
    </row>
    <row r="1533" spans="1:22" x14ac:dyDescent="0.2">
      <c r="A1533" t="str">
        <f>"363.3 DEA"</f>
        <v>363.3 DEA</v>
      </c>
      <c r="B1533" t="str">
        <f>"Nine lives: my time as MI6's top spy ins"</f>
        <v>Nine lives: my time as MI6's top spy ins</v>
      </c>
      <c r="C1533">
        <v>349454</v>
      </c>
      <c r="D1533" t="str">
        <f>"Dean, Aimen"</f>
        <v>Dean, Aimen</v>
      </c>
      <c r="F1533" t="str">
        <f>"xii, 467 pages, 25 cm, map"</f>
        <v>xii, 467 pages, 25 cm, map</v>
      </c>
      <c r="G1533" s="1">
        <v>18</v>
      </c>
      <c r="H1533">
        <v>2018</v>
      </c>
      <c r="I1533" t="str">
        <f t="shared" si="55"/>
        <v>9: 300 - 399</v>
      </c>
      <c r="K1533" t="str">
        <f t="shared" ref="K1533:K1538" si="58">"WB - In"</f>
        <v>WB - In</v>
      </c>
      <c r="L1533" s="1">
        <v>33</v>
      </c>
      <c r="M1533" t="s">
        <v>1439</v>
      </c>
      <c r="O1533" t="s">
        <v>28</v>
      </c>
      <c r="P1533">
        <v>5</v>
      </c>
      <c r="Q1533">
        <v>0</v>
      </c>
      <c r="R1533">
        <v>5</v>
      </c>
      <c r="S1533" s="2">
        <v>43333</v>
      </c>
      <c r="T1533" s="2">
        <v>43495</v>
      </c>
      <c r="U1533" s="2">
        <v>43483</v>
      </c>
    </row>
    <row r="1534" spans="1:22" x14ac:dyDescent="0.2">
      <c r="A1534" t="str">
        <f>"363.3 DUF"</f>
        <v>363.3 DUF</v>
      </c>
      <c r="B1534" t="str">
        <f>"watchdogs didn't bark: the CIA, NSA, and"</f>
        <v>watchdogs didn't bark: the CIA, NSA, and</v>
      </c>
      <c r="C1534">
        <v>354229</v>
      </c>
      <c r="D1534" t="str">
        <f>"Duffy, John"</f>
        <v>Duffy, John</v>
      </c>
      <c r="F1534" t="str">
        <f>"xxii, 301 pages, 24 cm"</f>
        <v>xxii, 301 pages, 24 cm</v>
      </c>
      <c r="G1534" s="1">
        <v>19</v>
      </c>
      <c r="H1534">
        <v>2018</v>
      </c>
      <c r="I1534" t="str">
        <f t="shared" si="55"/>
        <v>9: 300 - 399</v>
      </c>
      <c r="K1534" t="str">
        <f t="shared" si="58"/>
        <v>WB - In</v>
      </c>
      <c r="L1534" s="1">
        <v>31</v>
      </c>
      <c r="M1534" t="s">
        <v>1440</v>
      </c>
      <c r="O1534" t="s">
        <v>28</v>
      </c>
      <c r="P1534">
        <v>4</v>
      </c>
      <c r="Q1534">
        <v>0</v>
      </c>
      <c r="R1534">
        <v>4</v>
      </c>
      <c r="S1534" s="2">
        <v>43572</v>
      </c>
      <c r="T1534" s="2">
        <v>43761</v>
      </c>
      <c r="U1534" s="2">
        <v>43720</v>
      </c>
    </row>
    <row r="1535" spans="1:22" x14ac:dyDescent="0.2">
      <c r="A1535" t="str">
        <f>"363.3 GIL"</f>
        <v>363.3 GIL</v>
      </c>
      <c r="B1535" t="str">
        <f>"Separate and unequal: the Kerner Commiss"</f>
        <v>Separate and unequal: the Kerner Commiss</v>
      </c>
      <c r="C1535">
        <v>346827</v>
      </c>
      <c r="D1535" t="str">
        <f>"Gillon, Steven M."</f>
        <v>Gillon, Steven M.</v>
      </c>
      <c r="F1535" t="str">
        <f>"317 p."</f>
        <v>317 p.</v>
      </c>
      <c r="G1535" s="1">
        <v>18</v>
      </c>
      <c r="H1535">
        <v>2018</v>
      </c>
      <c r="I1535" t="str">
        <f t="shared" si="55"/>
        <v>9: 300 - 399</v>
      </c>
      <c r="K1535" t="str">
        <f t="shared" si="58"/>
        <v>WB - In</v>
      </c>
      <c r="L1535" s="1">
        <v>37</v>
      </c>
      <c r="M1535" t="s">
        <v>1441</v>
      </c>
      <c r="O1535" t="s">
        <v>28</v>
      </c>
      <c r="P1535">
        <v>1</v>
      </c>
      <c r="Q1535">
        <v>0</v>
      </c>
      <c r="R1535">
        <v>1</v>
      </c>
      <c r="S1535" s="2">
        <v>43179</v>
      </c>
      <c r="T1535" s="2">
        <v>43341</v>
      </c>
      <c r="U1535" s="2">
        <v>43196</v>
      </c>
    </row>
    <row r="1536" spans="1:22" x14ac:dyDescent="0.2">
      <c r="A1536" t="str">
        <f>"363.3 GOR"</f>
        <v>363.3 GOR</v>
      </c>
      <c r="B1536" t="str">
        <f>"Defeating jihad: the winnable war"</f>
        <v>Defeating jihad: the winnable war</v>
      </c>
      <c r="C1536">
        <v>336554</v>
      </c>
      <c r="D1536" t="str">
        <f>"Gorka, Sebastian"</f>
        <v>Gorka, Sebastian</v>
      </c>
      <c r="F1536" t="str">
        <f>"244 pages, 22 cm, illustrations"</f>
        <v>244 pages, 22 cm, illustrations</v>
      </c>
      <c r="G1536" s="1">
        <v>16</v>
      </c>
      <c r="H1536">
        <v>2016</v>
      </c>
      <c r="I1536" t="str">
        <f t="shared" si="55"/>
        <v>9: 300 - 399</v>
      </c>
      <c r="K1536" t="str">
        <f t="shared" si="58"/>
        <v>WB - In</v>
      </c>
      <c r="L1536" s="1">
        <v>33</v>
      </c>
      <c r="M1536" t="s">
        <v>1442</v>
      </c>
      <c r="O1536" t="s">
        <v>28</v>
      </c>
      <c r="P1536">
        <v>4</v>
      </c>
      <c r="Q1536">
        <v>0</v>
      </c>
      <c r="R1536">
        <v>12</v>
      </c>
      <c r="S1536" s="2">
        <v>42584</v>
      </c>
      <c r="T1536" s="2">
        <v>42816</v>
      </c>
      <c r="U1536" s="2">
        <v>43617</v>
      </c>
    </row>
    <row r="1537" spans="1:22" x14ac:dyDescent="0.2">
      <c r="A1537" t="str">
        <f>"363.3 GRA"</f>
        <v>363.3 GRA</v>
      </c>
      <c r="B1537" t="str">
        <f>"Raven Rock: the story of the U.S. govern"</f>
        <v>Raven Rock: the story of the U.S. govern</v>
      </c>
      <c r="C1537">
        <v>341837</v>
      </c>
      <c r="D1537" t="str">
        <f>"Graff, Garrett M.,"</f>
        <v>Graff, Garrett M.,</v>
      </c>
      <c r="F1537" t="str">
        <f>"xxv, 529 pages, 25 cm, illustrations (some color), maps"</f>
        <v>xxv, 529 pages, 25 cm, illustrations (some color), maps</v>
      </c>
      <c r="G1537" s="1">
        <v>17</v>
      </c>
      <c r="H1537">
        <v>2017</v>
      </c>
      <c r="I1537" t="str">
        <f t="shared" si="55"/>
        <v>9: 300 - 399</v>
      </c>
      <c r="K1537" t="str">
        <f t="shared" si="58"/>
        <v>WB - In</v>
      </c>
      <c r="L1537" s="1">
        <v>33</v>
      </c>
      <c r="M1537" t="s">
        <v>1443</v>
      </c>
      <c r="O1537" t="s">
        <v>28</v>
      </c>
      <c r="P1537">
        <v>5</v>
      </c>
      <c r="Q1537">
        <v>0</v>
      </c>
      <c r="R1537">
        <v>5</v>
      </c>
      <c r="S1537" s="2">
        <v>42898</v>
      </c>
      <c r="T1537" s="2">
        <v>43060</v>
      </c>
      <c r="U1537" s="2">
        <v>43274</v>
      </c>
    </row>
    <row r="1538" spans="1:22" x14ac:dyDescent="0.2">
      <c r="A1538" t="str">
        <f>"363.3 HEN"</f>
        <v>363.3 HEN</v>
      </c>
      <c r="B1538" t="str">
        <f>"""Guns don't kill people, people kill peo"</f>
        <v>"Guns don't kill people, people kill peo</v>
      </c>
      <c r="C1538">
        <v>337364</v>
      </c>
      <c r="D1538" t="str">
        <f>"Henigan, Dennis A.,"</f>
        <v>Henigan, Dennis A.,</v>
      </c>
      <c r="F1538" t="str">
        <f>"247 pages, 22 cm"</f>
        <v>247 pages, 22 cm</v>
      </c>
      <c r="G1538" s="1">
        <v>16</v>
      </c>
      <c r="H1538">
        <v>2016</v>
      </c>
      <c r="I1538" t="str">
        <f t="shared" si="55"/>
        <v>9: 300 - 399</v>
      </c>
      <c r="K1538" t="str">
        <f t="shared" si="58"/>
        <v>WB - In</v>
      </c>
      <c r="L1538" s="1">
        <v>21</v>
      </c>
      <c r="M1538" t="s">
        <v>1444</v>
      </c>
      <c r="O1538" t="s">
        <v>28</v>
      </c>
      <c r="P1538">
        <v>2</v>
      </c>
      <c r="Q1538">
        <v>0</v>
      </c>
      <c r="R1538">
        <v>10</v>
      </c>
      <c r="S1538" s="2">
        <v>42628</v>
      </c>
      <c r="T1538" s="2">
        <v>42816</v>
      </c>
      <c r="U1538" s="2">
        <v>43696</v>
      </c>
      <c r="V1538" s="2">
        <v>42662</v>
      </c>
    </row>
    <row r="1539" spans="1:22" x14ac:dyDescent="0.2">
      <c r="A1539" t="str">
        <f>"363.3 MCP"</f>
        <v>363.3 MCP</v>
      </c>
      <c r="B1539" t="str">
        <f>"Maximum harm: the Tsarnaev brothers, the"</f>
        <v>Maximum harm: the Tsarnaev brothers, the</v>
      </c>
      <c r="C1539">
        <v>342126</v>
      </c>
      <c r="D1539" t="str">
        <f>"McPhee, Michele"</f>
        <v>McPhee, Michele</v>
      </c>
      <c r="F1539" t="str">
        <f>"xi, 319 pages, 16 unnumbered pages of plates, 24 cm, illustrations"</f>
        <v>xi, 319 pages, 16 unnumbered pages of plates, 24 cm, illustrations</v>
      </c>
      <c r="G1539" s="1">
        <v>17</v>
      </c>
      <c r="H1539">
        <v>2017</v>
      </c>
      <c r="I1539" t="str">
        <f t="shared" si="55"/>
        <v>9: 300 - 399</v>
      </c>
      <c r="K1539" t="str">
        <f>"LL - In"</f>
        <v>LL - In</v>
      </c>
      <c r="L1539" s="1">
        <v>35</v>
      </c>
      <c r="M1539" t="s">
        <v>1445</v>
      </c>
      <c r="O1539" t="s">
        <v>28</v>
      </c>
      <c r="P1539">
        <v>6</v>
      </c>
      <c r="Q1539">
        <v>0</v>
      </c>
      <c r="R1539">
        <v>6</v>
      </c>
      <c r="S1539" s="2">
        <v>42912</v>
      </c>
      <c r="T1539" s="2">
        <v>43059</v>
      </c>
      <c r="U1539" s="2">
        <v>43021</v>
      </c>
    </row>
    <row r="1540" spans="1:22" x14ac:dyDescent="0.2">
      <c r="A1540" t="str">
        <f>"363.3 MEK"</f>
        <v>363.3 MEK</v>
      </c>
      <c r="B1540" t="str">
        <f>"I was told to come alone: my journey beh"</f>
        <v>I was told to come alone: my journey beh</v>
      </c>
      <c r="C1540">
        <v>295662</v>
      </c>
      <c r="D1540" t="str">
        <f>"Mekhennet, Souad"</f>
        <v>Mekhennet, Souad</v>
      </c>
      <c r="F1540" t="str">
        <f>"x, 354 pages, 25 cm"</f>
        <v>x, 354 pages, 25 cm</v>
      </c>
      <c r="G1540">
        <v>17</v>
      </c>
      <c r="H1540">
        <v>2017</v>
      </c>
      <c r="I1540" t="str">
        <f t="shared" si="55"/>
        <v>9: 300 - 399</v>
      </c>
      <c r="K1540" t="str">
        <f>"WB - In"</f>
        <v>WB - In</v>
      </c>
      <c r="L1540" s="1">
        <v>35</v>
      </c>
      <c r="M1540" t="s">
        <v>1446</v>
      </c>
      <c r="O1540" t="s">
        <v>28</v>
      </c>
      <c r="P1540">
        <v>8</v>
      </c>
      <c r="Q1540">
        <v>0</v>
      </c>
      <c r="R1540">
        <v>8</v>
      </c>
      <c r="S1540" s="2">
        <v>42908</v>
      </c>
      <c r="T1540" s="2">
        <v>43066</v>
      </c>
      <c r="U1540" s="2">
        <v>43277</v>
      </c>
    </row>
    <row r="1541" spans="1:22" x14ac:dyDescent="0.2">
      <c r="A1541" t="str">
        <f>"363.3 MIT"</f>
        <v>363.3 MIT</v>
      </c>
      <c r="B1541" t="str">
        <f>"Hacked: the inside story of America's st"</f>
        <v>Hacked: the inside story of America's st</v>
      </c>
      <c r="C1541">
        <v>338256</v>
      </c>
      <c r="D1541" t="str">
        <f>"Mitchell, Charlie,"</f>
        <v>Mitchell, Charlie,</v>
      </c>
      <c r="F1541" t="str">
        <f>"xvi, 301 pages, 24 cm"</f>
        <v>xvi, 301 pages, 24 cm</v>
      </c>
      <c r="G1541" s="1">
        <v>16</v>
      </c>
      <c r="H1541">
        <v>2016</v>
      </c>
      <c r="I1541" t="str">
        <f t="shared" si="55"/>
        <v>9: 300 - 399</v>
      </c>
      <c r="K1541" t="str">
        <f>"WB - Out"</f>
        <v>WB - Out</v>
      </c>
      <c r="L1541" s="1">
        <v>32</v>
      </c>
      <c r="M1541" t="s">
        <v>1447</v>
      </c>
      <c r="O1541" t="s">
        <v>28</v>
      </c>
      <c r="P1541">
        <v>5</v>
      </c>
      <c r="Q1541">
        <v>0</v>
      </c>
      <c r="R1541">
        <v>8</v>
      </c>
      <c r="S1541" s="2">
        <v>42681</v>
      </c>
      <c r="T1541" s="2">
        <v>42863</v>
      </c>
      <c r="U1541" s="2">
        <v>43861</v>
      </c>
    </row>
    <row r="1542" spans="1:22" x14ac:dyDescent="0.2">
      <c r="A1542" t="str">
        <f>"363.3 NAP"</f>
        <v>363.3 NAP</v>
      </c>
      <c r="B1542" t="str">
        <f>"How safe are we?: homeland security sinc"</f>
        <v>How safe are we?: homeland security sinc</v>
      </c>
      <c r="C1542">
        <v>354207</v>
      </c>
      <c r="D1542" t="str">
        <f>"Napolitano, Janet"</f>
        <v>Napolitano, Janet</v>
      </c>
      <c r="F1542" t="str">
        <f>"xviii, 215 pages, 22 cm"</f>
        <v>xviii, 215 pages, 22 cm</v>
      </c>
      <c r="G1542" s="1">
        <v>19</v>
      </c>
      <c r="H1542">
        <v>2019</v>
      </c>
      <c r="I1542" t="str">
        <f t="shared" si="55"/>
        <v>9: 300 - 399</v>
      </c>
      <c r="K1542" t="str">
        <f>"LL - In"</f>
        <v>LL - In</v>
      </c>
      <c r="L1542" s="1">
        <v>31</v>
      </c>
      <c r="M1542" t="s">
        <v>1448</v>
      </c>
      <c r="O1542" t="s">
        <v>28</v>
      </c>
      <c r="P1542">
        <v>3</v>
      </c>
      <c r="Q1542">
        <v>0</v>
      </c>
      <c r="R1542">
        <v>3</v>
      </c>
      <c r="S1542" s="2">
        <v>43572</v>
      </c>
      <c r="T1542" s="2">
        <v>43738</v>
      </c>
      <c r="U1542" s="2">
        <v>43832</v>
      </c>
    </row>
    <row r="1543" spans="1:22" x14ac:dyDescent="0.2">
      <c r="A1543" t="str">
        <f>"363.3 OKE"</f>
        <v>363.3 OKE</v>
      </c>
      <c r="B1543" t="str">
        <f>"moonless, starless sky: ordinary women a"</f>
        <v>moonless, starless sky: ordinary women a</v>
      </c>
      <c r="C1543">
        <v>344141</v>
      </c>
      <c r="D1543" t="str">
        <f>"Okeowo, Alexis"</f>
        <v>Okeowo, Alexis</v>
      </c>
      <c r="F1543" t="str">
        <f>"pages cm"</f>
        <v>pages cm</v>
      </c>
      <c r="G1543" s="1">
        <v>17</v>
      </c>
      <c r="H1543">
        <v>2017</v>
      </c>
      <c r="I1543" t="str">
        <f t="shared" si="55"/>
        <v>9: 300 - 399</v>
      </c>
      <c r="K1543" t="str">
        <f>"LL - In"</f>
        <v>LL - In</v>
      </c>
      <c r="L1543" s="1">
        <v>31</v>
      </c>
      <c r="M1543" t="s">
        <v>1449</v>
      </c>
      <c r="O1543" t="s">
        <v>28</v>
      </c>
      <c r="P1543">
        <v>5</v>
      </c>
      <c r="Q1543">
        <v>1</v>
      </c>
      <c r="R1543">
        <v>6</v>
      </c>
      <c r="S1543" s="2">
        <v>43027</v>
      </c>
      <c r="T1543" s="2">
        <v>43220</v>
      </c>
      <c r="U1543" s="2">
        <v>43179</v>
      </c>
      <c r="V1543" s="2">
        <v>43247</v>
      </c>
    </row>
    <row r="1544" spans="1:22" x14ac:dyDescent="0.2">
      <c r="A1544" t="str">
        <f>"363.3 PAN"</f>
        <v>363.3 PAN</v>
      </c>
      <c r="B1544" t="str">
        <f>"How we win: how cutting-edge entrepreneu"</f>
        <v>How we win: how cutting-edge entrepreneu</v>
      </c>
      <c r="C1544">
        <v>354610</v>
      </c>
      <c r="D1544" t="str">
        <f>"Pandith, Farah"</f>
        <v>Pandith, Farah</v>
      </c>
      <c r="F1544" t="str">
        <f>"400 p."</f>
        <v>400 p.</v>
      </c>
      <c r="G1544" s="1">
        <v>19</v>
      </c>
      <c r="H1544">
        <v>2019</v>
      </c>
      <c r="I1544" t="str">
        <f t="shared" ref="I1544:I1607" si="59">"9: 300 - 399"</f>
        <v>9: 300 - 399</v>
      </c>
      <c r="K1544" t="str">
        <f>"WB - In"</f>
        <v>WB - In</v>
      </c>
      <c r="L1544" s="1">
        <v>34</v>
      </c>
      <c r="M1544" t="s">
        <v>1450</v>
      </c>
      <c r="O1544" t="s">
        <v>28</v>
      </c>
      <c r="P1544">
        <v>1</v>
      </c>
      <c r="Q1544">
        <v>1</v>
      </c>
      <c r="R1544">
        <v>2</v>
      </c>
      <c r="S1544" s="2">
        <v>43591</v>
      </c>
      <c r="T1544" s="2">
        <v>43754</v>
      </c>
      <c r="U1544" s="2">
        <v>43631</v>
      </c>
      <c r="V1544" s="2">
        <v>43755</v>
      </c>
    </row>
    <row r="1545" spans="1:22" x14ac:dyDescent="0.2">
      <c r="A1545" t="str">
        <f>"363.3 SAN"</f>
        <v>363.3 SAN</v>
      </c>
      <c r="B1545" t="str">
        <f>"perfect weapon: war, sabotage, and fear "</f>
        <v xml:space="preserve">perfect weapon: war, sabotage, and fear </v>
      </c>
      <c r="C1545">
        <v>348492</v>
      </c>
      <c r="D1545" t="str">
        <f>"Sanger, David."</f>
        <v>Sanger, David.</v>
      </c>
      <c r="F1545" t="str">
        <f>"xxiii, 357 pages, 24 cm"</f>
        <v>xxiii, 357 pages, 24 cm</v>
      </c>
      <c r="G1545" s="1">
        <v>18</v>
      </c>
      <c r="H1545">
        <v>2018</v>
      </c>
      <c r="I1545" t="str">
        <f t="shared" si="59"/>
        <v>9: 300 - 399</v>
      </c>
      <c r="K1545" t="str">
        <f>"WB - In"</f>
        <v>WB - In</v>
      </c>
      <c r="L1545" s="1">
        <v>33</v>
      </c>
      <c r="M1545" t="s">
        <v>1451</v>
      </c>
      <c r="O1545" t="s">
        <v>28</v>
      </c>
      <c r="P1545">
        <v>6</v>
      </c>
      <c r="Q1545">
        <v>0</v>
      </c>
      <c r="R1545">
        <v>6</v>
      </c>
      <c r="S1545" s="2">
        <v>43283</v>
      </c>
      <c r="T1545" s="2">
        <v>43439</v>
      </c>
      <c r="U1545" s="2">
        <v>43368</v>
      </c>
    </row>
    <row r="1546" spans="1:22" x14ac:dyDescent="0.2">
      <c r="A1546" t="str">
        <f>"363.3 SEI"</f>
        <v>363.3 SEI</v>
      </c>
      <c r="B1546" t="str">
        <f>"One of us: the story of Anders Breivik a"</f>
        <v>One of us: the story of Anders Breivik a</v>
      </c>
      <c r="C1546">
        <v>327377</v>
      </c>
      <c r="D1546" t="str">
        <f>"Seierstad, �sne,"</f>
        <v>Seierstad, �sne,</v>
      </c>
      <c r="F1546" t="str">
        <f>"xiii, 530 pages, 24 cm"</f>
        <v>xiii, 530 pages, 24 cm</v>
      </c>
      <c r="G1546" s="1">
        <v>15</v>
      </c>
      <c r="H1546">
        <v>2015</v>
      </c>
      <c r="I1546" t="str">
        <f t="shared" si="59"/>
        <v>9: 300 - 399</v>
      </c>
      <c r="K1546" t="str">
        <f>"WB - In"</f>
        <v>WB - In</v>
      </c>
      <c r="L1546" s="1">
        <v>33</v>
      </c>
      <c r="M1546" t="s">
        <v>1452</v>
      </c>
      <c r="O1546" t="s">
        <v>28</v>
      </c>
      <c r="P1546">
        <v>1</v>
      </c>
      <c r="Q1546">
        <v>1</v>
      </c>
      <c r="R1546">
        <v>10</v>
      </c>
      <c r="S1546" s="2">
        <v>42140</v>
      </c>
      <c r="T1546" s="2">
        <v>42327</v>
      </c>
      <c r="U1546" s="2">
        <v>43242</v>
      </c>
      <c r="V1546" s="2">
        <v>43249</v>
      </c>
    </row>
    <row r="1547" spans="1:22" x14ac:dyDescent="0.2">
      <c r="A1547" t="str">
        <f>"363.3 SES"</f>
        <v>363.3 SES</v>
      </c>
      <c r="B1547" t="str">
        <f>"Beneath the tamarind tree: a story of co"</f>
        <v>Beneath the tamarind tree: a story of co</v>
      </c>
      <c r="C1547">
        <v>356252</v>
      </c>
      <c r="D1547" t="str">
        <f>"Sesay, Isha"</f>
        <v>Sesay, Isha</v>
      </c>
      <c r="F1547" t="str">
        <f>"382 p., 24 cm, color illustrations"</f>
        <v>382 p., 24 cm, color illustrations</v>
      </c>
      <c r="G1547" s="1">
        <v>19</v>
      </c>
      <c r="H1547">
        <v>2019</v>
      </c>
      <c r="I1547" t="str">
        <f t="shared" si="59"/>
        <v>9: 300 - 399</v>
      </c>
      <c r="K1547" t="str">
        <f>"LL - In"</f>
        <v>LL - In</v>
      </c>
      <c r="L1547" s="1">
        <v>33</v>
      </c>
      <c r="M1547" t="s">
        <v>1453</v>
      </c>
      <c r="O1547" t="s">
        <v>28</v>
      </c>
      <c r="P1547">
        <v>7</v>
      </c>
      <c r="Q1547">
        <v>0</v>
      </c>
      <c r="R1547">
        <v>7</v>
      </c>
      <c r="S1547" s="2">
        <v>43661</v>
      </c>
      <c r="T1547" s="2">
        <v>43852</v>
      </c>
      <c r="U1547" s="2">
        <v>43817</v>
      </c>
    </row>
    <row r="1548" spans="1:22" x14ac:dyDescent="0.2">
      <c r="A1548" t="str">
        <f>"363.3 WAT"</f>
        <v>363.3 WAT</v>
      </c>
      <c r="B1548" t="str">
        <f>"Fight like a mother: how a grassroots mo"</f>
        <v>Fight like a mother: how a grassroots mo</v>
      </c>
      <c r="C1548">
        <v>355413</v>
      </c>
      <c r="D1548" t="str">
        <f>"Watts, Shannon"</f>
        <v>Watts, Shannon</v>
      </c>
      <c r="F1548" t="str">
        <f>"x, 291 pages, 22 cm"</f>
        <v>x, 291 pages, 22 cm</v>
      </c>
      <c r="G1548" s="1">
        <v>19</v>
      </c>
      <c r="H1548">
        <v>2019</v>
      </c>
      <c r="I1548" t="str">
        <f t="shared" si="59"/>
        <v>9: 300 - 399</v>
      </c>
      <c r="K1548" t="str">
        <f>"WB - In"</f>
        <v>WB - In</v>
      </c>
      <c r="L1548" s="1">
        <v>31</v>
      </c>
      <c r="M1548" t="s">
        <v>1454</v>
      </c>
      <c r="O1548" t="s">
        <v>28</v>
      </c>
      <c r="P1548">
        <v>4</v>
      </c>
      <c r="Q1548">
        <v>0</v>
      </c>
      <c r="R1548">
        <v>4</v>
      </c>
      <c r="S1548" s="2">
        <v>43626</v>
      </c>
      <c r="T1548" s="2">
        <v>43803</v>
      </c>
      <c r="U1548" s="2">
        <v>43749</v>
      </c>
    </row>
    <row r="1549" spans="1:22" x14ac:dyDescent="0.2">
      <c r="A1549" t="str">
        <f>"363.3 WOO"</f>
        <v>363.3 WOO</v>
      </c>
      <c r="B1549" t="str">
        <f>"way of the strangers: encounters with th"</f>
        <v>way of the strangers: encounters with th</v>
      </c>
      <c r="C1549">
        <v>339019</v>
      </c>
      <c r="D1549" t="str">
        <f>"Wood, Graeme"</f>
        <v>Wood, Graeme</v>
      </c>
      <c r="F1549" t="str">
        <f>"xxix, 317 pages, 25 cm, illustrations"</f>
        <v>xxix, 317 pages, 25 cm, illustrations</v>
      </c>
      <c r="G1549" s="1">
        <v>16</v>
      </c>
      <c r="H1549">
        <v>2017</v>
      </c>
      <c r="I1549" t="str">
        <f t="shared" si="59"/>
        <v>9: 300 - 399</v>
      </c>
      <c r="K1549" t="str">
        <f>"LL - In"</f>
        <v>LL - In</v>
      </c>
      <c r="L1549" s="1">
        <v>33</v>
      </c>
      <c r="M1549" t="s">
        <v>1455</v>
      </c>
      <c r="O1549" t="s">
        <v>28</v>
      </c>
      <c r="P1549">
        <v>8</v>
      </c>
      <c r="Q1549">
        <v>0</v>
      </c>
      <c r="R1549">
        <v>9</v>
      </c>
      <c r="S1549" s="2">
        <v>42744</v>
      </c>
      <c r="T1549" s="2">
        <v>42912</v>
      </c>
      <c r="U1549" s="2">
        <v>43165</v>
      </c>
    </row>
    <row r="1550" spans="1:22" x14ac:dyDescent="0.2">
      <c r="A1550" t="str">
        <f>"363.3 WRI"</f>
        <v>363.3 WRI</v>
      </c>
      <c r="B1550" t="str">
        <f>"terror years: from al-Qaeda to the Islam"</f>
        <v>terror years: from al-Qaeda to the Islam</v>
      </c>
      <c r="C1550">
        <v>337138</v>
      </c>
      <c r="D1550" t="str">
        <f>"Wright, Lawrence"</f>
        <v>Wright, Lawrence</v>
      </c>
      <c r="F1550" t="str">
        <f>"xiii, 366 pages, 25 cm"</f>
        <v>xiii, 366 pages, 25 cm</v>
      </c>
      <c r="G1550" s="1">
        <v>16</v>
      </c>
      <c r="H1550">
        <v>2016</v>
      </c>
      <c r="I1550" t="str">
        <f t="shared" si="59"/>
        <v>9: 300 - 399</v>
      </c>
      <c r="K1550" t="str">
        <f>"WB - In"</f>
        <v>WB - In</v>
      </c>
      <c r="L1550" s="1">
        <v>34</v>
      </c>
      <c r="M1550" t="s">
        <v>1456</v>
      </c>
      <c r="O1550" t="s">
        <v>28</v>
      </c>
      <c r="P1550">
        <v>5</v>
      </c>
      <c r="Q1550">
        <v>1</v>
      </c>
      <c r="R1550">
        <v>12</v>
      </c>
      <c r="S1550" s="2">
        <v>42611</v>
      </c>
      <c r="T1550" s="2">
        <v>42795</v>
      </c>
      <c r="U1550" s="2">
        <v>43841</v>
      </c>
      <c r="V1550" s="2">
        <v>43249</v>
      </c>
    </row>
    <row r="1551" spans="1:22" x14ac:dyDescent="0.2">
      <c r="A1551" t="str">
        <f>"363.32 CAN"</f>
        <v>363.32 CAN</v>
      </c>
      <c r="B1551" t="str">
        <f>"Incendiary: the psychiatrist, the mad bo"</f>
        <v>Incendiary: the psychiatrist, the mad bo</v>
      </c>
      <c r="C1551">
        <v>341613</v>
      </c>
      <c r="D1551" t="str">
        <f>"Cannell, Michael T."</f>
        <v>Cannell, Michael T.</v>
      </c>
      <c r="F1551" t="str">
        <f>"ix, 289 pages, 25 cm, illustrations"</f>
        <v>ix, 289 pages, 25 cm, illustrations</v>
      </c>
      <c r="G1551" s="1">
        <v>17</v>
      </c>
      <c r="H1551">
        <v>2017</v>
      </c>
      <c r="I1551" t="str">
        <f t="shared" si="59"/>
        <v>9: 300 - 399</v>
      </c>
      <c r="K1551" t="str">
        <f>"WB - In"</f>
        <v>WB - In</v>
      </c>
      <c r="L1551" s="1">
        <v>32</v>
      </c>
      <c r="M1551" t="s">
        <v>1457</v>
      </c>
      <c r="O1551" t="s">
        <v>28</v>
      </c>
      <c r="P1551">
        <v>4</v>
      </c>
      <c r="Q1551">
        <v>0</v>
      </c>
      <c r="R1551">
        <v>4</v>
      </c>
      <c r="S1551" s="2">
        <v>42886</v>
      </c>
      <c r="T1551" s="2">
        <v>43075</v>
      </c>
      <c r="U1551" s="2">
        <v>43044</v>
      </c>
    </row>
    <row r="1552" spans="1:22" x14ac:dyDescent="0.2">
      <c r="A1552" t="str">
        <f>"363.34 AND"</f>
        <v>363.34 AND</v>
      </c>
      <c r="B1552" t="str">
        <f>"We fed an island: the true story of rebu"</f>
        <v>We fed an island: the true story of rebu</v>
      </c>
      <c r="C1552">
        <v>350330</v>
      </c>
      <c r="D1552" t="str">
        <f>"Andr�s, Jos�,"</f>
        <v>Andr�s, Jos�,</v>
      </c>
      <c r="F1552" t="str">
        <f>"xii, 267 pages, 24 cm, illustrations"</f>
        <v>xii, 267 pages, 24 cm, illustrations</v>
      </c>
      <c r="G1552" s="1">
        <v>18</v>
      </c>
      <c r="H1552">
        <v>2018</v>
      </c>
      <c r="I1552" t="str">
        <f t="shared" si="59"/>
        <v>9: 300 - 399</v>
      </c>
      <c r="K1552" t="str">
        <f>"WB - In"</f>
        <v>WB - In</v>
      </c>
      <c r="L1552" s="1">
        <v>33</v>
      </c>
      <c r="M1552" t="s">
        <v>1458</v>
      </c>
      <c r="O1552" t="s">
        <v>28</v>
      </c>
      <c r="P1552">
        <v>8</v>
      </c>
      <c r="Q1552">
        <v>1</v>
      </c>
      <c r="R1552">
        <v>9</v>
      </c>
      <c r="S1552" s="2">
        <v>43375</v>
      </c>
      <c r="T1552" s="2">
        <v>43579</v>
      </c>
      <c r="U1552" s="2">
        <v>43559</v>
      </c>
      <c r="V1552" s="2">
        <v>43764</v>
      </c>
    </row>
    <row r="1553" spans="1:22" x14ac:dyDescent="0.2">
      <c r="A1553" t="str">
        <f>"363.34 JON"</f>
        <v>363.34 JON</v>
      </c>
      <c r="B1553" t="str">
        <f>"big ones: how natural disasters have sha"</f>
        <v>big ones: how natural disasters have sha</v>
      </c>
      <c r="C1553">
        <v>347343</v>
      </c>
      <c r="D1553" t="str">
        <f>"Jones, Lucile M."</f>
        <v>Jones, Lucile M.</v>
      </c>
      <c r="F1553" t="str">
        <f>"242 pages, 22 cm, illustrations, maps"</f>
        <v>242 pages, 22 cm, illustrations, maps</v>
      </c>
      <c r="G1553" s="1">
        <v>18</v>
      </c>
      <c r="H1553">
        <v>2018</v>
      </c>
      <c r="I1553" t="str">
        <f t="shared" si="59"/>
        <v>9: 300 - 399</v>
      </c>
      <c r="K1553" t="str">
        <f>"LL - In"</f>
        <v>LL - In</v>
      </c>
      <c r="L1553" s="1">
        <v>32</v>
      </c>
      <c r="M1553" t="s">
        <v>1459</v>
      </c>
      <c r="O1553" t="s">
        <v>28</v>
      </c>
      <c r="P1553">
        <v>3</v>
      </c>
      <c r="Q1553">
        <v>0</v>
      </c>
      <c r="R1553">
        <v>3</v>
      </c>
      <c r="S1553" s="2">
        <v>43213</v>
      </c>
      <c r="T1553" s="2">
        <v>43388</v>
      </c>
      <c r="U1553" s="2">
        <v>43290</v>
      </c>
    </row>
    <row r="1554" spans="1:22" x14ac:dyDescent="0.2">
      <c r="A1554" t="str">
        <f>"363.34 OLS"</f>
        <v>363.34 OLS</v>
      </c>
      <c r="B1554" t="str">
        <f>"Eruption: the untold story of Mount St. "</f>
        <v xml:space="preserve">Eruption: the untold story of Mount St. </v>
      </c>
      <c r="C1554">
        <v>333741</v>
      </c>
      <c r="D1554" t="str">
        <f>"Olson, Steve"</f>
        <v>Olson, Steve</v>
      </c>
      <c r="F1554" t="str">
        <f>"245 p."</f>
        <v>245 p.</v>
      </c>
      <c r="G1554" s="1">
        <v>16</v>
      </c>
      <c r="H1554">
        <v>2016</v>
      </c>
      <c r="I1554" t="str">
        <f t="shared" si="59"/>
        <v>9: 300 - 399</v>
      </c>
      <c r="K1554" t="str">
        <f>"WB - In"</f>
        <v>WB - In</v>
      </c>
      <c r="L1554" s="1">
        <v>33</v>
      </c>
      <c r="M1554" t="s">
        <v>1460</v>
      </c>
      <c r="O1554" t="s">
        <v>28</v>
      </c>
      <c r="P1554">
        <v>2</v>
      </c>
      <c r="Q1554">
        <v>2</v>
      </c>
      <c r="R1554">
        <v>14</v>
      </c>
      <c r="S1554" s="2">
        <v>42439</v>
      </c>
      <c r="T1554" s="2">
        <v>42662</v>
      </c>
      <c r="U1554" s="2">
        <v>43342</v>
      </c>
      <c r="V1554" s="2">
        <v>43733</v>
      </c>
    </row>
    <row r="1555" spans="1:22" x14ac:dyDescent="0.2">
      <c r="A1555" t="str">
        <f>"363.34 WIL"</f>
        <v>363.34 WIL</v>
      </c>
      <c r="B1555" t="str">
        <f>"Floodpath: the deadliest man-made disast"</f>
        <v>Floodpath: the deadliest man-made disast</v>
      </c>
      <c r="C1555">
        <v>333221</v>
      </c>
      <c r="D1555" t="str">
        <f>"Wilkman, Jon"</f>
        <v>Wilkman, Jon</v>
      </c>
      <c r="F1555" t="str">
        <f>"326 pages, 25 cm, illustrations, maps"</f>
        <v>326 pages, 25 cm, illustrations, maps</v>
      </c>
      <c r="G1555" s="1">
        <v>16</v>
      </c>
      <c r="H1555">
        <v>2016</v>
      </c>
      <c r="I1555" t="str">
        <f t="shared" si="59"/>
        <v>9: 300 - 399</v>
      </c>
      <c r="K1555" t="str">
        <f>"LL - In"</f>
        <v>LL - In</v>
      </c>
      <c r="L1555" s="1">
        <v>33</v>
      </c>
      <c r="M1555" t="s">
        <v>1461</v>
      </c>
      <c r="O1555" t="s">
        <v>28</v>
      </c>
      <c r="P1555">
        <v>1</v>
      </c>
      <c r="Q1555">
        <v>0</v>
      </c>
      <c r="R1555">
        <v>7</v>
      </c>
      <c r="S1555" s="2">
        <v>42416</v>
      </c>
      <c r="T1555" s="2">
        <v>42560</v>
      </c>
      <c r="U1555" s="2">
        <v>42927</v>
      </c>
    </row>
    <row r="1556" spans="1:22" x14ac:dyDescent="0.2">
      <c r="A1556" t="str">
        <f>"363.37 KOD"</f>
        <v>363.37 KOD</v>
      </c>
      <c r="B1556" t="str">
        <f>"Megafire: the race to extinguish a deadl"</f>
        <v>Megafire: the race to extinguish a deadl</v>
      </c>
      <c r="C1556">
        <v>343311</v>
      </c>
      <c r="D1556" t="str">
        <f>"Kodas, Michael"</f>
        <v>Kodas, Michael</v>
      </c>
      <c r="F1556" t="str">
        <f>"xvi, 365 pages, 24 cm, illustrations"</f>
        <v>xvi, 365 pages, 24 cm, illustrations</v>
      </c>
      <c r="G1556" s="1">
        <v>17</v>
      </c>
      <c r="H1556">
        <v>2017</v>
      </c>
      <c r="I1556" t="str">
        <f t="shared" si="59"/>
        <v>9: 300 - 399</v>
      </c>
      <c r="K1556" t="str">
        <f>"WB - In"</f>
        <v>WB - In</v>
      </c>
      <c r="L1556" s="1">
        <v>33</v>
      </c>
      <c r="M1556" t="s">
        <v>1462</v>
      </c>
      <c r="O1556" t="s">
        <v>28</v>
      </c>
      <c r="P1556">
        <v>4</v>
      </c>
      <c r="Q1556">
        <v>0</v>
      </c>
      <c r="R1556">
        <v>4</v>
      </c>
      <c r="S1556" s="2">
        <v>42977</v>
      </c>
      <c r="T1556" s="2">
        <v>43166</v>
      </c>
      <c r="U1556" s="2">
        <v>43791</v>
      </c>
    </row>
    <row r="1557" spans="1:22" x14ac:dyDescent="0.2">
      <c r="A1557" t="str">
        <f>"363.37 STR"</f>
        <v>363.37 STR</v>
      </c>
      <c r="B1557" t="str">
        <f>"Firestorm: how wildfire will shape our f"</f>
        <v>Firestorm: how wildfire will shape our f</v>
      </c>
      <c r="C1557">
        <v>297816</v>
      </c>
      <c r="D1557" t="str">
        <f>"Struzik, Edward,"</f>
        <v>Struzik, Edward,</v>
      </c>
      <c r="F1557" t="str">
        <f>"257 pages, 24 cm, illustrations"</f>
        <v>257 pages, 24 cm, illustrations</v>
      </c>
      <c r="G1557" s="1">
        <v>17</v>
      </c>
      <c r="H1557">
        <v>2017</v>
      </c>
      <c r="I1557" t="str">
        <f t="shared" si="59"/>
        <v>9: 300 - 399</v>
      </c>
      <c r="K1557" t="str">
        <f>"WB - In"</f>
        <v>WB - In</v>
      </c>
      <c r="L1557" s="1">
        <v>35</v>
      </c>
      <c r="M1557" t="s">
        <v>1463</v>
      </c>
      <c r="O1557" t="s">
        <v>28</v>
      </c>
      <c r="P1557">
        <v>3</v>
      </c>
      <c r="Q1557">
        <v>0</v>
      </c>
      <c r="R1557">
        <v>3</v>
      </c>
      <c r="S1557" s="2">
        <v>43025</v>
      </c>
      <c r="T1557" s="2">
        <v>43194</v>
      </c>
      <c r="U1557" s="2">
        <v>43172</v>
      </c>
    </row>
    <row r="1558" spans="1:22" x14ac:dyDescent="0.2">
      <c r="A1558" t="str">
        <f>"363.4 JEN"</f>
        <v>363.4 JEN</v>
      </c>
      <c r="B1558" t="str">
        <f>"Good pictures, bad pictures: porn-proofi"</f>
        <v>Good pictures, bad pictures: porn-proofi</v>
      </c>
      <c r="C1558">
        <v>299359</v>
      </c>
      <c r="D1558" t="str">
        <f>"Jenson, Kristen A"</f>
        <v>Jenson, Kristen A</v>
      </c>
      <c r="F1558" t="str">
        <f>"50 pages, 25 cm, color illustrations"</f>
        <v>50 pages, 25 cm, color illustrations</v>
      </c>
      <c r="G1558" s="1">
        <v>18</v>
      </c>
      <c r="H1558">
        <v>2014</v>
      </c>
      <c r="I1558" t="str">
        <f t="shared" si="59"/>
        <v>9: 300 - 399</v>
      </c>
      <c r="K1558" t="str">
        <f>"LL - In"</f>
        <v>LL - In</v>
      </c>
      <c r="L1558" s="1">
        <v>24</v>
      </c>
      <c r="M1558" t="s">
        <v>1464</v>
      </c>
      <c r="O1558" t="s">
        <v>28</v>
      </c>
      <c r="P1558">
        <v>7</v>
      </c>
      <c r="Q1558">
        <v>0</v>
      </c>
      <c r="R1558">
        <v>7</v>
      </c>
      <c r="S1558" s="2">
        <v>43123</v>
      </c>
      <c r="T1558" s="2">
        <v>43130</v>
      </c>
      <c r="U1558" s="2">
        <v>43701</v>
      </c>
    </row>
    <row r="1559" spans="1:22" x14ac:dyDescent="0.2">
      <c r="A1559" t="str">
        <f>"363.45 BUF"</f>
        <v>363.45 BUF</v>
      </c>
      <c r="B1559" t="str">
        <f>"Our 50-state border crisis: how the Mexi"</f>
        <v>Our 50-state border crisis: how the Mexi</v>
      </c>
      <c r="C1559">
        <v>347526</v>
      </c>
      <c r="D1559" t="str">
        <f>"Buffett, Howard G."</f>
        <v>Buffett, Howard G.</v>
      </c>
      <c r="F1559" t="str">
        <f>"xxviii, 356 pages, 16 unnumbered pages of plates, 24 cm, color illustrations, maps"</f>
        <v>xxviii, 356 pages, 16 unnumbered pages of plates, 24 cm, color illustrations, maps</v>
      </c>
      <c r="G1559" s="1">
        <v>18</v>
      </c>
      <c r="H1559">
        <v>2018</v>
      </c>
      <c r="I1559" t="str">
        <f t="shared" si="59"/>
        <v>9: 300 - 399</v>
      </c>
      <c r="K1559" t="str">
        <f t="shared" ref="K1559:K1564" si="60">"WB - In"</f>
        <v>WB - In</v>
      </c>
      <c r="L1559" s="1">
        <v>33</v>
      </c>
      <c r="M1559" t="s">
        <v>1465</v>
      </c>
      <c r="O1559" t="s">
        <v>28</v>
      </c>
      <c r="P1559">
        <v>5</v>
      </c>
      <c r="Q1559">
        <v>0</v>
      </c>
      <c r="R1559">
        <v>5</v>
      </c>
      <c r="S1559" s="2">
        <v>43227</v>
      </c>
      <c r="T1559" s="2">
        <v>43404</v>
      </c>
      <c r="U1559" s="2">
        <v>43375</v>
      </c>
    </row>
    <row r="1560" spans="1:22" x14ac:dyDescent="0.2">
      <c r="A1560" t="str">
        <f>"363.45 DEU"</f>
        <v>363.45 DEU</v>
      </c>
      <c r="B1560" t="str">
        <f>"Pill City: how two honor roll students f"</f>
        <v>Pill City: how two honor roll students f</v>
      </c>
      <c r="C1560">
        <v>340106</v>
      </c>
      <c r="D1560" t="str">
        <f>"Deutsch, Kevin"</f>
        <v>Deutsch, Kevin</v>
      </c>
      <c r="F1560" t="str">
        <f>"xviii, 266 pages, 8 unnumbered pages of plates, 22 cm, illustrations"</f>
        <v>xviii, 266 pages, 8 unnumbered pages of plates, 22 cm, illustrations</v>
      </c>
      <c r="G1560" s="1">
        <v>17</v>
      </c>
      <c r="H1560">
        <v>2017</v>
      </c>
      <c r="I1560" t="str">
        <f t="shared" si="59"/>
        <v>9: 300 - 399</v>
      </c>
      <c r="K1560" t="str">
        <f t="shared" si="60"/>
        <v>WB - In</v>
      </c>
      <c r="L1560" s="1">
        <v>32</v>
      </c>
      <c r="M1560" t="s">
        <v>1466</v>
      </c>
      <c r="O1560" t="s">
        <v>28</v>
      </c>
      <c r="P1560">
        <v>8</v>
      </c>
      <c r="Q1560">
        <v>2</v>
      </c>
      <c r="R1560">
        <v>10</v>
      </c>
      <c r="S1560" s="2">
        <v>42800</v>
      </c>
      <c r="T1560" s="2">
        <v>42991</v>
      </c>
      <c r="U1560" s="2">
        <v>42974</v>
      </c>
      <c r="V1560" s="2">
        <v>43723</v>
      </c>
    </row>
    <row r="1561" spans="1:22" x14ac:dyDescent="0.2">
      <c r="A1561" t="str">
        <f>"363.45 FLO"</f>
        <v>363.45 FLO</v>
      </c>
      <c r="B1561" t="str">
        <f>"Cartel wives: a true story of deadly dec"</f>
        <v>Cartel wives: a true story of deadly dec</v>
      </c>
      <c r="C1561">
        <v>343218</v>
      </c>
      <c r="D1561" t="str">
        <f>"Flores, Mia,"</f>
        <v>Flores, Mia,</v>
      </c>
      <c r="F1561" t="str">
        <f>"xx, 348 pages, 24 cm"</f>
        <v>xx, 348 pages, 24 cm</v>
      </c>
      <c r="G1561" s="1">
        <v>17</v>
      </c>
      <c r="H1561">
        <v>2017</v>
      </c>
      <c r="I1561" t="str">
        <f t="shared" si="59"/>
        <v>9: 300 - 399</v>
      </c>
      <c r="K1561" t="str">
        <f t="shared" si="60"/>
        <v>WB - In</v>
      </c>
      <c r="L1561" s="1">
        <v>32</v>
      </c>
      <c r="M1561" t="s">
        <v>1467</v>
      </c>
      <c r="O1561" t="s">
        <v>28</v>
      </c>
      <c r="P1561">
        <v>9</v>
      </c>
      <c r="Q1561">
        <v>1</v>
      </c>
      <c r="R1561">
        <v>10</v>
      </c>
      <c r="S1561" s="2">
        <v>42970</v>
      </c>
      <c r="T1561" s="2">
        <v>43159</v>
      </c>
      <c r="U1561" s="2">
        <v>43125</v>
      </c>
      <c r="V1561" s="2">
        <v>43029</v>
      </c>
    </row>
    <row r="1562" spans="1:22" x14ac:dyDescent="0.2">
      <c r="A1562" t="str">
        <f>"363.45 WAI"</f>
        <v>363.45 WAI</v>
      </c>
      <c r="B1562" t="str">
        <f>"Narconomics: how to run a drug cartel"</f>
        <v>Narconomics: how to run a drug cartel</v>
      </c>
      <c r="C1562">
        <v>335139</v>
      </c>
      <c r="D1562" t="str">
        <f>"Wainwright, Tom,"</f>
        <v>Wainwright, Tom,</v>
      </c>
      <c r="F1562" t="str">
        <f>"278 pages, 25 cm, illustrations"</f>
        <v>278 pages, 25 cm, illustrations</v>
      </c>
      <c r="G1562" s="1">
        <v>16</v>
      </c>
      <c r="H1562">
        <v>2016</v>
      </c>
      <c r="I1562" t="str">
        <f t="shared" si="59"/>
        <v>9: 300 - 399</v>
      </c>
      <c r="K1562" t="str">
        <f t="shared" si="60"/>
        <v>WB - In</v>
      </c>
      <c r="L1562" s="1">
        <v>32</v>
      </c>
      <c r="M1562" t="s">
        <v>1468</v>
      </c>
      <c r="O1562" t="s">
        <v>28</v>
      </c>
      <c r="P1562">
        <v>1</v>
      </c>
      <c r="Q1562">
        <v>0</v>
      </c>
      <c r="R1562">
        <v>9</v>
      </c>
      <c r="S1562" s="2">
        <v>42506</v>
      </c>
      <c r="T1562" s="2">
        <v>42689</v>
      </c>
      <c r="U1562" s="2">
        <v>42842</v>
      </c>
    </row>
    <row r="1563" spans="1:22" x14ac:dyDescent="0.2">
      <c r="A1563" t="str">
        <f>"363.46 POL"</f>
        <v>363.46 POL</v>
      </c>
      <c r="B1563" t="str">
        <f>"Pro: reclaiming abortion rights"</f>
        <v>Pro: reclaiming abortion rights</v>
      </c>
      <c r="C1563">
        <v>339817</v>
      </c>
      <c r="D1563" t="str">
        <f>"Pollitt, Katha"</f>
        <v>Pollitt, Katha</v>
      </c>
      <c r="F1563" t="str">
        <f>"264 pages, 21 cm"</f>
        <v>264 pages, 21 cm</v>
      </c>
      <c r="G1563" s="1">
        <v>17</v>
      </c>
      <c r="H1563">
        <v>2015</v>
      </c>
      <c r="I1563" t="str">
        <f t="shared" si="59"/>
        <v>9: 300 - 399</v>
      </c>
      <c r="K1563" t="str">
        <f t="shared" si="60"/>
        <v>WB - In</v>
      </c>
      <c r="L1563" s="1">
        <v>21</v>
      </c>
      <c r="M1563" t="s">
        <v>1469</v>
      </c>
      <c r="O1563" t="s">
        <v>28</v>
      </c>
      <c r="P1563">
        <v>0</v>
      </c>
      <c r="Q1563">
        <v>0</v>
      </c>
      <c r="R1563">
        <v>0</v>
      </c>
      <c r="S1563" s="2">
        <v>42782</v>
      </c>
      <c r="T1563" s="2">
        <v>42808</v>
      </c>
    </row>
    <row r="1564" spans="1:22" x14ac:dyDescent="0.2">
      <c r="A1564" t="str">
        <f>"363.46 ZIE"</f>
        <v>363.46 ZIE</v>
      </c>
      <c r="B1564" t="str">
        <f>"After Roe: the lost history of the abort"</f>
        <v>After Roe: the lost history of the abort</v>
      </c>
      <c r="C1564">
        <v>328000</v>
      </c>
      <c r="D1564" t="str">
        <f>"Ziegler, Mary,"</f>
        <v>Ziegler, Mary,</v>
      </c>
      <c r="F1564" t="str">
        <f>"xxx, 367 pages, 25 cm"</f>
        <v>xxx, 367 pages, 25 cm</v>
      </c>
      <c r="G1564" s="1">
        <v>15</v>
      </c>
      <c r="H1564">
        <v>2015</v>
      </c>
      <c r="I1564" t="str">
        <f t="shared" si="59"/>
        <v>9: 300 - 399</v>
      </c>
      <c r="K1564" t="str">
        <f t="shared" si="60"/>
        <v>WB - In</v>
      </c>
      <c r="L1564" s="1">
        <v>45</v>
      </c>
      <c r="M1564" t="s">
        <v>1470</v>
      </c>
      <c r="O1564" t="s">
        <v>28</v>
      </c>
      <c r="P1564">
        <v>0</v>
      </c>
      <c r="Q1564">
        <v>0</v>
      </c>
      <c r="R1564">
        <v>2</v>
      </c>
      <c r="S1564" s="2">
        <v>42172</v>
      </c>
      <c r="T1564" s="2">
        <v>42388</v>
      </c>
      <c r="U1564" s="2">
        <v>42311</v>
      </c>
      <c r="V1564" s="2">
        <v>42636</v>
      </c>
    </row>
    <row r="1565" spans="1:22" x14ac:dyDescent="0.2">
      <c r="A1565" t="str">
        <f>"363.5 IND"</f>
        <v>363.5 IND</v>
      </c>
      <c r="B1565" t="str">
        <f>"Independent for life: homes and neighbor"</f>
        <v>Independent for life: homes and neighbor</v>
      </c>
      <c r="C1565">
        <v>308093</v>
      </c>
      <c r="F1565" t="str">
        <f>"299 p."</f>
        <v>299 p.</v>
      </c>
      <c r="G1565" s="1">
        <v>12</v>
      </c>
      <c r="H1565">
        <v>2012</v>
      </c>
      <c r="I1565" t="str">
        <f t="shared" si="59"/>
        <v>9: 300 - 399</v>
      </c>
      <c r="K1565" t="str">
        <f>"LL - In"</f>
        <v>LL - In</v>
      </c>
      <c r="L1565" s="1">
        <v>30</v>
      </c>
      <c r="M1565" t="s">
        <v>1471</v>
      </c>
      <c r="O1565" t="s">
        <v>28</v>
      </c>
      <c r="P1565">
        <v>1</v>
      </c>
      <c r="Q1565">
        <v>0</v>
      </c>
      <c r="R1565">
        <v>8</v>
      </c>
      <c r="S1565" s="2">
        <v>41073</v>
      </c>
      <c r="T1565" s="2">
        <v>41220</v>
      </c>
      <c r="U1565" s="2">
        <v>43620</v>
      </c>
      <c r="V1565" s="2">
        <v>42732</v>
      </c>
    </row>
    <row r="1566" spans="1:22" x14ac:dyDescent="0.2">
      <c r="A1566" t="str">
        <f>"363.7 EIS"</f>
        <v>363.7 EIS</v>
      </c>
      <c r="B1566" t="str">
        <f>"Climate: a new story"</f>
        <v>Climate: a new story</v>
      </c>
      <c r="C1566">
        <v>352783</v>
      </c>
      <c r="D1566" t="str">
        <f>"Eisenstein, Charles,"</f>
        <v>Eisenstein, Charles,</v>
      </c>
      <c r="F1566" t="str">
        <f>"303 pages, 23 cm"</f>
        <v>303 pages, 23 cm</v>
      </c>
      <c r="G1566" s="1">
        <v>19</v>
      </c>
      <c r="H1566">
        <v>2018</v>
      </c>
      <c r="I1566" t="str">
        <f t="shared" si="59"/>
        <v>9: 300 - 399</v>
      </c>
      <c r="K1566" t="str">
        <f>"LL - In"</f>
        <v>LL - In</v>
      </c>
      <c r="L1566" s="1">
        <v>25</v>
      </c>
      <c r="M1566" t="s">
        <v>1472</v>
      </c>
      <c r="O1566" t="s">
        <v>28</v>
      </c>
      <c r="P1566">
        <v>2</v>
      </c>
      <c r="Q1566">
        <v>0</v>
      </c>
      <c r="R1566">
        <v>2</v>
      </c>
      <c r="S1566" s="2">
        <v>43507</v>
      </c>
      <c r="T1566" s="2">
        <v>43712</v>
      </c>
      <c r="U1566" s="2">
        <v>43607</v>
      </c>
    </row>
    <row r="1567" spans="1:22" x14ac:dyDescent="0.2">
      <c r="A1567" t="str">
        <f>"363.7 HAN"</f>
        <v>363.7 HAN</v>
      </c>
      <c r="B1567" t="str">
        <f>"What the eyes don't see: a story of cris"</f>
        <v>What the eyes don't see: a story of cris</v>
      </c>
      <c r="C1567">
        <v>348664</v>
      </c>
      <c r="D1567" t="str">
        <f>"Hanna-Attisha, Mona"</f>
        <v>Hanna-Attisha, Mona</v>
      </c>
      <c r="F1567" t="str">
        <f>"x, 364 pages, 24 cm, illustrations"</f>
        <v>x, 364 pages, 24 cm, illustrations</v>
      </c>
      <c r="G1567" s="1">
        <v>18</v>
      </c>
      <c r="H1567">
        <v>2018</v>
      </c>
      <c r="I1567" t="str">
        <f t="shared" si="59"/>
        <v>9: 300 - 399</v>
      </c>
      <c r="K1567" t="str">
        <f>"WB - In"</f>
        <v>WB - In</v>
      </c>
      <c r="L1567" s="1">
        <v>33</v>
      </c>
      <c r="M1567" t="s">
        <v>1473</v>
      </c>
      <c r="O1567" t="s">
        <v>28</v>
      </c>
      <c r="P1567">
        <v>5</v>
      </c>
      <c r="Q1567">
        <v>1</v>
      </c>
      <c r="R1567">
        <v>6</v>
      </c>
      <c r="S1567" s="2">
        <v>43292</v>
      </c>
      <c r="T1567" s="2">
        <v>43488</v>
      </c>
      <c r="U1567" s="2">
        <v>43673</v>
      </c>
      <c r="V1567" s="2">
        <v>43397</v>
      </c>
    </row>
    <row r="1568" spans="1:22" x14ac:dyDescent="0.2">
      <c r="A1568" t="str">
        <f>"363.7 MON"</f>
        <v>363.7 MON</v>
      </c>
      <c r="B1568" t="str">
        <f>"Feral: rewilding the land, the sea, and "</f>
        <v xml:space="preserve">Feral: rewilding the land, the sea, and </v>
      </c>
      <c r="C1568">
        <v>294821</v>
      </c>
      <c r="D1568" t="str">
        <f>"Monbiot, George"</f>
        <v>Monbiot, George</v>
      </c>
      <c r="F1568" t="str">
        <f>"xxi, 319 pages, 23 cm"</f>
        <v>xxi, 319 pages, 23 cm</v>
      </c>
      <c r="G1568" s="1">
        <v>17</v>
      </c>
      <c r="H1568">
        <v>2015</v>
      </c>
      <c r="I1568" t="str">
        <f t="shared" si="59"/>
        <v>9: 300 - 399</v>
      </c>
      <c r="K1568" t="str">
        <f>"LL - In"</f>
        <v>LL - In</v>
      </c>
      <c r="L1568" s="1">
        <v>20</v>
      </c>
      <c r="M1568" t="s">
        <v>1474</v>
      </c>
      <c r="O1568" t="s">
        <v>28</v>
      </c>
      <c r="P1568">
        <v>6</v>
      </c>
      <c r="Q1568">
        <v>0</v>
      </c>
      <c r="R1568">
        <v>6</v>
      </c>
      <c r="S1568" s="2">
        <v>42866</v>
      </c>
      <c r="T1568" s="2">
        <v>43089</v>
      </c>
      <c r="U1568" s="2">
        <v>43179</v>
      </c>
    </row>
    <row r="1569" spans="1:22" x14ac:dyDescent="0.2">
      <c r="A1569" t="str">
        <f>"363.7 MOR"</f>
        <v>363.7 MOR</v>
      </c>
      <c r="B1569" t="str">
        <f>"politically incorrect guide to climate c"</f>
        <v>politically incorrect guide to climate c</v>
      </c>
      <c r="C1569">
        <v>354303</v>
      </c>
      <c r="D1569" t="str">
        <f>"Morano, Marc"</f>
        <v>Morano, Marc</v>
      </c>
      <c r="F1569" t="str">
        <f>"xvii, 413 pages, 23 cm, illustrations"</f>
        <v>xvii, 413 pages, 23 cm, illustrations</v>
      </c>
      <c r="G1569" s="1">
        <v>19</v>
      </c>
      <c r="H1569">
        <v>2018</v>
      </c>
      <c r="I1569" t="str">
        <f t="shared" si="59"/>
        <v>9: 300 - 399</v>
      </c>
      <c r="K1569" t="str">
        <f>"LL - In"</f>
        <v>LL - In</v>
      </c>
      <c r="L1569" s="1">
        <v>27</v>
      </c>
      <c r="M1569" t="s">
        <v>1475</v>
      </c>
      <c r="O1569" t="s">
        <v>28</v>
      </c>
      <c r="P1569">
        <v>1</v>
      </c>
      <c r="Q1569">
        <v>0</v>
      </c>
      <c r="R1569">
        <v>1</v>
      </c>
      <c r="S1569" s="2">
        <v>43577</v>
      </c>
      <c r="T1569" s="2">
        <v>43588</v>
      </c>
      <c r="U1569" s="2">
        <v>43589</v>
      </c>
    </row>
    <row r="1570" spans="1:22" x14ac:dyDescent="0.2">
      <c r="A1570" t="str">
        <f>"363.7 RIC"</f>
        <v>363.7 RIC</v>
      </c>
      <c r="B1570" t="str">
        <f>"Getting to green: saving nature: a bipar"</f>
        <v>Getting to green: saving nature: a bipar</v>
      </c>
      <c r="C1570">
        <v>293884</v>
      </c>
      <c r="D1570" t="str">
        <f>"Rich, Frederic C."</f>
        <v>Rich, Frederic C.</v>
      </c>
      <c r="F1570" t="str">
        <f>"361 pages, 25 cm"</f>
        <v>361 pages, 25 cm</v>
      </c>
      <c r="G1570">
        <v>17</v>
      </c>
      <c r="H1570">
        <v>2016</v>
      </c>
      <c r="I1570" t="str">
        <f t="shared" si="59"/>
        <v>9: 300 - 399</v>
      </c>
      <c r="K1570" t="str">
        <f>"WB - In"</f>
        <v>WB - In</v>
      </c>
      <c r="L1570" s="1">
        <v>32</v>
      </c>
      <c r="M1570" t="s">
        <v>1476</v>
      </c>
      <c r="O1570" t="s">
        <v>28</v>
      </c>
      <c r="P1570">
        <v>3</v>
      </c>
      <c r="Q1570">
        <v>0</v>
      </c>
      <c r="R1570">
        <v>3</v>
      </c>
      <c r="S1570" s="2">
        <v>42810</v>
      </c>
      <c r="T1570" s="2">
        <v>42998</v>
      </c>
      <c r="U1570" s="2">
        <v>42962</v>
      </c>
    </row>
    <row r="1571" spans="1:22" x14ac:dyDescent="0.2">
      <c r="A1571" t="str">
        <f>"363.73 BLO"</f>
        <v>363.73 BLO</v>
      </c>
      <c r="B1571" t="str">
        <f>"Climate of hope: how cities, businesses,"</f>
        <v>Climate of hope: how cities, businesses,</v>
      </c>
      <c r="C1571">
        <v>340945</v>
      </c>
      <c r="D1571" t="str">
        <f>"Bloomberg, Michael"</f>
        <v>Bloomberg, Michael</v>
      </c>
      <c r="F1571" t="str">
        <f>"264 pages, 24 cm, color illustrations, color maps"</f>
        <v>264 pages, 24 cm, color illustrations, color maps</v>
      </c>
      <c r="G1571" s="1">
        <v>17</v>
      </c>
      <c r="H1571">
        <v>2017</v>
      </c>
      <c r="I1571" t="str">
        <f t="shared" si="59"/>
        <v>9: 300 - 399</v>
      </c>
      <c r="K1571" t="str">
        <f>"LL - In"</f>
        <v>LL - In</v>
      </c>
      <c r="L1571" s="1">
        <v>32</v>
      </c>
      <c r="M1571" t="s">
        <v>1477</v>
      </c>
      <c r="O1571" t="s">
        <v>28</v>
      </c>
      <c r="P1571">
        <v>5</v>
      </c>
      <c r="Q1571">
        <v>0</v>
      </c>
      <c r="R1571">
        <v>5</v>
      </c>
      <c r="S1571" s="2">
        <v>42849</v>
      </c>
      <c r="T1571" s="2">
        <v>42991</v>
      </c>
      <c r="U1571" s="2">
        <v>42986</v>
      </c>
    </row>
    <row r="1572" spans="1:22" x14ac:dyDescent="0.2">
      <c r="A1572" t="str">
        <f>"363.73 CAR"</f>
        <v>363.73 CAR</v>
      </c>
      <c r="B1572" t="str">
        <f>"Environmentalism gone mad: how a former "</f>
        <v xml:space="preserve">Environmentalism gone mad: how a former </v>
      </c>
      <c r="C1572">
        <v>292710</v>
      </c>
      <c r="D1572" t="str">
        <f>"Carlin, Alan."</f>
        <v>Carlin, Alan.</v>
      </c>
      <c r="F1572" t="str">
        <f>"viii, 626 pages, 22 cm, color illustrations"</f>
        <v>viii, 626 pages, 22 cm, color illustrations</v>
      </c>
      <c r="G1572" s="1">
        <v>16</v>
      </c>
      <c r="H1572">
        <v>2015</v>
      </c>
      <c r="I1572" t="str">
        <f t="shared" si="59"/>
        <v>9: 300 - 399</v>
      </c>
      <c r="K1572" t="str">
        <f>"WB - In"</f>
        <v>WB - In</v>
      </c>
      <c r="L1572" s="1">
        <v>33</v>
      </c>
      <c r="M1572" t="s">
        <v>1478</v>
      </c>
      <c r="O1572" t="s">
        <v>28</v>
      </c>
      <c r="P1572">
        <v>0</v>
      </c>
      <c r="Q1572">
        <v>0</v>
      </c>
      <c r="R1572">
        <v>2</v>
      </c>
      <c r="S1572" s="2">
        <v>42738</v>
      </c>
      <c r="T1572" s="2">
        <v>42741</v>
      </c>
      <c r="U1572" s="2">
        <v>42762</v>
      </c>
    </row>
    <row r="1573" spans="1:22" x14ac:dyDescent="0.2">
      <c r="A1573" t="str">
        <f>"363.73 CAR"</f>
        <v>363.73 CAR</v>
      </c>
      <c r="B1573" t="str">
        <f>"Silent spring"</f>
        <v>Silent spring</v>
      </c>
      <c r="C1573">
        <v>339758</v>
      </c>
      <c r="D1573" t="str">
        <f>"Carson, Rachel,"</f>
        <v>Carson, Rachel,</v>
      </c>
      <c r="F1573" t="str">
        <f>"xix, 378 p., 21 cm, ill."</f>
        <v>xix, 378 p., 21 cm, ill.</v>
      </c>
      <c r="G1573" s="1">
        <v>17</v>
      </c>
      <c r="H1573">
        <v>2012</v>
      </c>
      <c r="I1573" t="str">
        <f t="shared" si="59"/>
        <v>9: 300 - 399</v>
      </c>
      <c r="K1573" t="str">
        <f>"WB - In"</f>
        <v>WB - In</v>
      </c>
      <c r="L1573" s="1">
        <v>21</v>
      </c>
      <c r="M1573" t="s">
        <v>1479</v>
      </c>
      <c r="O1573" t="s">
        <v>28</v>
      </c>
      <c r="P1573">
        <v>8</v>
      </c>
      <c r="Q1573">
        <v>0</v>
      </c>
      <c r="R1573">
        <v>8</v>
      </c>
      <c r="S1573" s="2">
        <v>42779</v>
      </c>
      <c r="T1573" s="2">
        <v>42782</v>
      </c>
      <c r="U1573" s="2">
        <v>43763</v>
      </c>
    </row>
    <row r="1574" spans="1:22" x14ac:dyDescent="0.2">
      <c r="A1574" t="str">
        <f>"363.73 CAV"</f>
        <v>363.73 CAV</v>
      </c>
      <c r="B1574" t="str">
        <f>"Disaster on the horizon: high stakes, hi"</f>
        <v>Disaster on the horizon: high stakes, hi</v>
      </c>
      <c r="C1574">
        <v>146329</v>
      </c>
      <c r="D1574" t="str">
        <f>"Cavnar, Bob,"</f>
        <v>Cavnar, Bob,</v>
      </c>
      <c r="F1574" t="str">
        <f>"230 p."</f>
        <v>230 p.</v>
      </c>
      <c r="G1574" s="1">
        <v>10</v>
      </c>
      <c r="H1574">
        <v>2010</v>
      </c>
      <c r="I1574" t="str">
        <f t="shared" si="59"/>
        <v>9: 300 - 399</v>
      </c>
      <c r="K1574" t="str">
        <f>"LL - In"</f>
        <v>LL - In</v>
      </c>
      <c r="L1574" s="1">
        <v>20</v>
      </c>
      <c r="M1574" t="s">
        <v>1480</v>
      </c>
      <c r="O1574" t="s">
        <v>28</v>
      </c>
      <c r="P1574">
        <v>1</v>
      </c>
      <c r="Q1574">
        <v>1</v>
      </c>
      <c r="R1574">
        <v>8</v>
      </c>
      <c r="S1574" s="2">
        <v>40486</v>
      </c>
      <c r="T1574" s="2">
        <v>41053</v>
      </c>
      <c r="U1574" s="2">
        <v>42822</v>
      </c>
      <c r="V1574" s="2">
        <v>42922</v>
      </c>
    </row>
    <row r="1575" spans="1:22" x14ac:dyDescent="0.2">
      <c r="A1575" t="str">
        <f>"363.73 CLI"</f>
        <v>363.73 CLI</v>
      </c>
      <c r="B1575" t="str">
        <f>"Climate change: the facts"</f>
        <v>Climate change: the facts</v>
      </c>
      <c r="C1575">
        <v>282371</v>
      </c>
      <c r="F1575" t="str">
        <f>"vi, 336 pages, 21 cm, illustrations, maps"</f>
        <v>vi, 336 pages, 21 cm, illustrations, maps</v>
      </c>
      <c r="G1575" s="1">
        <v>15</v>
      </c>
      <c r="H1575">
        <v>2015</v>
      </c>
      <c r="I1575" t="str">
        <f t="shared" si="59"/>
        <v>9: 300 - 399</v>
      </c>
      <c r="K1575" t="str">
        <f>"LL - In"</f>
        <v>LL - In</v>
      </c>
      <c r="L1575" s="1">
        <v>20</v>
      </c>
      <c r="M1575" t="s">
        <v>1481</v>
      </c>
      <c r="O1575" t="s">
        <v>28</v>
      </c>
      <c r="P1575">
        <v>0</v>
      </c>
      <c r="Q1575">
        <v>0</v>
      </c>
      <c r="R1575">
        <v>3</v>
      </c>
      <c r="S1575" s="2">
        <v>42227</v>
      </c>
      <c r="T1575" s="2">
        <v>42234</v>
      </c>
      <c r="U1575" s="2">
        <v>42655</v>
      </c>
    </row>
    <row r="1576" spans="1:22" x14ac:dyDescent="0.2">
      <c r="A1576" t="str">
        <f>"363.73 DIS"</f>
        <v>363.73 DIS</v>
      </c>
      <c r="B1576" t="str">
        <f>"disgrace to the profession: the world's "</f>
        <v xml:space="preserve">disgrace to the profession: the world's </v>
      </c>
      <c r="C1576">
        <v>282737</v>
      </c>
      <c r="F1576" t="str">
        <f>"xiv, 308 pages, 22 cm"</f>
        <v>xiv, 308 pages, 22 cm</v>
      </c>
      <c r="G1576" s="1">
        <v>15</v>
      </c>
      <c r="H1576">
        <v>2015</v>
      </c>
      <c r="I1576" t="str">
        <f t="shared" si="59"/>
        <v>9: 300 - 399</v>
      </c>
      <c r="K1576" t="str">
        <f>"WB - In"</f>
        <v>WB - In</v>
      </c>
      <c r="L1576" s="1">
        <v>25</v>
      </c>
      <c r="M1576" t="s">
        <v>1482</v>
      </c>
      <c r="O1576" t="s">
        <v>28</v>
      </c>
      <c r="P1576">
        <v>1</v>
      </c>
      <c r="Q1576">
        <v>0</v>
      </c>
      <c r="R1576">
        <v>4</v>
      </c>
      <c r="S1576" s="2">
        <v>42257</v>
      </c>
      <c r="T1576" s="2">
        <v>42261</v>
      </c>
      <c r="U1576" s="2">
        <v>42927</v>
      </c>
    </row>
    <row r="1577" spans="1:22" x14ac:dyDescent="0.2">
      <c r="A1577" t="str">
        <f>"363.73 DRA"</f>
        <v>363.73 DRA</v>
      </c>
      <c r="B1577" t="str">
        <f>"Drawdown: the most comprehensive plan ev"</f>
        <v>Drawdown: the most comprehensive plan ev</v>
      </c>
      <c r="C1577">
        <v>345444</v>
      </c>
      <c r="F1577" t="str">
        <f>"xv, 240 pages, 28 cm, illustrations"</f>
        <v>xv, 240 pages, 28 cm, illustrations</v>
      </c>
      <c r="G1577" s="1">
        <v>18</v>
      </c>
      <c r="H1577">
        <v>2017</v>
      </c>
      <c r="I1577" t="str">
        <f t="shared" si="59"/>
        <v>9: 300 - 399</v>
      </c>
      <c r="K1577" t="str">
        <f>"WB - In"</f>
        <v>WB - In</v>
      </c>
      <c r="L1577" s="1">
        <v>27</v>
      </c>
      <c r="M1577" t="s">
        <v>1483</v>
      </c>
      <c r="O1577" t="s">
        <v>28</v>
      </c>
      <c r="P1577">
        <v>8</v>
      </c>
      <c r="Q1577">
        <v>1</v>
      </c>
      <c r="R1577">
        <v>9</v>
      </c>
      <c r="S1577" s="2">
        <v>43103</v>
      </c>
      <c r="T1577" s="2">
        <v>43313</v>
      </c>
      <c r="U1577" s="2">
        <v>43543</v>
      </c>
      <c r="V1577" s="2">
        <v>43673</v>
      </c>
    </row>
    <row r="1578" spans="1:22" x14ac:dyDescent="0.2">
      <c r="A1578" t="str">
        <f>"363.73 GRI"</f>
        <v>363.73 GRI</v>
      </c>
      <c r="B1578" t="str">
        <f>"Amity and Prosperity: one family and the"</f>
        <v>Amity and Prosperity: one family and the</v>
      </c>
      <c r="C1578">
        <v>353711</v>
      </c>
      <c r="D1578" t="str">
        <f>"Griswold, Eliza,"</f>
        <v>Griswold, Eliza,</v>
      </c>
      <c r="F1578" t="str">
        <f>"318 pages, 24 cm"</f>
        <v>318 pages, 24 cm</v>
      </c>
      <c r="G1578" s="1">
        <v>19</v>
      </c>
      <c r="H1578">
        <v>2018</v>
      </c>
      <c r="I1578" t="str">
        <f t="shared" si="59"/>
        <v>9: 300 - 399</v>
      </c>
      <c r="K1578" t="str">
        <f>"WB - In"</f>
        <v>WB - In</v>
      </c>
      <c r="L1578" s="1">
        <v>32</v>
      </c>
      <c r="M1578" t="s">
        <v>1484</v>
      </c>
      <c r="O1578" t="s">
        <v>28</v>
      </c>
      <c r="P1578">
        <v>4</v>
      </c>
      <c r="Q1578">
        <v>0</v>
      </c>
      <c r="R1578">
        <v>4</v>
      </c>
      <c r="S1578" s="2">
        <v>43549</v>
      </c>
      <c r="T1578" s="2">
        <v>43705</v>
      </c>
      <c r="U1578" s="2">
        <v>43712</v>
      </c>
    </row>
    <row r="1579" spans="1:22" x14ac:dyDescent="0.2">
      <c r="A1579" t="str">
        <f>"363.73 KLE"</f>
        <v>363.73 KLE</v>
      </c>
      <c r="B1579" t="str">
        <f>"This changes everything: capitalism vs. "</f>
        <v xml:space="preserve">This changes everything: capitalism vs. </v>
      </c>
      <c r="C1579">
        <v>324576</v>
      </c>
      <c r="D1579" t="str">
        <f>"Klein, Naomi"</f>
        <v>Klein, Naomi</v>
      </c>
      <c r="F1579" t="str">
        <f>"x, 566 pages, 24 cm"</f>
        <v>x, 566 pages, 24 cm</v>
      </c>
      <c r="G1579" s="1">
        <v>14</v>
      </c>
      <c r="H1579">
        <v>2014</v>
      </c>
      <c r="I1579" t="str">
        <f t="shared" si="59"/>
        <v>9: 300 - 399</v>
      </c>
      <c r="K1579" t="str">
        <f>"LL - In"</f>
        <v>LL - In</v>
      </c>
      <c r="L1579" s="1">
        <v>35</v>
      </c>
      <c r="M1579" t="s">
        <v>1485</v>
      </c>
      <c r="O1579" t="s">
        <v>28</v>
      </c>
      <c r="P1579">
        <v>5</v>
      </c>
      <c r="Q1579">
        <v>2</v>
      </c>
      <c r="R1579">
        <v>23</v>
      </c>
      <c r="S1579" s="2">
        <v>41961</v>
      </c>
      <c r="T1579" s="2">
        <v>42206</v>
      </c>
      <c r="U1579" s="2">
        <v>43067</v>
      </c>
      <c r="V1579" s="2">
        <v>43411</v>
      </c>
    </row>
    <row r="1580" spans="1:22" x14ac:dyDescent="0.2">
      <c r="A1580" t="str">
        <f>"363.73 MIC"</f>
        <v>363.73 MIC</v>
      </c>
      <c r="B1580" t="str">
        <f>"Lukewarming: the new climate science tha"</f>
        <v>Lukewarming: the new climate science tha</v>
      </c>
      <c r="C1580">
        <v>338335</v>
      </c>
      <c r="D1580" t="str">
        <f>"Michaels, Patrick J."</f>
        <v>Michaels, Patrick J.</v>
      </c>
      <c r="F1580" t="str">
        <f>"248 p."</f>
        <v>248 p.</v>
      </c>
      <c r="G1580" s="1">
        <v>16</v>
      </c>
      <c r="H1580">
        <v>2016</v>
      </c>
      <c r="I1580" t="str">
        <f t="shared" si="59"/>
        <v>9: 300 - 399</v>
      </c>
      <c r="K1580" t="str">
        <f>"LL - In"</f>
        <v>LL - In</v>
      </c>
      <c r="L1580" s="1">
        <v>20</v>
      </c>
      <c r="M1580" t="s">
        <v>1486</v>
      </c>
      <c r="O1580" t="s">
        <v>28</v>
      </c>
      <c r="P1580">
        <v>3</v>
      </c>
      <c r="Q1580">
        <v>0</v>
      </c>
      <c r="R1580">
        <v>5</v>
      </c>
      <c r="S1580" s="2">
        <v>42689</v>
      </c>
      <c r="T1580" s="2">
        <v>42692</v>
      </c>
      <c r="U1580" s="2">
        <v>43629</v>
      </c>
    </row>
    <row r="1581" spans="1:22" x14ac:dyDescent="0.2">
      <c r="A1581" t="str">
        <f>"363.73 MOR"</f>
        <v>363.73 MOR</v>
      </c>
      <c r="B1581" t="str">
        <f>"planet remade: how geoengineering could "</f>
        <v xml:space="preserve">planet remade: how geoengineering could </v>
      </c>
      <c r="C1581">
        <v>283295</v>
      </c>
      <c r="D1581" t="str">
        <f>"Morton, Oliver"</f>
        <v>Morton, Oliver</v>
      </c>
      <c r="F1581" t="str">
        <f>"428 pages, 25 cm"</f>
        <v>428 pages, 25 cm</v>
      </c>
      <c r="G1581" s="1">
        <v>15</v>
      </c>
      <c r="H1581">
        <v>2016</v>
      </c>
      <c r="I1581" t="str">
        <f t="shared" si="59"/>
        <v>9: 300 - 399</v>
      </c>
      <c r="K1581" t="str">
        <f>"LL - In"</f>
        <v>LL - In</v>
      </c>
      <c r="L1581" s="1">
        <v>35</v>
      </c>
      <c r="M1581" t="s">
        <v>1487</v>
      </c>
      <c r="O1581" t="s">
        <v>28</v>
      </c>
      <c r="P1581">
        <v>1</v>
      </c>
      <c r="Q1581">
        <v>0</v>
      </c>
      <c r="R1581">
        <v>5</v>
      </c>
      <c r="S1581" s="2">
        <v>42325</v>
      </c>
      <c r="T1581" s="2">
        <v>42467</v>
      </c>
      <c r="U1581" s="2">
        <v>43181</v>
      </c>
    </row>
    <row r="1582" spans="1:22" x14ac:dyDescent="0.2">
      <c r="A1582" t="str">
        <f>"363.73 NOR"</f>
        <v>363.73 NOR</v>
      </c>
      <c r="B1582" t="str">
        <f>"climate casino: risk, uncertainty, and e"</f>
        <v>climate casino: risk, uncertainty, and e</v>
      </c>
      <c r="C1582">
        <v>351011</v>
      </c>
      <c r="D1582" t="str">
        <f>"Nordhaus, William D."</f>
        <v>Nordhaus, William D.</v>
      </c>
      <c r="F1582" t="str">
        <f>"392 p."</f>
        <v>392 p.</v>
      </c>
      <c r="G1582" s="1">
        <v>18</v>
      </c>
      <c r="H1582">
        <v>2015</v>
      </c>
      <c r="I1582" t="str">
        <f t="shared" si="59"/>
        <v>9: 300 - 399</v>
      </c>
      <c r="K1582" t="str">
        <f>"WB - In"</f>
        <v>WB - In</v>
      </c>
      <c r="L1582" s="1">
        <v>25</v>
      </c>
      <c r="M1582" t="s">
        <v>1488</v>
      </c>
      <c r="O1582" t="s">
        <v>28</v>
      </c>
      <c r="P1582">
        <v>6</v>
      </c>
      <c r="Q1582">
        <v>0</v>
      </c>
      <c r="R1582">
        <v>6</v>
      </c>
      <c r="S1582" s="2">
        <v>43402</v>
      </c>
      <c r="T1582" s="2">
        <v>43579</v>
      </c>
      <c r="U1582" s="2">
        <v>43705</v>
      </c>
    </row>
    <row r="1583" spans="1:22" x14ac:dyDescent="0.2">
      <c r="A1583" t="str">
        <f>"363.73 NYE"</f>
        <v>363.73 NYE</v>
      </c>
      <c r="B1583" t="str">
        <f>"Unstoppable: harnessing science to chang"</f>
        <v>Unstoppable: harnessing science to chang</v>
      </c>
      <c r="C1583">
        <v>331419</v>
      </c>
      <c r="D1583" t="str">
        <f>"Nye, Bill"</f>
        <v>Nye, Bill</v>
      </c>
      <c r="F1583" t="str">
        <f>"viii, 341 pages, 25 cm"</f>
        <v>viii, 341 pages, 25 cm</v>
      </c>
      <c r="G1583" s="1">
        <v>15</v>
      </c>
      <c r="H1583">
        <v>2015</v>
      </c>
      <c r="I1583" t="str">
        <f t="shared" si="59"/>
        <v>9: 300 - 399</v>
      </c>
      <c r="K1583" t="str">
        <f>"WB - In"</f>
        <v>WB - In</v>
      </c>
      <c r="L1583" s="1">
        <v>32</v>
      </c>
      <c r="M1583" t="s">
        <v>1489</v>
      </c>
      <c r="O1583" t="s">
        <v>28</v>
      </c>
      <c r="P1583">
        <v>2</v>
      </c>
      <c r="Q1583">
        <v>0</v>
      </c>
      <c r="R1583">
        <v>9</v>
      </c>
      <c r="S1583" s="2">
        <v>42320</v>
      </c>
      <c r="T1583" s="2">
        <v>42467</v>
      </c>
      <c r="U1583" s="2">
        <v>43305</v>
      </c>
      <c r="V1583" s="2">
        <v>42463</v>
      </c>
    </row>
    <row r="1584" spans="1:22" x14ac:dyDescent="0.2">
      <c r="A1584" t="str">
        <f>"363.73 PLA"</f>
        <v>363.73 PLA</v>
      </c>
      <c r="B1584" t="str">
        <f>"Life without plastic: the practical step"</f>
        <v>Life without plastic: the practical step</v>
      </c>
      <c r="C1584">
        <v>346018</v>
      </c>
      <c r="D1584" t="str">
        <f>"Plamondon, Chantal"</f>
        <v>Plamondon, Chantal</v>
      </c>
      <c r="F1584" t="str">
        <f>"191 pages, 23 cm, color illustrations"</f>
        <v>191 pages, 23 cm, color illustrations</v>
      </c>
      <c r="G1584" s="1">
        <v>18</v>
      </c>
      <c r="H1584">
        <v>2017</v>
      </c>
      <c r="I1584" t="str">
        <f t="shared" si="59"/>
        <v>9: 300 - 399</v>
      </c>
      <c r="K1584" t="str">
        <f>"LL - In"</f>
        <v>LL - In</v>
      </c>
      <c r="L1584" s="1">
        <v>27</v>
      </c>
      <c r="M1584" t="s">
        <v>1490</v>
      </c>
      <c r="O1584" t="s">
        <v>28</v>
      </c>
      <c r="P1584">
        <v>7</v>
      </c>
      <c r="Q1584">
        <v>0</v>
      </c>
      <c r="R1584">
        <v>7</v>
      </c>
      <c r="S1584" s="2">
        <v>43144</v>
      </c>
      <c r="T1584" s="2">
        <v>43377</v>
      </c>
      <c r="U1584" s="2">
        <v>43529</v>
      </c>
    </row>
    <row r="1585" spans="1:22" x14ac:dyDescent="0.2">
      <c r="A1585" t="str">
        <f>"363.73 RIC"</f>
        <v>363.73 RIC</v>
      </c>
      <c r="B1585" t="str">
        <f>"Losing Earth: a recent history"</f>
        <v>Losing Earth: a recent history</v>
      </c>
      <c r="C1585">
        <v>356136</v>
      </c>
      <c r="D1585" t="str">
        <f>"Rich, Nathaniel,"</f>
        <v>Rich, Nathaniel,</v>
      </c>
      <c r="F1585" t="str">
        <f>"x, 206 pages, 22 cm, illustrations"</f>
        <v>x, 206 pages, 22 cm, illustrations</v>
      </c>
      <c r="G1585" s="1">
        <v>19</v>
      </c>
      <c r="H1585">
        <v>2019</v>
      </c>
      <c r="I1585" t="str">
        <f t="shared" si="59"/>
        <v>9: 300 - 399</v>
      </c>
      <c r="K1585" t="str">
        <f>"LL - In"</f>
        <v>LL - In</v>
      </c>
      <c r="L1585" s="1">
        <v>30</v>
      </c>
      <c r="M1585" t="s">
        <v>1491</v>
      </c>
      <c r="O1585" t="s">
        <v>28</v>
      </c>
      <c r="P1585">
        <v>4</v>
      </c>
      <c r="Q1585">
        <v>1</v>
      </c>
      <c r="R1585">
        <v>5</v>
      </c>
      <c r="S1585" s="2">
        <v>43655</v>
      </c>
      <c r="T1585" s="2">
        <v>43809</v>
      </c>
      <c r="U1585" s="2">
        <v>43752</v>
      </c>
      <c r="V1585" s="2">
        <v>43809</v>
      </c>
    </row>
    <row r="1586" spans="1:22" x14ac:dyDescent="0.2">
      <c r="A1586" t="str">
        <f>"363.73 STE"</f>
        <v>363.73 STE</v>
      </c>
      <c r="B1586" t="str">
        <f>"Why are we waiting?: the logic, urgency,"</f>
        <v>Why are we waiting?: the logic, urgency,</v>
      </c>
      <c r="C1586">
        <v>299095</v>
      </c>
      <c r="D1586" t="str">
        <f>"Stern, N. H."</f>
        <v>Stern, N. H.</v>
      </c>
      <c r="F1586" t="str">
        <f>"xxxv, 406 pages, 24 cm, illustrations"</f>
        <v>xxxv, 406 pages, 24 cm, illustrations</v>
      </c>
      <c r="G1586" s="1">
        <v>17</v>
      </c>
      <c r="H1586">
        <v>2015</v>
      </c>
      <c r="I1586" t="str">
        <f t="shared" si="59"/>
        <v>9: 300 - 399</v>
      </c>
      <c r="K1586" t="str">
        <f>"WB - In"</f>
        <v>WB - In</v>
      </c>
      <c r="L1586" s="1">
        <v>22</v>
      </c>
      <c r="M1586" t="s">
        <v>1492</v>
      </c>
      <c r="O1586" t="s">
        <v>28</v>
      </c>
      <c r="P1586">
        <v>2</v>
      </c>
      <c r="Q1586">
        <v>0</v>
      </c>
      <c r="R1586">
        <v>2</v>
      </c>
      <c r="S1586" s="2">
        <v>43089</v>
      </c>
      <c r="T1586" s="2">
        <v>43108</v>
      </c>
      <c r="U1586" s="2">
        <v>43480</v>
      </c>
    </row>
    <row r="1587" spans="1:22" x14ac:dyDescent="0.2">
      <c r="A1587" t="str">
        <f>"363.8 COC"</f>
        <v>363.8 COC</v>
      </c>
      <c r="B1587" t="str">
        <f>"Food and the city: urban agriculture and"</f>
        <v>Food and the city: urban agriculture and</v>
      </c>
      <c r="C1587">
        <v>305486</v>
      </c>
      <c r="D1587" t="str">
        <f>"Cockrall-King, Jennifer,"</f>
        <v>Cockrall-King, Jennifer,</v>
      </c>
      <c r="F1587" t="str">
        <f>"372 p."</f>
        <v>372 p.</v>
      </c>
      <c r="G1587" s="1">
        <v>12</v>
      </c>
      <c r="H1587">
        <v>2011</v>
      </c>
      <c r="I1587" t="str">
        <f t="shared" si="59"/>
        <v>9: 300 - 399</v>
      </c>
      <c r="K1587" t="str">
        <f>"WB - In"</f>
        <v>WB - In</v>
      </c>
      <c r="L1587" s="1">
        <v>26</v>
      </c>
      <c r="M1587" t="s">
        <v>1493</v>
      </c>
      <c r="O1587" t="s">
        <v>28</v>
      </c>
      <c r="P1587">
        <v>1</v>
      </c>
      <c r="Q1587">
        <v>0</v>
      </c>
      <c r="R1587">
        <v>3</v>
      </c>
      <c r="S1587" s="2">
        <v>40947</v>
      </c>
      <c r="T1587" s="2">
        <v>41422</v>
      </c>
      <c r="U1587" s="2">
        <v>43465</v>
      </c>
    </row>
    <row r="1588" spans="1:22" x14ac:dyDescent="0.2">
      <c r="A1588" t="str">
        <f>"363.8 FOO"</f>
        <v>363.8 FOO</v>
      </c>
      <c r="B1588" t="str">
        <f>"Food, Inc.: how industrial food is makin"</f>
        <v>Food, Inc.: how industrial food is makin</v>
      </c>
      <c r="C1588">
        <v>139319</v>
      </c>
      <c r="F1588" t="str">
        <f>"xi, 321 p., 24 cm."</f>
        <v>xi, 321 p., 24 cm.</v>
      </c>
      <c r="G1588" s="1">
        <v>9</v>
      </c>
      <c r="H1588">
        <v>2009</v>
      </c>
      <c r="I1588" t="str">
        <f t="shared" si="59"/>
        <v>9: 300 - 399</v>
      </c>
      <c r="K1588" t="str">
        <f>"LL - In"</f>
        <v>LL - In</v>
      </c>
      <c r="L1588" s="1">
        <v>20</v>
      </c>
      <c r="M1588" t="s">
        <v>1494</v>
      </c>
      <c r="O1588" t="s">
        <v>28</v>
      </c>
      <c r="P1588">
        <v>4</v>
      </c>
      <c r="Q1588">
        <v>0</v>
      </c>
      <c r="R1588">
        <v>46</v>
      </c>
      <c r="S1588" s="2">
        <v>40095</v>
      </c>
      <c r="T1588" s="2">
        <v>41053</v>
      </c>
      <c r="U1588" s="2">
        <v>43787</v>
      </c>
    </row>
    <row r="1589" spans="1:22" x14ac:dyDescent="0.2">
      <c r="A1589" t="str">
        <f>"363.8 GEN"</f>
        <v>363.8 GEN</v>
      </c>
      <c r="B1589" t="str">
        <f>"Genetic roulette: the gamble of ou [DVD]"</f>
        <v>Genetic roulette: the gamble of ou [DVD]</v>
      </c>
      <c r="C1589">
        <v>266665</v>
      </c>
      <c r="D1589" t="str">
        <f>"Smith, Jeffrey M."</f>
        <v>Smith, Jeffrey M.</v>
      </c>
      <c r="F1589" t="str">
        <f>"2 discs (ca. 170 min.), 4 3/4 in., sd., col."</f>
        <v>2 discs (ca. 170 min.), 4 3/4 in., sd., col.</v>
      </c>
      <c r="G1589" s="1">
        <v>13</v>
      </c>
      <c r="H1589">
        <v>2012</v>
      </c>
      <c r="I1589" t="str">
        <f t="shared" si="59"/>
        <v>9: 300 - 399</v>
      </c>
      <c r="K1589" t="str">
        <f>"LL - In"</f>
        <v>LL - In</v>
      </c>
      <c r="L1589" s="1">
        <v>25</v>
      </c>
      <c r="M1589" t="s">
        <v>1495</v>
      </c>
      <c r="O1589" t="s">
        <v>28</v>
      </c>
      <c r="P1589">
        <v>1</v>
      </c>
      <c r="Q1589">
        <v>0</v>
      </c>
      <c r="R1589">
        <v>6</v>
      </c>
      <c r="S1589" s="2">
        <v>41446</v>
      </c>
      <c r="T1589" s="2">
        <v>42179</v>
      </c>
      <c r="U1589" s="2">
        <v>42926</v>
      </c>
    </row>
    <row r="1590" spans="1:22" x14ac:dyDescent="0.2">
      <c r="A1590" t="str">
        <f>"363.8 LUS"</f>
        <v>363.8 LUS</v>
      </c>
      <c r="B1590" t="str">
        <f>"Fat chance: beating the odds against sug"</f>
        <v>Fat chance: beating the odds against sug</v>
      </c>
      <c r="C1590">
        <v>358307</v>
      </c>
      <c r="D1590" t="str">
        <f>"Lustig, Robert H."</f>
        <v>Lustig, Robert H.</v>
      </c>
      <c r="F1590" t="str">
        <f>"xv, 320 p., 21 cm, ill."</f>
        <v>xv, 320 p., 21 cm, ill.</v>
      </c>
      <c r="G1590" s="1">
        <v>19</v>
      </c>
      <c r="H1590">
        <v>2014</v>
      </c>
      <c r="I1590" t="str">
        <f t="shared" si="59"/>
        <v>9: 300 - 399</v>
      </c>
      <c r="K1590" t="str">
        <f>"WB - In"</f>
        <v>WB - In</v>
      </c>
      <c r="L1590" s="1">
        <v>22</v>
      </c>
      <c r="M1590" t="s">
        <v>1496</v>
      </c>
      <c r="O1590" t="s">
        <v>28</v>
      </c>
      <c r="P1590">
        <v>3</v>
      </c>
      <c r="Q1590">
        <v>0</v>
      </c>
      <c r="R1590">
        <v>3</v>
      </c>
      <c r="S1590" s="2">
        <v>43749</v>
      </c>
      <c r="T1590" s="2">
        <v>43766</v>
      </c>
      <c r="U1590" s="2">
        <v>43804</v>
      </c>
    </row>
    <row r="1591" spans="1:22" x14ac:dyDescent="0.2">
      <c r="A1591" t="str">
        <f>"363.8 MAR"</f>
        <v>363.8 MAR</v>
      </c>
      <c r="B1591" t="str">
        <f>"carnivore's man!festo: eating well, eati"</f>
        <v>carnivore's man!festo: eating well, eati</v>
      </c>
      <c r="C1591">
        <v>322001</v>
      </c>
      <c r="D1591" t="str">
        <f>"Martins, Patrick."</f>
        <v>Martins, Patrick.</v>
      </c>
      <c r="F1591" t="str">
        <f>"xii, 260 pages, 22 cm, illustrations"</f>
        <v>xii, 260 pages, 22 cm, illustrations</v>
      </c>
      <c r="G1591" s="1">
        <v>14</v>
      </c>
      <c r="H1591">
        <v>2014</v>
      </c>
      <c r="I1591" t="str">
        <f t="shared" si="59"/>
        <v>9: 300 - 399</v>
      </c>
      <c r="K1591" t="str">
        <f>"WB - In"</f>
        <v>WB - In</v>
      </c>
      <c r="L1591" s="1">
        <v>31</v>
      </c>
      <c r="M1591" t="s">
        <v>1497</v>
      </c>
      <c r="O1591" t="s">
        <v>28</v>
      </c>
      <c r="P1591">
        <v>3</v>
      </c>
      <c r="Q1591">
        <v>0</v>
      </c>
      <c r="R1591">
        <v>9</v>
      </c>
      <c r="S1591" s="2">
        <v>41813</v>
      </c>
      <c r="T1591" s="2">
        <v>42011</v>
      </c>
      <c r="U1591" s="2">
        <v>43808</v>
      </c>
    </row>
    <row r="1592" spans="1:22" x14ac:dyDescent="0.2">
      <c r="A1592" t="str">
        <f>"363.8 MCK"</f>
        <v>363.8 MCK</v>
      </c>
      <c r="B1592" t="str">
        <f>"Big chicken: the incredible story of how"</f>
        <v>Big chicken: the incredible story of how</v>
      </c>
      <c r="C1592">
        <v>343638</v>
      </c>
      <c r="D1592" t="str">
        <f>"McKenna, Maryn"</f>
        <v>McKenna, Maryn</v>
      </c>
      <c r="F1592" t="str">
        <f>"316 p."</f>
        <v>316 p.</v>
      </c>
      <c r="G1592" s="1">
        <v>17</v>
      </c>
      <c r="H1592">
        <v>2017</v>
      </c>
      <c r="I1592" t="str">
        <f t="shared" si="59"/>
        <v>9: 300 - 399</v>
      </c>
      <c r="K1592" t="str">
        <f>"LL - In"</f>
        <v>LL - In</v>
      </c>
      <c r="L1592" s="1">
        <v>32</v>
      </c>
      <c r="M1592" t="s">
        <v>1498</v>
      </c>
      <c r="O1592" t="s">
        <v>28</v>
      </c>
      <c r="P1592">
        <v>6</v>
      </c>
      <c r="Q1592">
        <v>0</v>
      </c>
      <c r="R1592">
        <v>6</v>
      </c>
      <c r="S1592" s="2">
        <v>43004</v>
      </c>
      <c r="T1592" s="2">
        <v>43187</v>
      </c>
      <c r="U1592" s="2">
        <v>43164</v>
      </c>
    </row>
    <row r="1593" spans="1:22" x14ac:dyDescent="0.2">
      <c r="A1593" t="str">
        <f>"363.8 MCW"</f>
        <v>363.8 MCW</v>
      </c>
      <c r="B1593" t="str">
        <f>"Just food: where locavores get it wrong "</f>
        <v xml:space="preserve">Just food: where locavores get it wrong </v>
      </c>
      <c r="C1593">
        <v>272331</v>
      </c>
      <c r="D1593" t="str">
        <f>"McWilliams, James E."</f>
        <v>McWilliams, James E.</v>
      </c>
      <c r="F1593" t="str">
        <f>"xi, 258, 12 pages, 21 cm"</f>
        <v>xi, 258, 12 pages, 21 cm</v>
      </c>
      <c r="G1593" s="1">
        <v>14</v>
      </c>
      <c r="H1593">
        <v>2010</v>
      </c>
      <c r="I1593" t="str">
        <f t="shared" si="59"/>
        <v>9: 300 - 399</v>
      </c>
      <c r="K1593" t="str">
        <f>"WB - In"</f>
        <v>WB - In</v>
      </c>
      <c r="L1593" s="1">
        <v>20</v>
      </c>
      <c r="M1593" t="s">
        <v>1499</v>
      </c>
      <c r="O1593" t="s">
        <v>28</v>
      </c>
      <c r="P1593">
        <v>2</v>
      </c>
      <c r="Q1593">
        <v>0</v>
      </c>
      <c r="R1593">
        <v>7</v>
      </c>
      <c r="S1593" s="2">
        <v>41731</v>
      </c>
      <c r="T1593" s="2">
        <v>41737</v>
      </c>
      <c r="U1593" s="2">
        <v>43424</v>
      </c>
    </row>
    <row r="1594" spans="1:22" x14ac:dyDescent="0.2">
      <c r="A1594" t="str">
        <f>"363.8 MOS"</f>
        <v>363.8 MOS</v>
      </c>
      <c r="B1594" t="str">
        <f>"Salt, sugar, fat: how the food giants ho"</f>
        <v>Salt, sugar, fat: how the food giants ho</v>
      </c>
      <c r="C1594">
        <v>312793</v>
      </c>
      <c r="D1594" t="str">
        <f>"Moss, Michael,"</f>
        <v>Moss, Michael,</v>
      </c>
      <c r="F1594" t="str">
        <f>"xxx, 446 p., 25 cm."</f>
        <v>xxx, 446 p., 25 cm.</v>
      </c>
      <c r="G1594" s="1">
        <v>13</v>
      </c>
      <c r="H1594">
        <v>2013</v>
      </c>
      <c r="I1594" t="str">
        <f t="shared" si="59"/>
        <v>9: 300 - 399</v>
      </c>
      <c r="K1594" t="str">
        <f>"WB - Out"</f>
        <v>WB - Out</v>
      </c>
      <c r="L1594" s="1">
        <v>33</v>
      </c>
      <c r="M1594" t="s">
        <v>1500</v>
      </c>
      <c r="O1594" t="s">
        <v>28</v>
      </c>
      <c r="P1594">
        <v>10</v>
      </c>
      <c r="Q1594">
        <v>0</v>
      </c>
      <c r="R1594">
        <v>35</v>
      </c>
      <c r="S1594" s="2">
        <v>41334</v>
      </c>
      <c r="T1594" s="2">
        <v>41583</v>
      </c>
      <c r="U1594" s="2">
        <v>43834</v>
      </c>
      <c r="V1594" s="2">
        <v>42400</v>
      </c>
    </row>
    <row r="1595" spans="1:22" x14ac:dyDescent="0.2">
      <c r="A1595" t="str">
        <f>"363.8 OLM"</f>
        <v>363.8 OLM</v>
      </c>
      <c r="B1595" t="str">
        <f>"Real food fake food: why you don't know "</f>
        <v xml:space="preserve">Real food fake food: why you don't know </v>
      </c>
      <c r="C1595">
        <v>336675</v>
      </c>
      <c r="D1595" t="str">
        <f>"Olmsted, Larry"</f>
        <v>Olmsted, Larry</v>
      </c>
      <c r="F1595" t="str">
        <f>"xvii, 318 pages, 24 cm, illustrations"</f>
        <v>xvii, 318 pages, 24 cm, illustrations</v>
      </c>
      <c r="G1595" s="1">
        <v>16</v>
      </c>
      <c r="H1595">
        <v>2016</v>
      </c>
      <c r="I1595" t="str">
        <f t="shared" si="59"/>
        <v>9: 300 - 399</v>
      </c>
      <c r="K1595" t="str">
        <f t="shared" ref="K1595:K1600" si="61">"WB - In"</f>
        <v>WB - In</v>
      </c>
      <c r="L1595" s="1">
        <v>33</v>
      </c>
      <c r="M1595" t="s">
        <v>1501</v>
      </c>
      <c r="O1595" t="s">
        <v>28</v>
      </c>
      <c r="P1595">
        <v>3</v>
      </c>
      <c r="Q1595">
        <v>0</v>
      </c>
      <c r="R1595">
        <v>15</v>
      </c>
      <c r="S1595" s="2">
        <v>42591</v>
      </c>
      <c r="T1595" s="2">
        <v>42816</v>
      </c>
      <c r="U1595" s="2">
        <v>42945</v>
      </c>
    </row>
    <row r="1596" spans="1:22" x14ac:dyDescent="0.2">
      <c r="A1596" t="str">
        <f>"363.8 POL"</f>
        <v>363.8 POL</v>
      </c>
      <c r="B1596" t="str">
        <f>"omnivore's dilemma: a natural history of"</f>
        <v>omnivore's dilemma: a natural history of</v>
      </c>
      <c r="C1596">
        <v>312532</v>
      </c>
      <c r="D1596" t="str">
        <f>"Pollan, Michael"</f>
        <v>Pollan, Michael</v>
      </c>
      <c r="F1596" t="str">
        <f>"450 p."</f>
        <v>450 p.</v>
      </c>
      <c r="G1596" s="1">
        <v>13</v>
      </c>
      <c r="H1596">
        <v>2006</v>
      </c>
      <c r="I1596" t="str">
        <f t="shared" si="59"/>
        <v>9: 300 - 399</v>
      </c>
      <c r="K1596" t="str">
        <f t="shared" si="61"/>
        <v>WB - In</v>
      </c>
      <c r="L1596" s="1">
        <v>32</v>
      </c>
      <c r="M1596" t="s">
        <v>1502</v>
      </c>
      <c r="O1596" t="s">
        <v>28</v>
      </c>
      <c r="P1596">
        <v>10</v>
      </c>
      <c r="Q1596">
        <v>0</v>
      </c>
      <c r="R1596">
        <v>34</v>
      </c>
      <c r="S1596" s="2">
        <v>41324</v>
      </c>
      <c r="T1596" s="2">
        <v>41327</v>
      </c>
      <c r="U1596" s="2">
        <v>43784</v>
      </c>
    </row>
    <row r="1597" spans="1:22" x14ac:dyDescent="0.2">
      <c r="A1597" t="str">
        <f>"363.8 ROB"</f>
        <v>363.8 ROB</v>
      </c>
      <c r="B1597" t="str">
        <f>"Blessing the hands that feed us: what ea"</f>
        <v>Blessing the hands that feed us: what ea</v>
      </c>
      <c r="C1597">
        <v>327160</v>
      </c>
      <c r="D1597" t="str">
        <f>"Robin, Vicki."</f>
        <v>Robin, Vicki.</v>
      </c>
      <c r="F1597" t="str">
        <f>"xiii, 334 p., 22 cm, map"</f>
        <v>xiii, 334 p., 22 cm, map</v>
      </c>
      <c r="G1597" s="1">
        <v>15</v>
      </c>
      <c r="H1597">
        <v>2014</v>
      </c>
      <c r="I1597" t="str">
        <f t="shared" si="59"/>
        <v>9: 300 - 399</v>
      </c>
      <c r="K1597" t="str">
        <f t="shared" si="61"/>
        <v>WB - In</v>
      </c>
      <c r="L1597" s="1">
        <v>21</v>
      </c>
      <c r="M1597" t="s">
        <v>1503</v>
      </c>
      <c r="O1597" t="s">
        <v>28</v>
      </c>
      <c r="P1597">
        <v>0</v>
      </c>
      <c r="Q1597">
        <v>0</v>
      </c>
      <c r="R1597">
        <v>3</v>
      </c>
      <c r="S1597" s="2">
        <v>42124</v>
      </c>
      <c r="T1597" s="2">
        <v>42129</v>
      </c>
      <c r="U1597" s="2">
        <v>42464</v>
      </c>
    </row>
    <row r="1598" spans="1:22" x14ac:dyDescent="0.2">
      <c r="A1598" t="str">
        <f>"363.8 SCH"</f>
        <v>363.8 SCH</v>
      </c>
      <c r="B1598" t="str">
        <f>"Fast food nation: the dark side of the a"</f>
        <v>Fast food nation: the dark side of the a</v>
      </c>
      <c r="C1598">
        <v>329024</v>
      </c>
      <c r="D1598" t="str">
        <f>"Schlosser, Eric"</f>
        <v>Schlosser, Eric</v>
      </c>
      <c r="F1598" t="str">
        <f>"362 p., 21 cm, ill."</f>
        <v>362 p., 21 cm, ill.</v>
      </c>
      <c r="G1598" s="1">
        <v>15</v>
      </c>
      <c r="H1598">
        <v>2012</v>
      </c>
      <c r="I1598" t="str">
        <f t="shared" si="59"/>
        <v>9: 300 - 399</v>
      </c>
      <c r="K1598" t="str">
        <f t="shared" si="61"/>
        <v>WB - In</v>
      </c>
      <c r="L1598" s="1">
        <v>21</v>
      </c>
      <c r="M1598" t="s">
        <v>1504</v>
      </c>
      <c r="O1598" t="s">
        <v>28</v>
      </c>
      <c r="P1598">
        <v>5</v>
      </c>
      <c r="Q1598">
        <v>1</v>
      </c>
      <c r="R1598">
        <v>12</v>
      </c>
      <c r="S1598" s="2">
        <v>42220</v>
      </c>
      <c r="T1598" s="2">
        <v>42227</v>
      </c>
      <c r="U1598" s="2">
        <v>43822</v>
      </c>
      <c r="V1598" s="2">
        <v>43642</v>
      </c>
    </row>
    <row r="1599" spans="1:22" x14ac:dyDescent="0.2">
      <c r="A1599" t="str">
        <f>"363.8 SET"</f>
        <v>363.8 SET</v>
      </c>
      <c r="B1599" t="str">
        <f>"Bread, wine, chocolate: the slow loss of"</f>
        <v>Bread, wine, chocolate: the slow loss of</v>
      </c>
      <c r="C1599">
        <v>331988</v>
      </c>
      <c r="D1599" t="str">
        <f>"Sethi, Simran"</f>
        <v>Sethi, Simran</v>
      </c>
      <c r="F1599" t="str">
        <f>"342 pages, 24 cm"</f>
        <v>342 pages, 24 cm</v>
      </c>
      <c r="G1599" s="1">
        <v>15</v>
      </c>
      <c r="H1599">
        <v>2015</v>
      </c>
      <c r="I1599" t="str">
        <f t="shared" si="59"/>
        <v>9: 300 - 399</v>
      </c>
      <c r="K1599" t="str">
        <f t="shared" si="61"/>
        <v>WB - In</v>
      </c>
      <c r="L1599" s="1">
        <v>32</v>
      </c>
      <c r="M1599" t="s">
        <v>1505</v>
      </c>
      <c r="O1599" t="s">
        <v>28</v>
      </c>
      <c r="P1599">
        <v>0</v>
      </c>
      <c r="Q1599">
        <v>0</v>
      </c>
      <c r="R1599">
        <v>9</v>
      </c>
      <c r="S1599" s="2">
        <v>42359</v>
      </c>
      <c r="T1599" s="2">
        <v>42544</v>
      </c>
      <c r="U1599" s="2">
        <v>42527</v>
      </c>
    </row>
    <row r="1600" spans="1:22" x14ac:dyDescent="0.2">
      <c r="A1600" t="str">
        <f>"363.8 WAR"</f>
        <v>363.8 WAR</v>
      </c>
      <c r="B1600" t="str">
        <f>"Pandora's lunchbox: how processed food t"</f>
        <v>Pandora's lunchbox: how processed food t</v>
      </c>
      <c r="C1600">
        <v>319443</v>
      </c>
      <c r="D1600" t="str">
        <f>"Warner, Melanie."</f>
        <v>Warner, Melanie.</v>
      </c>
      <c r="F1600" t="str">
        <f>"xvii, 267 p., 24 cm."</f>
        <v>xvii, 267 p., 24 cm.</v>
      </c>
      <c r="G1600" s="1">
        <v>14</v>
      </c>
      <c r="H1600">
        <v>2013</v>
      </c>
      <c r="I1600" t="str">
        <f t="shared" si="59"/>
        <v>9: 300 - 399</v>
      </c>
      <c r="K1600" t="str">
        <f t="shared" si="61"/>
        <v>WB - In</v>
      </c>
      <c r="L1600" s="1">
        <v>31</v>
      </c>
      <c r="M1600" t="s">
        <v>1506</v>
      </c>
      <c r="O1600" t="s">
        <v>28</v>
      </c>
      <c r="P1600">
        <v>1</v>
      </c>
      <c r="Q1600">
        <v>1</v>
      </c>
      <c r="R1600">
        <v>5</v>
      </c>
      <c r="S1600" s="2">
        <v>41662</v>
      </c>
      <c r="T1600" s="2">
        <v>41673</v>
      </c>
      <c r="U1600" s="2">
        <v>43018</v>
      </c>
      <c r="V1600" s="2">
        <v>42797</v>
      </c>
    </row>
    <row r="1601" spans="1:22" x14ac:dyDescent="0.2">
      <c r="A1601" t="str">
        <f>"363.9 FON"</f>
        <v>363.9 FON</v>
      </c>
      <c r="B1601" t="str">
        <f>"One child: the story of China's most rad"</f>
        <v>One child: the story of China's most rad</v>
      </c>
      <c r="C1601">
        <v>333414</v>
      </c>
      <c r="D1601" t="str">
        <f>"Fong, Mei"</f>
        <v>Fong, Mei</v>
      </c>
      <c r="F1601" t="str">
        <f>"xvi, 250 pages, 24 cm"</f>
        <v>xvi, 250 pages, 24 cm</v>
      </c>
      <c r="G1601" s="1">
        <v>16</v>
      </c>
      <c r="H1601">
        <v>2016</v>
      </c>
      <c r="I1601" t="str">
        <f t="shared" si="59"/>
        <v>9: 300 - 399</v>
      </c>
      <c r="K1601" t="str">
        <f>"LL - In"</f>
        <v>LL - In</v>
      </c>
      <c r="L1601" s="1">
        <v>32</v>
      </c>
      <c r="M1601" t="s">
        <v>1507</v>
      </c>
      <c r="O1601" t="s">
        <v>28</v>
      </c>
      <c r="P1601">
        <v>4</v>
      </c>
      <c r="Q1601">
        <v>0</v>
      </c>
      <c r="R1601">
        <v>13</v>
      </c>
      <c r="S1601" s="2">
        <v>42424</v>
      </c>
      <c r="T1601" s="2">
        <v>42590</v>
      </c>
      <c r="U1601" s="2">
        <v>43669</v>
      </c>
    </row>
    <row r="1602" spans="1:22" x14ac:dyDescent="0.2">
      <c r="A1602" t="str">
        <f>"364.1 AIN"</f>
        <v>364.1 AIN</v>
      </c>
      <c r="B1602" t="str">
        <f>"fight to save Ju�rez: life in the heart "</f>
        <v xml:space="preserve">fight to save Ju�rez: life in the heart </v>
      </c>
      <c r="C1602">
        <v>318233</v>
      </c>
      <c r="D1602" t="str">
        <f>"Ainslie, Ricardo C."</f>
        <v>Ainslie, Ricardo C.</v>
      </c>
      <c r="F1602" t="str">
        <f>"xii, 282 p., 24 cm, ill."</f>
        <v>xii, 282 p., 24 cm, ill.</v>
      </c>
      <c r="G1602" s="1">
        <v>13</v>
      </c>
      <c r="H1602">
        <v>2013</v>
      </c>
      <c r="I1602" t="str">
        <f t="shared" si="59"/>
        <v>9: 300 - 399</v>
      </c>
      <c r="K1602" t="str">
        <f t="shared" ref="K1602:K1609" si="62">"WB - In"</f>
        <v>WB - In</v>
      </c>
      <c r="L1602" s="1">
        <v>30</v>
      </c>
      <c r="M1602" t="s">
        <v>1508</v>
      </c>
      <c r="O1602" t="s">
        <v>28</v>
      </c>
      <c r="P1602">
        <v>1</v>
      </c>
      <c r="Q1602">
        <v>0</v>
      </c>
      <c r="R1602">
        <v>10</v>
      </c>
      <c r="S1602" s="2">
        <v>41610</v>
      </c>
      <c r="T1602" s="2">
        <v>41908</v>
      </c>
      <c r="U1602" s="2">
        <v>43140</v>
      </c>
    </row>
    <row r="1603" spans="1:22" x14ac:dyDescent="0.2">
      <c r="A1603" t="str">
        <f>"364.1 BRA"</f>
        <v>364.1 BRA</v>
      </c>
      <c r="B1603" t="str">
        <f>"family tree: a lynching in Georgia, a le"</f>
        <v>family tree: a lynching in Georgia, a le</v>
      </c>
      <c r="C1603">
        <v>336989</v>
      </c>
      <c r="D1603" t="str">
        <f>"Branan, Karen."</f>
        <v>Branan, Karen.</v>
      </c>
      <c r="F1603" t="str">
        <f>"292 p."</f>
        <v>292 p.</v>
      </c>
      <c r="G1603" s="1">
        <v>16</v>
      </c>
      <c r="H1603">
        <v>2016</v>
      </c>
      <c r="I1603" t="str">
        <f t="shared" si="59"/>
        <v>9: 300 - 399</v>
      </c>
      <c r="K1603" t="str">
        <f t="shared" si="62"/>
        <v>WB - In</v>
      </c>
      <c r="L1603" s="1">
        <v>31</v>
      </c>
      <c r="M1603" t="s">
        <v>1509</v>
      </c>
      <c r="O1603" t="s">
        <v>28</v>
      </c>
      <c r="P1603">
        <v>2</v>
      </c>
      <c r="Q1603">
        <v>0</v>
      </c>
      <c r="R1603">
        <v>5</v>
      </c>
      <c r="S1603" s="2">
        <v>42605</v>
      </c>
      <c r="T1603" s="2">
        <v>42816</v>
      </c>
      <c r="U1603" s="2">
        <v>43200</v>
      </c>
    </row>
    <row r="1604" spans="1:22" x14ac:dyDescent="0.2">
      <c r="A1604" t="str">
        <f>"364.1 BRA"</f>
        <v>364.1 BRA</v>
      </c>
      <c r="B1604" t="str">
        <f>"""I heard you paint houses"": Frank ""the I"</f>
        <v>"I heard you paint houses": Frank "the I</v>
      </c>
      <c r="C1604">
        <v>358879</v>
      </c>
      <c r="D1604" t="str">
        <f>"Brandt, Charles"</f>
        <v>Brandt, Charles</v>
      </c>
      <c r="F1604" t="str">
        <f>"x, 366 pages, 16 unnumbered pages of plates, 23 cm, illustrations"</f>
        <v>x, 366 pages, 16 unnumbered pages of plates, 23 cm, illustrations</v>
      </c>
      <c r="G1604" s="1">
        <v>19</v>
      </c>
      <c r="H1604">
        <v>2016</v>
      </c>
      <c r="I1604" t="str">
        <f t="shared" si="59"/>
        <v>9: 300 - 399</v>
      </c>
      <c r="K1604" t="str">
        <f t="shared" si="62"/>
        <v>WB - In</v>
      </c>
      <c r="L1604" s="1">
        <v>22</v>
      </c>
      <c r="M1604" t="s">
        <v>1510</v>
      </c>
      <c r="O1604" t="s">
        <v>28</v>
      </c>
      <c r="P1604">
        <v>1</v>
      </c>
      <c r="Q1604">
        <v>1</v>
      </c>
      <c r="R1604">
        <v>2</v>
      </c>
      <c r="S1604" s="2">
        <v>43769</v>
      </c>
      <c r="T1604" s="2">
        <v>43781</v>
      </c>
      <c r="U1604" s="2">
        <v>43781</v>
      </c>
      <c r="V1604" s="2">
        <v>43802</v>
      </c>
    </row>
    <row r="1605" spans="1:22" x14ac:dyDescent="0.2">
      <c r="A1605" t="str">
        <f>"364.1 BUL"</f>
        <v>364.1 BUL</v>
      </c>
      <c r="B1605" t="str">
        <f>"Moneyland: the inside story of the crook"</f>
        <v>Moneyland: the inside story of the crook</v>
      </c>
      <c r="C1605">
        <v>355250</v>
      </c>
      <c r="D1605" t="str">
        <f>"Bullough, Oliver,"</f>
        <v>Bullough, Oliver,</v>
      </c>
      <c r="F1605" t="str">
        <f>"296 pages, 25 cm"</f>
        <v>296 pages, 25 cm</v>
      </c>
      <c r="G1605" s="1">
        <v>19</v>
      </c>
      <c r="H1605">
        <v>2019</v>
      </c>
      <c r="I1605" t="str">
        <f t="shared" si="59"/>
        <v>9: 300 - 399</v>
      </c>
      <c r="K1605" t="str">
        <f t="shared" si="62"/>
        <v>WB - In</v>
      </c>
      <c r="L1605" s="1">
        <v>34</v>
      </c>
      <c r="M1605" t="s">
        <v>1511</v>
      </c>
      <c r="O1605" t="s">
        <v>28</v>
      </c>
      <c r="P1605">
        <v>6</v>
      </c>
      <c r="Q1605">
        <v>0</v>
      </c>
      <c r="R1605">
        <v>6</v>
      </c>
      <c r="S1605" s="2">
        <v>43620</v>
      </c>
      <c r="T1605" s="2">
        <v>43859</v>
      </c>
      <c r="U1605" s="2">
        <v>43768</v>
      </c>
    </row>
    <row r="1606" spans="1:22" x14ac:dyDescent="0.2">
      <c r="A1606" t="str">
        <f>"364.1 COR"</f>
        <v>364.1 COR</v>
      </c>
      <c r="B1606" t="str">
        <f>"Midnight in Mexico: a reporter's journey"</f>
        <v>Midnight in Mexico: a reporter's journey</v>
      </c>
      <c r="C1606">
        <v>314612</v>
      </c>
      <c r="D1606" t="str">
        <f>"Corchado, Alfredo."</f>
        <v>Corchado, Alfredo.</v>
      </c>
      <c r="F1606" t="str">
        <f>"284 p."</f>
        <v>284 p.</v>
      </c>
      <c r="G1606" s="1">
        <v>13</v>
      </c>
      <c r="H1606">
        <v>2013</v>
      </c>
      <c r="I1606" t="str">
        <f t="shared" si="59"/>
        <v>9: 300 - 399</v>
      </c>
      <c r="K1606" t="str">
        <f t="shared" si="62"/>
        <v>WB - In</v>
      </c>
      <c r="L1606" s="1">
        <v>33</v>
      </c>
      <c r="M1606" t="s">
        <v>1512</v>
      </c>
      <c r="O1606" t="s">
        <v>28</v>
      </c>
      <c r="P1606">
        <v>1</v>
      </c>
      <c r="Q1606">
        <v>0</v>
      </c>
      <c r="R1606">
        <v>17</v>
      </c>
      <c r="S1606" s="2">
        <v>41431</v>
      </c>
      <c r="T1606" s="2">
        <v>41690</v>
      </c>
      <c r="U1606" s="2">
        <v>42875</v>
      </c>
      <c r="V1606" s="2">
        <v>41565</v>
      </c>
    </row>
    <row r="1607" spans="1:22" x14ac:dyDescent="0.2">
      <c r="A1607" t="str">
        <f>"364.1 DEH"</f>
        <v>364.1 DEH</v>
      </c>
      <c r="B1607" t="str">
        <f>"Conspiracy theory in America"</f>
        <v>Conspiracy theory in America</v>
      </c>
      <c r="C1607">
        <v>290769</v>
      </c>
      <c r="D1607" t="str">
        <f>"DeHaven-Smith, Lance."</f>
        <v>DeHaven-Smith, Lance.</v>
      </c>
      <c r="F1607" t="str">
        <f>"x, 260 pages, illustrations"</f>
        <v>x, 260 pages, illustrations</v>
      </c>
      <c r="G1607" s="1">
        <v>16</v>
      </c>
      <c r="H1607">
        <v>2013</v>
      </c>
      <c r="I1607" t="str">
        <f t="shared" si="59"/>
        <v>9: 300 - 399</v>
      </c>
      <c r="K1607" t="str">
        <f t="shared" si="62"/>
        <v>WB - In</v>
      </c>
      <c r="L1607" s="1">
        <v>23</v>
      </c>
      <c r="O1607" t="s">
        <v>28</v>
      </c>
      <c r="P1607">
        <v>2</v>
      </c>
      <c r="Q1607">
        <v>0</v>
      </c>
      <c r="R1607">
        <v>3</v>
      </c>
      <c r="S1607" s="2">
        <v>42640</v>
      </c>
      <c r="T1607" s="2">
        <v>42643</v>
      </c>
      <c r="U1607" s="2">
        <v>43442</v>
      </c>
    </row>
    <row r="1608" spans="1:22" x14ac:dyDescent="0.2">
      <c r="A1608" t="str">
        <f>"364.1 ENG"</f>
        <v>364.1 ENG</v>
      </c>
      <c r="B1608" t="str">
        <f>"Havana nocturne: how the mob owned Cuba-"</f>
        <v>Havana nocturne: how the mob owned Cuba-</v>
      </c>
      <c r="C1608">
        <v>280253</v>
      </c>
      <c r="D1608" t="str">
        <f>"English, T. J"</f>
        <v>English, T. J</v>
      </c>
      <c r="F1608" t="str">
        <f>"xx, 396 p., [16] p. of plates, 24 cm, ill."</f>
        <v>xx, 396 p., [16] p. of plates, 24 cm, ill.</v>
      </c>
      <c r="G1608" s="1">
        <v>15</v>
      </c>
      <c r="H1608">
        <v>2008</v>
      </c>
      <c r="I1608" t="str">
        <f t="shared" ref="I1608:I1671" si="63">"9: 300 - 399"</f>
        <v>9: 300 - 399</v>
      </c>
      <c r="K1608" t="str">
        <f t="shared" si="62"/>
        <v>WB - In</v>
      </c>
      <c r="L1608" s="1">
        <v>21</v>
      </c>
      <c r="M1608" t="s">
        <v>1513</v>
      </c>
      <c r="O1608" t="s">
        <v>28</v>
      </c>
      <c r="P1608">
        <v>2</v>
      </c>
      <c r="Q1608">
        <v>0</v>
      </c>
      <c r="R1608">
        <v>3</v>
      </c>
      <c r="S1608" s="2">
        <v>42115</v>
      </c>
      <c r="T1608" s="2">
        <v>42118</v>
      </c>
      <c r="U1608" s="2">
        <v>43108</v>
      </c>
    </row>
    <row r="1609" spans="1:22" x14ac:dyDescent="0.2">
      <c r="A1609" t="str">
        <f>"364.1 FRE"</f>
        <v>364.1 FRE</v>
      </c>
      <c r="B1609" t="str">
        <f>"City of devils: the two men who ruled th"</f>
        <v>City of devils: the two men who ruled th</v>
      </c>
      <c r="C1609">
        <v>348903</v>
      </c>
      <c r="D1609" t="str">
        <f>"French, Paul,"</f>
        <v>French, Paul,</v>
      </c>
      <c r="F1609" t="str">
        <f>"xvi, 299 pages, 24 cm, illustrations, maps"</f>
        <v>xvi, 299 pages, 24 cm, illustrations, maps</v>
      </c>
      <c r="G1609" s="1">
        <v>18</v>
      </c>
      <c r="H1609">
        <v>2018</v>
      </c>
      <c r="I1609" t="str">
        <f t="shared" si="63"/>
        <v>9: 300 - 399</v>
      </c>
      <c r="K1609" t="str">
        <f t="shared" si="62"/>
        <v>WB - In</v>
      </c>
      <c r="L1609" s="1">
        <v>33</v>
      </c>
      <c r="M1609" t="s">
        <v>1514</v>
      </c>
      <c r="O1609" t="s">
        <v>28</v>
      </c>
      <c r="P1609">
        <v>5</v>
      </c>
      <c r="Q1609">
        <v>0</v>
      </c>
      <c r="R1609">
        <v>5</v>
      </c>
      <c r="S1609" s="2">
        <v>43304</v>
      </c>
      <c r="T1609" s="2">
        <v>43467</v>
      </c>
      <c r="U1609" s="2">
        <v>43424</v>
      </c>
    </row>
    <row r="1610" spans="1:22" x14ac:dyDescent="0.2">
      <c r="A1610" t="str">
        <f>"364.1 HAR"</f>
        <v>364.1 HAR</v>
      </c>
      <c r="B1610" t="str">
        <f>"Snowden files: the inside story of the w"</f>
        <v>Snowden files: the inside story of the w</v>
      </c>
      <c r="C1610">
        <v>320207</v>
      </c>
      <c r="D1610" t="str">
        <f>"Harding, Luke,"</f>
        <v>Harding, Luke,</v>
      </c>
      <c r="F1610" t="str">
        <f>"346 pages, 21 cm"</f>
        <v>346 pages, 21 cm</v>
      </c>
      <c r="G1610" s="1">
        <v>14</v>
      </c>
      <c r="H1610">
        <v>2014</v>
      </c>
      <c r="I1610" t="str">
        <f t="shared" si="63"/>
        <v>9: 300 - 399</v>
      </c>
      <c r="K1610" t="str">
        <f>"LL - In"</f>
        <v>LL - In</v>
      </c>
      <c r="L1610" s="1">
        <v>20</v>
      </c>
      <c r="M1610" t="s">
        <v>1515</v>
      </c>
      <c r="O1610" t="s">
        <v>28</v>
      </c>
      <c r="P1610">
        <v>1</v>
      </c>
      <c r="Q1610">
        <v>0</v>
      </c>
      <c r="R1610">
        <v>11</v>
      </c>
      <c r="S1610" s="2">
        <v>41710</v>
      </c>
      <c r="T1610" s="2">
        <v>41949</v>
      </c>
      <c r="U1610" s="2">
        <v>43051</v>
      </c>
      <c r="V1610" s="2">
        <v>42175</v>
      </c>
    </row>
    <row r="1611" spans="1:22" x14ac:dyDescent="0.2">
      <c r="A1611" t="str">
        <f>"364.1 JAM"</f>
        <v>364.1 JAM</v>
      </c>
      <c r="B1611" t="str">
        <f>"Popular crime: reflections on the celebr"</f>
        <v>Popular crime: reflections on the celebr</v>
      </c>
      <c r="C1611">
        <v>300179</v>
      </c>
      <c r="D1611" t="str">
        <f>"James, Bill,"</f>
        <v>James, Bill,</v>
      </c>
      <c r="F1611" t="str">
        <f>"xii, 482 p., 24 cm., ill."</f>
        <v>xii, 482 p., 24 cm., ill.</v>
      </c>
      <c r="G1611" s="1">
        <v>11</v>
      </c>
      <c r="H1611">
        <v>2011</v>
      </c>
      <c r="I1611" t="str">
        <f t="shared" si="63"/>
        <v>9: 300 - 399</v>
      </c>
      <c r="K1611" t="str">
        <f>"WB - In"</f>
        <v>WB - In</v>
      </c>
      <c r="L1611" s="1">
        <v>35</v>
      </c>
      <c r="M1611" t="s">
        <v>1516</v>
      </c>
      <c r="O1611" t="s">
        <v>28</v>
      </c>
      <c r="P1611">
        <v>0</v>
      </c>
      <c r="Q1611">
        <v>0</v>
      </c>
      <c r="R1611">
        <v>9</v>
      </c>
      <c r="S1611" s="2">
        <v>40673</v>
      </c>
      <c r="T1611" s="2">
        <v>41053</v>
      </c>
      <c r="U1611" s="2">
        <v>41934</v>
      </c>
    </row>
    <row r="1612" spans="1:22" x14ac:dyDescent="0.2">
      <c r="A1612" t="str">
        <f>"364.1 JAM"</f>
        <v>364.1 JAM</v>
      </c>
      <c r="B1612" t="str">
        <f>"Popular crime: reflections on the celebr"</f>
        <v>Popular crime: reflections on the celebr</v>
      </c>
      <c r="C1612">
        <v>305416</v>
      </c>
      <c r="D1612" t="str">
        <f>"James, Bill,"</f>
        <v>James, Bill,</v>
      </c>
      <c r="F1612" t="str">
        <f>"xii, 482 p., 24 cm., ill."</f>
        <v>xii, 482 p., 24 cm., ill.</v>
      </c>
      <c r="G1612" s="1">
        <v>12</v>
      </c>
      <c r="H1612">
        <v>2011</v>
      </c>
      <c r="I1612" t="str">
        <f t="shared" si="63"/>
        <v>9: 300 - 399</v>
      </c>
      <c r="K1612" t="str">
        <f>"LL - In"</f>
        <v>LL - In</v>
      </c>
      <c r="L1612" s="1">
        <v>35</v>
      </c>
      <c r="M1612" t="s">
        <v>1516</v>
      </c>
      <c r="O1612" t="s">
        <v>28</v>
      </c>
      <c r="P1612">
        <v>0</v>
      </c>
      <c r="Q1612">
        <v>2</v>
      </c>
      <c r="R1612">
        <v>8</v>
      </c>
      <c r="S1612" s="2">
        <v>40940</v>
      </c>
      <c r="T1612" s="2">
        <v>41053</v>
      </c>
      <c r="U1612" s="2">
        <v>42664</v>
      </c>
      <c r="V1612" s="2">
        <v>42855</v>
      </c>
    </row>
    <row r="1613" spans="1:22" x14ac:dyDescent="0.2">
      <c r="A1613" t="str">
        <f>"364.1 PER"</f>
        <v>364.1 PER</v>
      </c>
      <c r="B1613" t="str">
        <f>"good mothers: the true story of the wome"</f>
        <v>good mothers: the true story of the wome</v>
      </c>
      <c r="C1613">
        <v>349856</v>
      </c>
      <c r="D1613" t="str">
        <f>"Perry, Alex"</f>
        <v>Perry, Alex</v>
      </c>
      <c r="F1613" t="str">
        <f>"x, 333 pages, 8 unnumbered pages of plates, 24 cm, illustrations, maps"</f>
        <v>x, 333 pages, 8 unnumbered pages of plates, 24 cm, illustrations, maps</v>
      </c>
      <c r="G1613" s="1">
        <v>18</v>
      </c>
      <c r="H1613">
        <v>2018</v>
      </c>
      <c r="I1613" t="str">
        <f t="shared" si="63"/>
        <v>9: 300 - 399</v>
      </c>
      <c r="K1613" t="str">
        <f>"WB - In"</f>
        <v>WB - In</v>
      </c>
      <c r="L1613" s="1">
        <v>33</v>
      </c>
      <c r="M1613" t="s">
        <v>1517</v>
      </c>
      <c r="O1613" t="s">
        <v>28</v>
      </c>
      <c r="P1613">
        <v>3</v>
      </c>
      <c r="Q1613">
        <v>3</v>
      </c>
      <c r="R1613">
        <v>6</v>
      </c>
      <c r="S1613" s="2">
        <v>43354</v>
      </c>
      <c r="T1613" s="2">
        <v>43502</v>
      </c>
      <c r="U1613" s="2">
        <v>43442</v>
      </c>
      <c r="V1613" s="2">
        <v>43836</v>
      </c>
    </row>
    <row r="1614" spans="1:22" x14ac:dyDescent="0.2">
      <c r="A1614" t="str">
        <f>"364.1 RIN"</f>
        <v>364.1 RIN</v>
      </c>
      <c r="B1614" t="str">
        <f>"In the name of the children: an FBI agen"</f>
        <v>In the name of the children: an FBI agen</v>
      </c>
      <c r="C1614">
        <v>351368</v>
      </c>
      <c r="D1614" t="str">
        <f>"Rinek, Jeffrey L."</f>
        <v>Rinek, Jeffrey L.</v>
      </c>
      <c r="F1614" t="str">
        <f>"xii, 276 pages, 23 cm, illustrations (chiefly color)"</f>
        <v>xii, 276 pages, 23 cm, illustrations (chiefly color)</v>
      </c>
      <c r="G1614" s="1">
        <v>18</v>
      </c>
      <c r="H1614">
        <v>2018</v>
      </c>
      <c r="I1614" t="str">
        <f t="shared" si="63"/>
        <v>9: 300 - 399</v>
      </c>
      <c r="K1614" t="str">
        <f>"WB - In"</f>
        <v>WB - In</v>
      </c>
      <c r="L1614" s="1">
        <v>22</v>
      </c>
      <c r="M1614" t="s">
        <v>1518</v>
      </c>
      <c r="O1614" t="s">
        <v>28</v>
      </c>
      <c r="P1614">
        <v>4</v>
      </c>
      <c r="Q1614">
        <v>0</v>
      </c>
      <c r="R1614">
        <v>4</v>
      </c>
      <c r="S1614" s="2">
        <v>43424</v>
      </c>
      <c r="T1614" s="2">
        <v>43593</v>
      </c>
      <c r="U1614" s="2">
        <v>43552</v>
      </c>
    </row>
    <row r="1615" spans="1:22" x14ac:dyDescent="0.2">
      <c r="A1615" t="str">
        <f>"364.1 SAV"</f>
        <v>364.1 SAV</v>
      </c>
      <c r="B1615" t="s">
        <v>1519</v>
      </c>
      <c r="C1615">
        <v>297838</v>
      </c>
      <c r="D1615" t="str">
        <f>"Saviano, Roberto"</f>
        <v>Saviano, Roberto</v>
      </c>
      <c r="F1615" t="str">
        <f>"301 p., 24 cm, map"</f>
        <v>301 p., 24 cm, map</v>
      </c>
      <c r="G1615" s="1">
        <v>17</v>
      </c>
      <c r="H1615">
        <v>2007</v>
      </c>
      <c r="I1615" t="str">
        <f t="shared" si="63"/>
        <v>9: 300 - 399</v>
      </c>
      <c r="K1615" t="str">
        <f>"WB - In"</f>
        <v>WB - In</v>
      </c>
      <c r="L1615" s="1">
        <v>22</v>
      </c>
      <c r="M1615" t="s">
        <v>1520</v>
      </c>
      <c r="O1615" t="s">
        <v>28</v>
      </c>
      <c r="P1615">
        <v>1</v>
      </c>
      <c r="Q1615">
        <v>0</v>
      </c>
      <c r="R1615">
        <v>1</v>
      </c>
      <c r="S1615" s="2">
        <v>43027</v>
      </c>
      <c r="T1615" s="2">
        <v>43034</v>
      </c>
      <c r="U1615" s="2">
        <v>43035</v>
      </c>
    </row>
    <row r="1616" spans="1:22" x14ac:dyDescent="0.2">
      <c r="A1616" t="str">
        <f>"364.1 SCH"</f>
        <v>364.1 SCH</v>
      </c>
      <c r="B1616" t="str">
        <f>"Secret empires: how the American politic"</f>
        <v>Secret empires: how the American politic</v>
      </c>
      <c r="C1616">
        <v>347059</v>
      </c>
      <c r="D1616" t="str">
        <f>"Schweizer, Peter"</f>
        <v>Schweizer, Peter</v>
      </c>
      <c r="F1616" t="str">
        <f>"318 pages, 24 cm, color illustrations"</f>
        <v>318 pages, 24 cm, color illustrations</v>
      </c>
      <c r="G1616" s="1">
        <v>18</v>
      </c>
      <c r="H1616">
        <v>2018</v>
      </c>
      <c r="I1616" t="str">
        <f t="shared" si="63"/>
        <v>9: 300 - 399</v>
      </c>
      <c r="K1616" t="str">
        <f>"WB - In"</f>
        <v>WB - In</v>
      </c>
      <c r="L1616" s="1">
        <v>34</v>
      </c>
      <c r="M1616" t="s">
        <v>1521</v>
      </c>
      <c r="O1616" t="s">
        <v>28</v>
      </c>
      <c r="P1616">
        <v>10</v>
      </c>
      <c r="Q1616">
        <v>0</v>
      </c>
      <c r="R1616">
        <v>10</v>
      </c>
      <c r="S1616" s="2">
        <v>43192</v>
      </c>
      <c r="T1616" s="2">
        <v>43348</v>
      </c>
      <c r="U1616" s="2">
        <v>43787</v>
      </c>
    </row>
    <row r="1617" spans="1:22" x14ac:dyDescent="0.2">
      <c r="A1617" t="str">
        <f>"364.1 SLA"</f>
        <v>364.1 SLA</v>
      </c>
      <c r="B1617" t="str">
        <f>"Wolf boys: two American teenagers and Me"</f>
        <v>Wolf boys: two American teenagers and Me</v>
      </c>
      <c r="C1617">
        <v>338385</v>
      </c>
      <c r="D1617" t="str">
        <f>"Slater, Dan"</f>
        <v>Slater, Dan</v>
      </c>
      <c r="F1617" t="str">
        <f>"vi, 342 pages, 24 cm, map"</f>
        <v>vi, 342 pages, 24 cm, map</v>
      </c>
      <c r="G1617" s="1">
        <v>16</v>
      </c>
      <c r="H1617">
        <v>2016</v>
      </c>
      <c r="I1617" t="str">
        <f t="shared" si="63"/>
        <v>9: 300 - 399</v>
      </c>
      <c r="K1617" t="str">
        <f>"LL - In"</f>
        <v>LL - In</v>
      </c>
      <c r="L1617" s="1">
        <v>32</v>
      </c>
      <c r="M1617" t="s">
        <v>1522</v>
      </c>
      <c r="O1617" t="s">
        <v>28</v>
      </c>
      <c r="P1617">
        <v>4</v>
      </c>
      <c r="Q1617">
        <v>1</v>
      </c>
      <c r="R1617">
        <v>9</v>
      </c>
      <c r="S1617" s="2">
        <v>42689</v>
      </c>
      <c r="T1617" s="2">
        <v>43599</v>
      </c>
      <c r="U1617" s="2">
        <v>42825</v>
      </c>
      <c r="V1617" s="2">
        <v>43034</v>
      </c>
    </row>
    <row r="1618" spans="1:22" x14ac:dyDescent="0.2">
      <c r="A1618" t="str">
        <f>"364.1 SUB"</f>
        <v>364.1 SUB</v>
      </c>
      <c r="B1618" t="str">
        <f>"1960s Austin gangsters: organized crime "</f>
        <v xml:space="preserve">1960s Austin gangsters: organized crime </v>
      </c>
      <c r="C1618">
        <v>326820</v>
      </c>
      <c r="D1618" t="str">
        <f>"Sublett, Jesse."</f>
        <v>Sublett, Jesse.</v>
      </c>
      <c r="F1618" t="str">
        <f>"174 p., 23 cm, ill."</f>
        <v>174 p., 23 cm, ill.</v>
      </c>
      <c r="G1618" s="1">
        <v>15</v>
      </c>
      <c r="H1618">
        <v>2015</v>
      </c>
      <c r="I1618" t="str">
        <f t="shared" si="63"/>
        <v>9: 300 - 399</v>
      </c>
      <c r="K1618" t="str">
        <f>"WB - In"</f>
        <v>WB - In</v>
      </c>
      <c r="L1618" s="1">
        <v>25</v>
      </c>
      <c r="M1618" t="s">
        <v>1523</v>
      </c>
      <c r="O1618" t="s">
        <v>28</v>
      </c>
      <c r="P1618">
        <v>2</v>
      </c>
      <c r="Q1618">
        <v>0</v>
      </c>
      <c r="R1618">
        <v>22</v>
      </c>
      <c r="S1618" s="2">
        <v>42107</v>
      </c>
      <c r="T1618" s="2">
        <v>42360</v>
      </c>
      <c r="U1618" s="2">
        <v>43528</v>
      </c>
    </row>
    <row r="1619" spans="1:22" x14ac:dyDescent="0.2">
      <c r="A1619" t="str">
        <f>"364.1 TAL"</f>
        <v>364.1 TAL</v>
      </c>
      <c r="B1619" t="str">
        <f>"Black Hand: the epic war between a brill"</f>
        <v>Black Hand: the epic war between a brill</v>
      </c>
      <c r="C1619">
        <v>341099</v>
      </c>
      <c r="D1619" t="str">
        <f>"Talty, Stephan"</f>
        <v>Talty, Stephan</v>
      </c>
      <c r="F1619" t="str">
        <f>"xix, 298 pages, 24 cm, illustrations"</f>
        <v>xix, 298 pages, 24 cm, illustrations</v>
      </c>
      <c r="G1619" s="1">
        <v>17</v>
      </c>
      <c r="H1619">
        <v>2017</v>
      </c>
      <c r="I1619" t="str">
        <f t="shared" si="63"/>
        <v>9: 300 - 399</v>
      </c>
      <c r="K1619" t="str">
        <f>"WB - In"</f>
        <v>WB - In</v>
      </c>
      <c r="L1619" s="1">
        <v>33</v>
      </c>
      <c r="M1619" t="s">
        <v>1524</v>
      </c>
      <c r="O1619" t="s">
        <v>28</v>
      </c>
      <c r="P1619">
        <v>19</v>
      </c>
      <c r="Q1619">
        <v>0</v>
      </c>
      <c r="R1619">
        <v>19</v>
      </c>
      <c r="S1619" s="2">
        <v>42856</v>
      </c>
      <c r="T1619" s="2">
        <v>43089</v>
      </c>
      <c r="U1619" s="2">
        <v>43658</v>
      </c>
    </row>
    <row r="1620" spans="1:22" x14ac:dyDescent="0.2">
      <c r="A1620" t="str">
        <f>"364.1 TAL"</f>
        <v>364.1 TAL</v>
      </c>
      <c r="B1620" t="str">
        <f>"Black Hand: the epic war between a brill"</f>
        <v>Black Hand: the epic war between a brill</v>
      </c>
      <c r="C1620">
        <v>402033</v>
      </c>
      <c r="D1620" t="str">
        <f>"Talty, Stephan"</f>
        <v>Talty, Stephan</v>
      </c>
      <c r="F1620" t="str">
        <f>"xix, 298 pages, 24 cm, illustrations"</f>
        <v>xix, 298 pages, 24 cm, illustrations</v>
      </c>
      <c r="G1620" s="1">
        <v>18</v>
      </c>
      <c r="H1620">
        <v>2017</v>
      </c>
      <c r="I1620" t="str">
        <f t="shared" si="63"/>
        <v>9: 300 - 399</v>
      </c>
      <c r="K1620" t="str">
        <f>"LL - In"</f>
        <v>LL - In</v>
      </c>
      <c r="L1620" s="1">
        <v>21</v>
      </c>
      <c r="M1620" t="s">
        <v>1524</v>
      </c>
      <c r="O1620" t="s">
        <v>28</v>
      </c>
      <c r="P1620">
        <v>1</v>
      </c>
      <c r="Q1620">
        <v>0</v>
      </c>
      <c r="R1620">
        <v>1</v>
      </c>
      <c r="S1620" s="2">
        <v>43272</v>
      </c>
      <c r="T1620" s="2">
        <v>43298</v>
      </c>
      <c r="U1620" s="2">
        <v>43652</v>
      </c>
    </row>
    <row r="1621" spans="1:22" x14ac:dyDescent="0.2">
      <c r="A1621" t="str">
        <f>"364.1 TYS"</f>
        <v>364.1 TYS</v>
      </c>
      <c r="B1621" t="str">
        <f>"blood of Emmett Till"</f>
        <v>blood of Emmett Till</v>
      </c>
      <c r="C1621">
        <v>339333</v>
      </c>
      <c r="D1621" t="str">
        <f>"Tyson, Timothy B."</f>
        <v>Tyson, Timothy B.</v>
      </c>
      <c r="F1621" t="str">
        <f>"x, 291 pages, 25 cm"</f>
        <v>x, 291 pages, 25 cm</v>
      </c>
      <c r="G1621" s="1">
        <v>17</v>
      </c>
      <c r="H1621">
        <v>2017</v>
      </c>
      <c r="I1621" t="str">
        <f t="shared" si="63"/>
        <v>9: 300 - 399</v>
      </c>
      <c r="K1621" t="str">
        <f>"LL - In"</f>
        <v>LL - In</v>
      </c>
      <c r="L1621" s="1">
        <v>32</v>
      </c>
      <c r="M1621" t="s">
        <v>1525</v>
      </c>
      <c r="O1621" t="s">
        <v>28</v>
      </c>
      <c r="P1621">
        <v>14</v>
      </c>
      <c r="Q1621">
        <v>0</v>
      </c>
      <c r="R1621">
        <v>14</v>
      </c>
      <c r="S1621" s="2">
        <v>42765</v>
      </c>
      <c r="T1621" s="2">
        <v>42942</v>
      </c>
      <c r="U1621" s="2">
        <v>43300</v>
      </c>
    </row>
    <row r="1622" spans="1:22" x14ac:dyDescent="0.2">
      <c r="A1622" t="str">
        <f>"364.15 ABB"</f>
        <v>364.15 ABB</v>
      </c>
      <c r="B1622" t="str">
        <f>"ghosts of Eden Park: the bootleg king, t"</f>
        <v>ghosts of Eden Park: the bootleg king, t</v>
      </c>
      <c r="C1622">
        <v>357001</v>
      </c>
      <c r="D1622" t="str">
        <f>"Abbott, Karen"</f>
        <v>Abbott, Karen</v>
      </c>
      <c r="F1622" t="str">
        <f>"xviii, 405 pages, 25 cm"</f>
        <v>xviii, 405 pages, 25 cm</v>
      </c>
      <c r="G1622" s="1">
        <v>19</v>
      </c>
      <c r="H1622">
        <v>2019</v>
      </c>
      <c r="I1622" t="str">
        <f t="shared" si="63"/>
        <v>9: 300 - 399</v>
      </c>
      <c r="K1622" t="str">
        <f>"WB - In"</f>
        <v>WB - In</v>
      </c>
      <c r="L1622" s="1">
        <v>33</v>
      </c>
      <c r="M1622" t="s">
        <v>1526</v>
      </c>
      <c r="O1622" t="s">
        <v>28</v>
      </c>
      <c r="P1622">
        <v>7</v>
      </c>
      <c r="Q1622">
        <v>0</v>
      </c>
      <c r="R1622">
        <v>7</v>
      </c>
      <c r="S1622" s="2">
        <v>43696</v>
      </c>
      <c r="T1622" s="2">
        <v>43852</v>
      </c>
      <c r="U1622" s="2">
        <v>43817</v>
      </c>
    </row>
    <row r="1623" spans="1:22" x14ac:dyDescent="0.2">
      <c r="A1623" t="str">
        <f>"364.15 ALO"</f>
        <v>364.15 ALO</v>
      </c>
      <c r="B1623" t="str">
        <f>"devil in pew number seven"</f>
        <v>devil in pew number seven</v>
      </c>
      <c r="C1623">
        <v>319983</v>
      </c>
      <c r="D1623" t="str">
        <f>"Alonzo, Rebecca Nichols"</f>
        <v>Alonzo, Rebecca Nichols</v>
      </c>
      <c r="F1623" t="str">
        <f>"ix, 278 p."</f>
        <v>ix, 278 p.</v>
      </c>
      <c r="G1623" s="1">
        <v>14</v>
      </c>
      <c r="H1623">
        <v>2010</v>
      </c>
      <c r="I1623" t="str">
        <f t="shared" si="63"/>
        <v>9: 300 - 399</v>
      </c>
      <c r="K1623" t="str">
        <f>"LL - In"</f>
        <v>LL - In</v>
      </c>
      <c r="L1623" s="1">
        <v>20</v>
      </c>
      <c r="M1623" t="s">
        <v>1527</v>
      </c>
      <c r="O1623" t="s">
        <v>28</v>
      </c>
      <c r="P1623">
        <v>0</v>
      </c>
      <c r="Q1623">
        <v>1</v>
      </c>
      <c r="R1623">
        <v>7</v>
      </c>
      <c r="S1623" s="2">
        <v>41694</v>
      </c>
      <c r="T1623" s="2">
        <v>41716</v>
      </c>
      <c r="U1623" s="2">
        <v>42418</v>
      </c>
      <c r="V1623" s="2">
        <v>42817</v>
      </c>
    </row>
    <row r="1624" spans="1:22" x14ac:dyDescent="0.2">
      <c r="A1624" t="str">
        <f>"364.15 BAA"</f>
        <v>364.15 BAA</v>
      </c>
      <c r="B1624" t="str">
        <f>"girl on the velvet swing: sex, murder, a"</f>
        <v>girl on the velvet swing: sex, murder, a</v>
      </c>
      <c r="C1624">
        <v>345863</v>
      </c>
      <c r="D1624" t="str">
        <f>"Baatz, Simon"</f>
        <v>Baatz, Simon</v>
      </c>
      <c r="F1624" t="str">
        <f>"392 pages, 25 cm, illustrations"</f>
        <v>392 pages, 25 cm, illustrations</v>
      </c>
      <c r="G1624" s="1">
        <v>18</v>
      </c>
      <c r="H1624">
        <v>2018</v>
      </c>
      <c r="I1624" t="str">
        <f t="shared" si="63"/>
        <v>9: 300 - 399</v>
      </c>
      <c r="K1624" t="str">
        <f>"LL - In"</f>
        <v>LL - In</v>
      </c>
      <c r="L1624" s="1">
        <v>34</v>
      </c>
      <c r="M1624" t="s">
        <v>1528</v>
      </c>
      <c r="O1624" t="s">
        <v>28</v>
      </c>
      <c r="P1624">
        <v>8</v>
      </c>
      <c r="Q1624">
        <v>1</v>
      </c>
      <c r="R1624">
        <v>9</v>
      </c>
      <c r="S1624" s="2">
        <v>43137</v>
      </c>
      <c r="T1624" s="2">
        <v>43495</v>
      </c>
      <c r="U1624" s="2">
        <v>43496</v>
      </c>
      <c r="V1624" s="2">
        <v>43180</v>
      </c>
    </row>
    <row r="1625" spans="1:22" x14ac:dyDescent="0.2">
      <c r="A1625" t="str">
        <f>"364.15 BER"</f>
        <v>364.15 BER</v>
      </c>
      <c r="B1625" t="str">
        <f>"Run, brother, run: a memoir of a murder "</f>
        <v xml:space="preserve">Run, brother, run: a memoir of a murder </v>
      </c>
      <c r="C1625">
        <v>285589</v>
      </c>
      <c r="D1625" t="str">
        <f>"Berg, David,"</f>
        <v>Berg, David,</v>
      </c>
      <c r="F1625" t="str">
        <f>"xvi, 254 p., 24 cm"</f>
        <v>xvi, 254 p., 24 cm</v>
      </c>
      <c r="G1625" s="1">
        <v>16</v>
      </c>
      <c r="H1625">
        <v>2013</v>
      </c>
      <c r="I1625" t="str">
        <f t="shared" si="63"/>
        <v>9: 300 - 399</v>
      </c>
      <c r="K1625" t="str">
        <f>"WB - In"</f>
        <v>WB - In</v>
      </c>
      <c r="L1625" s="1">
        <v>21</v>
      </c>
      <c r="M1625" t="s">
        <v>1529</v>
      </c>
      <c r="O1625" t="s">
        <v>28</v>
      </c>
      <c r="P1625">
        <v>1</v>
      </c>
      <c r="Q1625">
        <v>0</v>
      </c>
      <c r="R1625">
        <v>8</v>
      </c>
      <c r="S1625" s="2">
        <v>42396</v>
      </c>
      <c r="T1625" s="2">
        <v>42409</v>
      </c>
      <c r="U1625" s="2">
        <v>43669</v>
      </c>
      <c r="V1625" s="2">
        <v>42652</v>
      </c>
    </row>
    <row r="1626" spans="1:22" x14ac:dyDescent="0.2">
      <c r="A1626" t="str">
        <f>"364.15 BER"</f>
        <v>364.15 BER</v>
      </c>
      <c r="B1626" t="str">
        <f>"Pretty little killers: the truth behind "</f>
        <v xml:space="preserve">Pretty little killers: the truth behind </v>
      </c>
      <c r="C1626">
        <v>322493</v>
      </c>
      <c r="D1626" t="str">
        <f>"Berry, Daleen."</f>
        <v>Berry, Daleen.</v>
      </c>
      <c r="F1626" t="str">
        <f>"xxiv, 342 pages, 23 cm, illustrations"</f>
        <v>xxiv, 342 pages, 23 cm, illustrations</v>
      </c>
      <c r="G1626" s="1">
        <v>14</v>
      </c>
      <c r="H1626">
        <v>2014</v>
      </c>
      <c r="I1626" t="str">
        <f t="shared" si="63"/>
        <v>9: 300 - 399</v>
      </c>
      <c r="K1626" t="str">
        <f>"WB - In"</f>
        <v>WB - In</v>
      </c>
      <c r="L1626" s="1">
        <v>22</v>
      </c>
      <c r="M1626" t="s">
        <v>1530</v>
      </c>
      <c r="O1626" t="s">
        <v>28</v>
      </c>
      <c r="P1626">
        <v>0</v>
      </c>
      <c r="Q1626">
        <v>0</v>
      </c>
      <c r="R1626">
        <v>11</v>
      </c>
      <c r="S1626" s="2">
        <v>41836</v>
      </c>
      <c r="T1626" s="2">
        <v>42046</v>
      </c>
      <c r="U1626" s="2">
        <v>42638</v>
      </c>
    </row>
    <row r="1627" spans="1:22" x14ac:dyDescent="0.2">
      <c r="A1627" t="str">
        <f>"364.15 BLU"</f>
        <v>364.15 BLU</v>
      </c>
      <c r="B1627" t="str">
        <f>"American lightning: terror, mystery, and"</f>
        <v>American lightning: terror, mystery, and</v>
      </c>
      <c r="C1627">
        <v>353016</v>
      </c>
      <c r="D1627" t="str">
        <f>"Blum, Howard"</f>
        <v>Blum, Howard</v>
      </c>
      <c r="F1627" t="str">
        <f>"335 p."</f>
        <v>335 p.</v>
      </c>
      <c r="G1627" s="1">
        <v>19</v>
      </c>
      <c r="H1627">
        <v>2009</v>
      </c>
      <c r="I1627" t="str">
        <f t="shared" si="63"/>
        <v>9: 300 - 399</v>
      </c>
      <c r="K1627" t="str">
        <f>"WB - In"</f>
        <v>WB - In</v>
      </c>
      <c r="L1627" s="1">
        <v>20</v>
      </c>
      <c r="M1627" t="s">
        <v>1531</v>
      </c>
      <c r="O1627" t="s">
        <v>28</v>
      </c>
      <c r="P1627">
        <v>0</v>
      </c>
      <c r="Q1627">
        <v>0</v>
      </c>
      <c r="R1627">
        <v>1</v>
      </c>
      <c r="S1627" s="2">
        <v>43515</v>
      </c>
      <c r="T1627" s="2">
        <v>43532</v>
      </c>
    </row>
    <row r="1628" spans="1:22" x14ac:dyDescent="0.2">
      <c r="A1628" t="str">
        <f>"364.15 BOW"</f>
        <v>364.15 BOW</v>
      </c>
      <c r="B1628" t="str">
        <f>"last stone: a masterpiece of criminal in"</f>
        <v>last stone: a masterpiece of criminal in</v>
      </c>
      <c r="C1628">
        <v>354215</v>
      </c>
      <c r="D1628" t="str">
        <f>"Bowden, Mark"</f>
        <v>Bowden, Mark</v>
      </c>
      <c r="F1628" t="str">
        <f>"340 pages, 24 cm, illustrations, maps"</f>
        <v>340 pages, 24 cm, illustrations, maps</v>
      </c>
      <c r="G1628" s="1">
        <v>19</v>
      </c>
      <c r="H1628">
        <v>2019</v>
      </c>
      <c r="I1628" t="str">
        <f t="shared" si="63"/>
        <v>9: 300 - 399</v>
      </c>
      <c r="K1628" t="str">
        <f>"LL - In"</f>
        <v>LL - In</v>
      </c>
      <c r="L1628" s="1">
        <v>32</v>
      </c>
      <c r="M1628" t="s">
        <v>1532</v>
      </c>
      <c r="O1628" t="s">
        <v>28</v>
      </c>
      <c r="P1628">
        <v>12</v>
      </c>
      <c r="Q1628">
        <v>0</v>
      </c>
      <c r="R1628">
        <v>12</v>
      </c>
      <c r="S1628" s="2">
        <v>43572</v>
      </c>
      <c r="T1628" s="2">
        <v>43761</v>
      </c>
      <c r="U1628" s="2">
        <v>43817</v>
      </c>
    </row>
    <row r="1629" spans="1:22" x14ac:dyDescent="0.2">
      <c r="A1629" t="str">
        <f>"364.15 BUG"</f>
        <v>364.15 BUG</v>
      </c>
      <c r="B1629" t="str">
        <f>"Helter skelter: the true story of the Ma"</f>
        <v>Helter skelter: the true story of the Ma</v>
      </c>
      <c r="C1629">
        <v>357437</v>
      </c>
      <c r="D1629" t="str">
        <f>"Bugliosi, Vincent"</f>
        <v>Bugliosi, Vincent</v>
      </c>
      <c r="F1629" t="str">
        <f>"xvii, 528 p., 24 cm, ill., map"</f>
        <v>xvii, 528 p., 24 cm, ill., map</v>
      </c>
      <c r="G1629" s="1">
        <v>19</v>
      </c>
      <c r="H1629">
        <v>1994</v>
      </c>
      <c r="I1629" t="str">
        <f t="shared" si="63"/>
        <v>9: 300 - 399</v>
      </c>
      <c r="K1629" t="str">
        <f>"WB - In"</f>
        <v>WB - In</v>
      </c>
      <c r="L1629" s="1">
        <v>35</v>
      </c>
      <c r="M1629" t="s">
        <v>1533</v>
      </c>
      <c r="O1629" t="s">
        <v>28</v>
      </c>
      <c r="P1629">
        <v>2</v>
      </c>
      <c r="Q1629">
        <v>0</v>
      </c>
      <c r="R1629">
        <v>2</v>
      </c>
      <c r="S1629" s="2">
        <v>43718</v>
      </c>
      <c r="T1629" s="2">
        <v>43726</v>
      </c>
      <c r="U1629" s="2">
        <v>43737</v>
      </c>
    </row>
    <row r="1630" spans="1:22" x14ac:dyDescent="0.2">
      <c r="A1630" t="str">
        <f>"364.15 CAP"</f>
        <v>364.15 CAP</v>
      </c>
      <c r="B1630" t="str">
        <f>"In cold blood: a true account of a multi"</f>
        <v>In cold blood: a true account of a multi</v>
      </c>
      <c r="C1630">
        <v>315625</v>
      </c>
      <c r="D1630" t="str">
        <f>"Capote, Truman"</f>
        <v>Capote, Truman</v>
      </c>
      <c r="F1630" t="str">
        <f>"viii, 396 p., 21 cm"</f>
        <v>viii, 396 p., 21 cm</v>
      </c>
      <c r="G1630" s="1">
        <v>13</v>
      </c>
      <c r="H1630">
        <v>2013</v>
      </c>
      <c r="I1630" t="str">
        <f t="shared" si="63"/>
        <v>9: 300 - 399</v>
      </c>
      <c r="K1630" t="str">
        <f>"WB - In"</f>
        <v>WB - In</v>
      </c>
      <c r="L1630" s="1">
        <v>28</v>
      </c>
      <c r="M1630" t="s">
        <v>1534</v>
      </c>
      <c r="O1630" t="s">
        <v>28</v>
      </c>
      <c r="P1630">
        <v>12</v>
      </c>
      <c r="Q1630">
        <v>0</v>
      </c>
      <c r="R1630">
        <v>27</v>
      </c>
      <c r="S1630" s="2">
        <v>41471</v>
      </c>
      <c r="T1630" s="2">
        <v>41831</v>
      </c>
      <c r="U1630" s="2">
        <v>43712</v>
      </c>
      <c r="V1630" s="2">
        <v>42647</v>
      </c>
    </row>
    <row r="1631" spans="1:22" x14ac:dyDescent="0.2">
      <c r="A1631" t="str">
        <f>"364.15 CEP"</f>
        <v>364.15 CEP</v>
      </c>
      <c r="B1631" t="str">
        <f>"Furious hours: murder, fraud, and the la"</f>
        <v>Furious hours: murder, fraud, and the la</v>
      </c>
      <c r="C1631">
        <v>354746</v>
      </c>
      <c r="D1631" t="str">
        <f>"Cep, Casey N."</f>
        <v>Cep, Casey N.</v>
      </c>
      <c r="F1631" t="str">
        <f>"xii, 314 pages, 16 unnumbered pages of plates, 25 cm, illustrations"</f>
        <v>xii, 314 pages, 16 unnumbered pages of plates, 25 cm, illustrations</v>
      </c>
      <c r="G1631" s="1">
        <v>19</v>
      </c>
      <c r="H1631">
        <v>2019</v>
      </c>
      <c r="I1631" t="str">
        <f t="shared" si="63"/>
        <v>9: 300 - 399</v>
      </c>
      <c r="K1631" t="str">
        <f>"LL - Out"</f>
        <v>LL - Out</v>
      </c>
      <c r="L1631" s="1">
        <v>32</v>
      </c>
      <c r="M1631" t="s">
        <v>1535</v>
      </c>
      <c r="O1631" t="s">
        <v>28</v>
      </c>
      <c r="P1631">
        <v>13</v>
      </c>
      <c r="Q1631">
        <v>0</v>
      </c>
      <c r="R1631">
        <v>13</v>
      </c>
      <c r="S1631" s="2">
        <v>43602</v>
      </c>
      <c r="T1631" s="2">
        <v>43768</v>
      </c>
      <c r="U1631" s="2">
        <v>43861</v>
      </c>
    </row>
    <row r="1632" spans="1:22" x14ac:dyDescent="0.2">
      <c r="A1632" t="str">
        <f>"364.15 CHA"</f>
        <v>364.15 CHA</v>
      </c>
      <c r="B1632" t="str">
        <f>"Adnan's story: the search for truth and "</f>
        <v xml:space="preserve">Adnan's story: the search for truth and </v>
      </c>
      <c r="C1632">
        <v>336973</v>
      </c>
      <c r="D1632" t="str">
        <f>"Chaudry, Rabia"</f>
        <v>Chaudry, Rabia</v>
      </c>
      <c r="F1632" t="str">
        <f>"410 pages, 25 cm, illustrations"</f>
        <v>410 pages, 25 cm, illustrations</v>
      </c>
      <c r="G1632" s="1">
        <v>16</v>
      </c>
      <c r="H1632">
        <v>2016</v>
      </c>
      <c r="I1632" t="str">
        <f t="shared" si="63"/>
        <v>9: 300 - 399</v>
      </c>
      <c r="K1632" t="str">
        <f>"LL - In"</f>
        <v>LL - In</v>
      </c>
      <c r="L1632" s="1">
        <v>32</v>
      </c>
      <c r="M1632" t="s">
        <v>1536</v>
      </c>
      <c r="O1632" t="s">
        <v>28</v>
      </c>
      <c r="P1632">
        <v>2</v>
      </c>
      <c r="Q1632">
        <v>0</v>
      </c>
      <c r="R1632">
        <v>10</v>
      </c>
      <c r="S1632" s="2">
        <v>42605</v>
      </c>
      <c r="T1632" s="2">
        <v>42795</v>
      </c>
      <c r="U1632" s="2">
        <v>43732</v>
      </c>
    </row>
    <row r="1633" spans="1:22" x14ac:dyDescent="0.2">
      <c r="A1633" t="str">
        <f>"364.15 COL"</f>
        <v>364.15 COL</v>
      </c>
      <c r="B1633" t="str">
        <f>"last master outlaw: how he outfoxed the "</f>
        <v xml:space="preserve">last master outlaw: how he outfoxed the </v>
      </c>
      <c r="C1633">
        <v>346296</v>
      </c>
      <c r="D1633" t="str">
        <f>"Colbert, Thomas J."</f>
        <v>Colbert, Thomas J.</v>
      </c>
      <c r="F1633" t="str">
        <f>"xv, 308 pages, 23 cm, illustrations, map"</f>
        <v>xv, 308 pages, 23 cm, illustrations, map</v>
      </c>
      <c r="G1633" s="1">
        <v>18</v>
      </c>
      <c r="H1633">
        <v>2016</v>
      </c>
      <c r="I1633" t="str">
        <f t="shared" si="63"/>
        <v>9: 300 - 399</v>
      </c>
      <c r="K1633" t="str">
        <f>"WB - In"</f>
        <v>WB - In</v>
      </c>
      <c r="L1633" s="1">
        <v>21</v>
      </c>
      <c r="M1633" t="s">
        <v>1537</v>
      </c>
      <c r="O1633" t="s">
        <v>28</v>
      </c>
      <c r="P1633">
        <v>4</v>
      </c>
      <c r="Q1633">
        <v>0</v>
      </c>
      <c r="R1633">
        <v>4</v>
      </c>
      <c r="S1633" s="2">
        <v>43152</v>
      </c>
      <c r="T1633" s="2">
        <v>43158</v>
      </c>
      <c r="U1633" s="2">
        <v>43575</v>
      </c>
    </row>
    <row r="1634" spans="1:22" x14ac:dyDescent="0.2">
      <c r="A1634" t="str">
        <f>"364.15 COL"</f>
        <v>364.15 COL</v>
      </c>
      <c r="B1634" t="str">
        <f>"Blood &amp; ivy: the 1849 murder that scanda"</f>
        <v>Blood &amp; ivy: the 1849 murder that scanda</v>
      </c>
      <c r="C1634">
        <v>349055</v>
      </c>
      <c r="D1634" t="str">
        <f>"Collins, Paul"</f>
        <v>Collins, Paul</v>
      </c>
      <c r="F1634" t="str">
        <f>"xix, 347 p., 25 cm, illustrations, map"</f>
        <v>xix, 347 p., 25 cm, illustrations, map</v>
      </c>
      <c r="G1634" s="1">
        <v>18</v>
      </c>
      <c r="H1634">
        <v>2018</v>
      </c>
      <c r="I1634" t="str">
        <f t="shared" si="63"/>
        <v>9: 300 - 399</v>
      </c>
      <c r="K1634" t="str">
        <f>"LL - In"</f>
        <v>LL - In</v>
      </c>
      <c r="L1634" s="1">
        <v>32</v>
      </c>
      <c r="M1634" t="s">
        <v>1538</v>
      </c>
      <c r="O1634" t="s">
        <v>28</v>
      </c>
      <c r="P1634">
        <v>13</v>
      </c>
      <c r="Q1634">
        <v>0</v>
      </c>
      <c r="R1634">
        <v>13</v>
      </c>
      <c r="S1634" s="2">
        <v>43312</v>
      </c>
      <c r="T1634" s="2">
        <v>43516</v>
      </c>
      <c r="U1634" s="2">
        <v>43599</v>
      </c>
    </row>
    <row r="1635" spans="1:22" x14ac:dyDescent="0.2">
      <c r="A1635" t="str">
        <f>"364.15 COR"</f>
        <v>364.15 COR</v>
      </c>
      <c r="B1635" t="str">
        <f>"murder over a girl: justice, gender, jun"</f>
        <v>murder over a girl: justice, gender, jun</v>
      </c>
      <c r="C1635">
        <v>337808</v>
      </c>
      <c r="D1635" t="str">
        <f>"Corbett, Ken"</f>
        <v>Corbett, Ken</v>
      </c>
      <c r="F1635" t="str">
        <f>"273 pages, 25 cm, illustrations"</f>
        <v>273 pages, 25 cm, illustrations</v>
      </c>
      <c r="G1635" s="1">
        <v>16</v>
      </c>
      <c r="H1635">
        <v>2016</v>
      </c>
      <c r="I1635" t="str">
        <f t="shared" si="63"/>
        <v>9: 300 - 399</v>
      </c>
      <c r="K1635" t="str">
        <f>"WB - In"</f>
        <v>WB - In</v>
      </c>
      <c r="L1635" s="1">
        <v>32</v>
      </c>
      <c r="M1635" t="s">
        <v>1539</v>
      </c>
      <c r="O1635" t="s">
        <v>28</v>
      </c>
      <c r="P1635">
        <v>5</v>
      </c>
      <c r="Q1635">
        <v>0</v>
      </c>
      <c r="R1635">
        <v>12</v>
      </c>
      <c r="S1635" s="2">
        <v>42654</v>
      </c>
      <c r="T1635" s="2">
        <v>42858</v>
      </c>
      <c r="U1635" s="2">
        <v>43200</v>
      </c>
    </row>
    <row r="1636" spans="1:22" x14ac:dyDescent="0.2">
      <c r="A1636" t="str">
        <f>"364.15 CUL"</f>
        <v>364.15 CUL</v>
      </c>
      <c r="B1636" t="s">
        <v>1540</v>
      </c>
      <c r="C1636">
        <v>329018</v>
      </c>
      <c r="D1636" t="str">
        <f>"Cullen, Dave"</f>
        <v>Cullen, Dave</v>
      </c>
      <c r="F1636" t="str">
        <f>"xiv, 443 p., 23 cm, ill., map"</f>
        <v>xiv, 443 p., 23 cm, ill., map</v>
      </c>
      <c r="G1636" s="1">
        <v>15</v>
      </c>
      <c r="H1636">
        <v>2010</v>
      </c>
      <c r="I1636" t="str">
        <f t="shared" si="63"/>
        <v>9: 300 - 399</v>
      </c>
      <c r="K1636" t="str">
        <f>"LL - In"</f>
        <v>LL - In</v>
      </c>
      <c r="L1636" s="1">
        <v>22</v>
      </c>
      <c r="M1636" t="s">
        <v>1541</v>
      </c>
      <c r="O1636" t="s">
        <v>28</v>
      </c>
      <c r="P1636">
        <v>9</v>
      </c>
      <c r="Q1636">
        <v>0</v>
      </c>
      <c r="R1636">
        <v>11</v>
      </c>
      <c r="S1636" s="2">
        <v>42220</v>
      </c>
      <c r="T1636" s="2">
        <v>42234</v>
      </c>
      <c r="U1636" s="2">
        <v>43753</v>
      </c>
    </row>
    <row r="1637" spans="1:22" x14ac:dyDescent="0.2">
      <c r="A1637" t="str">
        <f>"364.15 DAW"</f>
        <v>364.15 DAW</v>
      </c>
      <c r="B1637" t="str">
        <f>"Death in the air: the true story of a se"</f>
        <v>Death in the air: the true story of a se</v>
      </c>
      <c r="C1637">
        <v>344684</v>
      </c>
      <c r="D1637" t="str">
        <f>"Dawson, Kate Winkler"</f>
        <v>Dawson, Kate Winkler</v>
      </c>
      <c r="F1637" t="str">
        <f>"viii, 341 pages, 8 unnumbered pages of plates, 24 cm, illustrations, map"</f>
        <v>viii, 341 pages, 8 unnumbered pages of plates, 24 cm, illustrations, map</v>
      </c>
      <c r="G1637" s="1">
        <v>17</v>
      </c>
      <c r="H1637">
        <v>2017</v>
      </c>
      <c r="I1637" t="str">
        <f t="shared" si="63"/>
        <v>9: 300 - 399</v>
      </c>
      <c r="K1637" t="str">
        <f>"WB - In"</f>
        <v>WB - In</v>
      </c>
      <c r="L1637" s="1">
        <v>32</v>
      </c>
      <c r="M1637" t="s">
        <v>1542</v>
      </c>
      <c r="O1637" t="s">
        <v>28</v>
      </c>
      <c r="P1637">
        <v>23</v>
      </c>
      <c r="Q1637">
        <v>0</v>
      </c>
      <c r="R1637">
        <v>23</v>
      </c>
      <c r="S1637" s="2">
        <v>43054</v>
      </c>
      <c r="T1637" s="2">
        <v>43390</v>
      </c>
      <c r="U1637" s="2">
        <v>43518</v>
      </c>
    </row>
    <row r="1638" spans="1:22" x14ac:dyDescent="0.2">
      <c r="A1638" t="str">
        <f>"364.15 DAW"</f>
        <v>364.15 DAW</v>
      </c>
      <c r="B1638" t="str">
        <f>"Death in the air: the true story of a se"</f>
        <v>Death in the air: the true story of a se</v>
      </c>
      <c r="C1638">
        <v>349990</v>
      </c>
      <c r="D1638" t="str">
        <f>"Dawson, Kate Winkler"</f>
        <v>Dawson, Kate Winkler</v>
      </c>
      <c r="F1638" t="str">
        <f>"viii, 341 pages, 8 unnumbered pages of plates, 24 cm, illustrations, map"</f>
        <v>viii, 341 pages, 8 unnumbered pages of plates, 24 cm, illustrations, map</v>
      </c>
      <c r="G1638" s="1">
        <v>18</v>
      </c>
      <c r="H1638">
        <v>2017</v>
      </c>
      <c r="I1638" t="str">
        <f t="shared" si="63"/>
        <v>9: 300 - 399</v>
      </c>
      <c r="K1638" t="str">
        <f>"LL - Out"</f>
        <v>LL - Out</v>
      </c>
      <c r="L1638" s="1">
        <v>32</v>
      </c>
      <c r="M1638" t="s">
        <v>1542</v>
      </c>
      <c r="O1638" t="s">
        <v>28</v>
      </c>
      <c r="P1638">
        <v>8</v>
      </c>
      <c r="Q1638">
        <v>1</v>
      </c>
      <c r="R1638">
        <v>9</v>
      </c>
      <c r="S1638" s="2">
        <v>43361</v>
      </c>
      <c r="T1638" s="2">
        <v>43539</v>
      </c>
      <c r="U1638" s="2">
        <v>43861</v>
      </c>
      <c r="V1638" s="2">
        <v>43608</v>
      </c>
    </row>
    <row r="1639" spans="1:22" x14ac:dyDescent="0.2">
      <c r="A1639" t="str">
        <f>"364.15 EAT"</f>
        <v>364.15 EAT</v>
      </c>
      <c r="B1639" t="str">
        <f>"Black Dahlia, Red Rose: the crime, corru"</f>
        <v>Black Dahlia, Red Rose: the crime, corru</v>
      </c>
      <c r="C1639">
        <v>355914</v>
      </c>
      <c r="D1639" t="str">
        <f>"Eatwell, Piu Marie"</f>
        <v>Eatwell, Piu Marie</v>
      </c>
      <c r="F1639" t="str">
        <f>"xvii, 350 pages, 8 unnumbered pages of plates, 25 cm, illustrations"</f>
        <v>xvii, 350 pages, 8 unnumbered pages of plates, 25 cm, illustrations</v>
      </c>
      <c r="G1639" s="1">
        <v>19</v>
      </c>
      <c r="H1639">
        <v>2017</v>
      </c>
      <c r="I1639" t="str">
        <f t="shared" si="63"/>
        <v>9: 300 - 399</v>
      </c>
      <c r="K1639" t="str">
        <f>"LL - In"</f>
        <v>LL - In</v>
      </c>
      <c r="L1639" s="1">
        <v>32</v>
      </c>
      <c r="M1639" t="s">
        <v>1543</v>
      </c>
      <c r="O1639" t="s">
        <v>28</v>
      </c>
      <c r="P1639">
        <v>8</v>
      </c>
      <c r="Q1639">
        <v>3</v>
      </c>
      <c r="R1639">
        <v>11</v>
      </c>
      <c r="S1639" s="2">
        <v>43647</v>
      </c>
      <c r="T1639" s="2">
        <v>43809</v>
      </c>
      <c r="U1639" s="2">
        <v>43774</v>
      </c>
      <c r="V1639" s="2">
        <v>43812</v>
      </c>
    </row>
    <row r="1640" spans="1:22" x14ac:dyDescent="0.2">
      <c r="A1640" t="str">
        <f>"364.15 FAN"</f>
        <v>364.15 FAN</v>
      </c>
      <c r="B1640" t="str">
        <f>"Written in blood: the true story of murd"</f>
        <v>Written in blood: the true story of murd</v>
      </c>
      <c r="C1640">
        <v>402326</v>
      </c>
      <c r="D1640" t="str">
        <f>"Fanning, Diane."</f>
        <v>Fanning, Diane.</v>
      </c>
      <c r="F1640" t="str">
        <f>"viii, 405 p., [8] p. of plates, 18 cm, ill."</f>
        <v>viii, 405 p., [8] p. of plates, 18 cm, ill.</v>
      </c>
      <c r="G1640" s="1">
        <v>18</v>
      </c>
      <c r="H1640">
        <v>2005</v>
      </c>
      <c r="I1640" t="str">
        <f t="shared" si="63"/>
        <v>9: 300 - 399</v>
      </c>
      <c r="K1640" t="str">
        <f>"LL - In"</f>
        <v>LL - In</v>
      </c>
      <c r="L1640" s="1">
        <v>28</v>
      </c>
      <c r="M1640" t="s">
        <v>1544</v>
      </c>
      <c r="O1640" t="s">
        <v>28</v>
      </c>
      <c r="P1640">
        <v>1</v>
      </c>
      <c r="Q1640">
        <v>0</v>
      </c>
      <c r="R1640">
        <v>1</v>
      </c>
      <c r="S1640" s="2">
        <v>43306</v>
      </c>
      <c r="T1640" s="2">
        <v>43311</v>
      </c>
      <c r="U1640" s="2">
        <v>43313</v>
      </c>
    </row>
    <row r="1641" spans="1:22" x14ac:dyDescent="0.2">
      <c r="A1641" t="str">
        <f>"364.15 FIE"</f>
        <v>364.15 FIE</v>
      </c>
      <c r="B1641" t="str">
        <f>"Tinderbox: the untold story of the Up St"</f>
        <v>Tinderbox: the untold story of the Up St</v>
      </c>
      <c r="C1641">
        <v>351926</v>
      </c>
      <c r="D1641" t="str">
        <f>"Fieseler, Robert W."</f>
        <v>Fieseler, Robert W.</v>
      </c>
      <c r="F1641" t="str">
        <f>"xxxviii, 343 pages, 25 cm, illustrations, map"</f>
        <v>xxxviii, 343 pages, 25 cm, illustrations, map</v>
      </c>
      <c r="G1641" s="1">
        <v>18</v>
      </c>
      <c r="H1641">
        <v>2018</v>
      </c>
      <c r="I1641" t="str">
        <f t="shared" si="63"/>
        <v>9: 300 - 399</v>
      </c>
      <c r="K1641" t="str">
        <f>"WB - In"</f>
        <v>WB - In</v>
      </c>
      <c r="L1641" s="1">
        <v>32</v>
      </c>
      <c r="M1641" t="s">
        <v>1545</v>
      </c>
      <c r="O1641" t="s">
        <v>28</v>
      </c>
      <c r="P1641">
        <v>1</v>
      </c>
      <c r="Q1641">
        <v>0</v>
      </c>
      <c r="R1641">
        <v>1</v>
      </c>
      <c r="S1641" s="2">
        <v>43452</v>
      </c>
      <c r="T1641" s="2">
        <v>43635</v>
      </c>
      <c r="U1641" s="2">
        <v>43609</v>
      </c>
    </row>
    <row r="1642" spans="1:22" x14ac:dyDescent="0.2">
      <c r="A1642" t="str">
        <f>"364.15 FOX"</f>
        <v>364.15 FOX</v>
      </c>
      <c r="B1642" t="str">
        <f>"Conan Doyle for the defense: the true st"</f>
        <v>Conan Doyle for the defense: the true st</v>
      </c>
      <c r="C1642">
        <v>349320</v>
      </c>
      <c r="D1642" t="str">
        <f>"Fox, Margalit."</f>
        <v>Fox, Margalit.</v>
      </c>
      <c r="F1642" t="str">
        <f>"xxvii, 319 pages, 24 unnumbered pages of plates, 22 cm, illustrations, maps"</f>
        <v>xxvii, 319 pages, 24 unnumbered pages of plates, 22 cm, illustrations, maps</v>
      </c>
      <c r="G1642" s="1">
        <v>18</v>
      </c>
      <c r="H1642">
        <v>2018</v>
      </c>
      <c r="I1642" t="str">
        <f t="shared" si="63"/>
        <v>9: 300 - 399</v>
      </c>
      <c r="K1642" t="str">
        <f>"WB - In"</f>
        <v>WB - In</v>
      </c>
      <c r="L1642" s="1">
        <v>32</v>
      </c>
      <c r="M1642" t="s">
        <v>1546</v>
      </c>
      <c r="O1642" t="s">
        <v>28</v>
      </c>
      <c r="P1642">
        <v>7</v>
      </c>
      <c r="Q1642">
        <v>0</v>
      </c>
      <c r="R1642">
        <v>7</v>
      </c>
      <c r="S1642" s="2">
        <v>43326</v>
      </c>
      <c r="T1642" s="2">
        <v>43508</v>
      </c>
      <c r="U1642" s="2">
        <v>43591</v>
      </c>
    </row>
    <row r="1643" spans="1:22" x14ac:dyDescent="0.2">
      <c r="A1643" t="str">
        <f>"364.15 FRE"</f>
        <v>364.15 FRE</v>
      </c>
      <c r="B1643" t="str">
        <f>"Midnight in Peking: how the murder of a "</f>
        <v xml:space="preserve">Midnight in Peking: how the murder of a </v>
      </c>
      <c r="C1643">
        <v>307287</v>
      </c>
      <c r="D1643" t="str">
        <f>"French, Paul,"</f>
        <v>French, Paul,</v>
      </c>
      <c r="F1643" t="str">
        <f>"259 p."</f>
        <v>259 p.</v>
      </c>
      <c r="G1643" s="1">
        <v>12</v>
      </c>
      <c r="H1643">
        <v>2012</v>
      </c>
      <c r="I1643" t="str">
        <f t="shared" si="63"/>
        <v>9: 300 - 399</v>
      </c>
      <c r="K1643" t="str">
        <f>"LL - In"</f>
        <v>LL - In</v>
      </c>
      <c r="L1643" s="1">
        <v>31</v>
      </c>
      <c r="M1643" t="s">
        <v>1547</v>
      </c>
      <c r="O1643" t="s">
        <v>28</v>
      </c>
      <c r="P1643">
        <v>0</v>
      </c>
      <c r="Q1643">
        <v>0</v>
      </c>
      <c r="R1643">
        <v>20</v>
      </c>
      <c r="S1643" s="2">
        <v>41032</v>
      </c>
      <c r="T1643" s="2">
        <v>41311</v>
      </c>
      <c r="U1643" s="2">
        <v>42708</v>
      </c>
    </row>
    <row r="1644" spans="1:22" x14ac:dyDescent="0.2">
      <c r="A1644" t="str">
        <f>"364.15 FRE"</f>
        <v>364.15 FRE</v>
      </c>
      <c r="B1644" t="str">
        <f>"Midnight in Peking: how the murder of a "</f>
        <v xml:space="preserve">Midnight in Peking: how the murder of a </v>
      </c>
      <c r="C1644">
        <v>307288</v>
      </c>
      <c r="D1644" t="str">
        <f>"French, Paul,"</f>
        <v>French, Paul,</v>
      </c>
      <c r="F1644" t="str">
        <f>"259 p."</f>
        <v>259 p.</v>
      </c>
      <c r="G1644" s="1">
        <v>12</v>
      </c>
      <c r="H1644">
        <v>2012</v>
      </c>
      <c r="I1644" t="str">
        <f t="shared" si="63"/>
        <v>9: 300 - 399</v>
      </c>
      <c r="K1644" t="str">
        <f>"WB - In"</f>
        <v>WB - In</v>
      </c>
      <c r="L1644" s="1">
        <v>31</v>
      </c>
      <c r="M1644" t="s">
        <v>1547</v>
      </c>
      <c r="O1644" t="s">
        <v>28</v>
      </c>
      <c r="P1644">
        <v>2</v>
      </c>
      <c r="Q1644">
        <v>1</v>
      </c>
      <c r="R1644">
        <v>14</v>
      </c>
      <c r="S1644" s="2">
        <v>41032</v>
      </c>
      <c r="T1644" s="2">
        <v>41199</v>
      </c>
      <c r="U1644" s="2">
        <v>43041</v>
      </c>
      <c r="V1644" s="2">
        <v>43046</v>
      </c>
    </row>
    <row r="1645" spans="1:22" x14ac:dyDescent="0.2">
      <c r="A1645" t="str">
        <f>"364.15 GAL"</f>
        <v>364.15 GAL</v>
      </c>
      <c r="B1645" t="str">
        <f>"""No one helped"": Kitty Genovese, New Yor"</f>
        <v>"No one helped": Kitty Genovese, New Yor</v>
      </c>
      <c r="C1645">
        <v>335996</v>
      </c>
      <c r="D1645" t="str">
        <f>"Gallo, Marcia M."</f>
        <v>Gallo, Marcia M.</v>
      </c>
      <c r="F1645" t="str">
        <f>"xxiii, 212 pages, 24 cm, illustrations"</f>
        <v>xxiii, 212 pages, 24 cm, illustrations</v>
      </c>
      <c r="G1645" s="1">
        <v>16</v>
      </c>
      <c r="H1645">
        <v>2015</v>
      </c>
      <c r="I1645" t="str">
        <f t="shared" si="63"/>
        <v>9: 300 - 399</v>
      </c>
      <c r="K1645" t="str">
        <f>"LL - In"</f>
        <v>LL - In</v>
      </c>
      <c r="L1645" s="1">
        <v>30</v>
      </c>
      <c r="M1645" t="s">
        <v>1548</v>
      </c>
      <c r="O1645" t="s">
        <v>28</v>
      </c>
      <c r="P1645">
        <v>0</v>
      </c>
      <c r="Q1645">
        <v>0</v>
      </c>
      <c r="R1645">
        <v>6</v>
      </c>
      <c r="S1645" s="2">
        <v>42557</v>
      </c>
      <c r="T1645" s="2">
        <v>42768</v>
      </c>
      <c r="U1645" s="2">
        <v>42757</v>
      </c>
    </row>
    <row r="1646" spans="1:22" x14ac:dyDescent="0.2">
      <c r="A1646" t="str">
        <f>"364.15 GOO"</f>
        <v>364.15 GOO</v>
      </c>
      <c r="B1646" t="str">
        <f>"killing of Julia Wallace"</f>
        <v>killing of Julia Wallace</v>
      </c>
      <c r="C1646">
        <v>296994</v>
      </c>
      <c r="D1646" t="str">
        <f>"Goodman, Jonathan"</f>
        <v>Goodman, Jonathan</v>
      </c>
      <c r="F1646" t="str">
        <f>"321 pages, 8 unnumbered pages of plates, 22 cm, illustrations, maps, plans, facsimiles"</f>
        <v>321 pages, 8 unnumbered pages of plates, 22 cm, illustrations, maps, plans, facsimiles</v>
      </c>
      <c r="G1646" s="1">
        <v>17</v>
      </c>
      <c r="H1646">
        <v>2017</v>
      </c>
      <c r="I1646" t="str">
        <f t="shared" si="63"/>
        <v>9: 300 - 399</v>
      </c>
      <c r="K1646" t="str">
        <f>"WB - In"</f>
        <v>WB - In</v>
      </c>
      <c r="L1646" s="1">
        <v>25</v>
      </c>
      <c r="M1646" t="s">
        <v>1549</v>
      </c>
      <c r="O1646" t="s">
        <v>28</v>
      </c>
      <c r="P1646">
        <v>4</v>
      </c>
      <c r="Q1646">
        <v>0</v>
      </c>
      <c r="R1646">
        <v>4</v>
      </c>
      <c r="S1646" s="2">
        <v>42997</v>
      </c>
      <c r="T1646" s="2">
        <v>43187</v>
      </c>
      <c r="U1646" s="2">
        <v>43167</v>
      </c>
    </row>
    <row r="1647" spans="1:22" x14ac:dyDescent="0.2">
      <c r="A1647" t="str">
        <f>"364.15 HAR"</f>
        <v>364.15 HAR</v>
      </c>
      <c r="B1647" t="str">
        <f>"Asking for it: the alarming rise of rape"</f>
        <v>Asking for it: the alarming rise of rape</v>
      </c>
      <c r="C1647">
        <v>335763</v>
      </c>
      <c r="D1647" t="str">
        <f>"Harding, Kate,"</f>
        <v>Harding, Kate,</v>
      </c>
      <c r="F1647" t="str">
        <f>"vii, 261 pages, 23 cm"</f>
        <v>vii, 261 pages, 23 cm</v>
      </c>
      <c r="G1647" s="1">
        <v>16</v>
      </c>
      <c r="H1647">
        <v>2015</v>
      </c>
      <c r="I1647" t="str">
        <f t="shared" si="63"/>
        <v>9: 300 - 399</v>
      </c>
      <c r="K1647" t="str">
        <f>"WB - In"</f>
        <v>WB - In</v>
      </c>
      <c r="L1647" s="1">
        <v>21</v>
      </c>
      <c r="M1647" t="s">
        <v>1550</v>
      </c>
      <c r="O1647" t="s">
        <v>28</v>
      </c>
      <c r="P1647">
        <v>2</v>
      </c>
      <c r="Q1647">
        <v>0</v>
      </c>
      <c r="R1647">
        <v>2</v>
      </c>
      <c r="S1647" s="2">
        <v>42541</v>
      </c>
      <c r="T1647" s="2">
        <v>42558</v>
      </c>
      <c r="U1647" s="2">
        <v>42925</v>
      </c>
    </row>
    <row r="1648" spans="1:22" x14ac:dyDescent="0.2">
      <c r="A1648" t="str">
        <f>"364.15 HAR"</f>
        <v>364.15 HAR</v>
      </c>
      <c r="B1648" t="str">
        <f>"Murder by the book: the crime that shock"</f>
        <v>Murder by the book: the crime that shock</v>
      </c>
      <c r="C1648">
        <v>354218</v>
      </c>
      <c r="D1648" t="str">
        <f>"Harman, Claire."</f>
        <v>Harman, Claire.</v>
      </c>
      <c r="F1648" t="str">
        <f>"252 pages, 22 cm"</f>
        <v>252 pages, 22 cm</v>
      </c>
      <c r="G1648" s="1">
        <v>19</v>
      </c>
      <c r="H1648">
        <v>2019</v>
      </c>
      <c r="I1648" t="str">
        <f t="shared" si="63"/>
        <v>9: 300 - 399</v>
      </c>
      <c r="K1648" t="str">
        <f>"WB - In"</f>
        <v>WB - In</v>
      </c>
      <c r="L1648" s="1">
        <v>32</v>
      </c>
      <c r="M1648" t="s">
        <v>1551</v>
      </c>
      <c r="O1648" t="s">
        <v>28</v>
      </c>
      <c r="P1648">
        <v>8</v>
      </c>
      <c r="Q1648">
        <v>0</v>
      </c>
      <c r="R1648">
        <v>8</v>
      </c>
      <c r="S1648" s="2">
        <v>43572</v>
      </c>
      <c r="T1648" s="2">
        <v>43747</v>
      </c>
      <c r="U1648" s="2">
        <v>43742</v>
      </c>
    </row>
    <row r="1649" spans="1:22" x14ac:dyDescent="0.2">
      <c r="A1649" t="str">
        <f>"364.15 HAR"</f>
        <v>364.15 HAR</v>
      </c>
      <c r="B1649" t="str">
        <f>"Stamford '76: a true story of murder, co"</f>
        <v>Stamford '76: a true story of murder, co</v>
      </c>
      <c r="C1649">
        <v>354774</v>
      </c>
      <c r="D1649" t="str">
        <f>"Hart, JoeAnn"</f>
        <v>Hart, JoeAnn</v>
      </c>
      <c r="F1649" t="str">
        <f>"188 p."</f>
        <v>188 p.</v>
      </c>
      <c r="G1649" s="1">
        <v>19</v>
      </c>
      <c r="H1649">
        <v>2019</v>
      </c>
      <c r="I1649" t="str">
        <f t="shared" si="63"/>
        <v>9: 300 - 399</v>
      </c>
      <c r="K1649" t="str">
        <f>"LL - In"</f>
        <v>LL - In</v>
      </c>
      <c r="L1649" s="1">
        <v>25</v>
      </c>
      <c r="M1649" t="s">
        <v>1552</v>
      </c>
      <c r="O1649" t="s">
        <v>28</v>
      </c>
      <c r="P1649">
        <v>1</v>
      </c>
      <c r="Q1649">
        <v>0</v>
      </c>
      <c r="R1649">
        <v>1</v>
      </c>
      <c r="S1649" s="2">
        <v>43602</v>
      </c>
      <c r="T1649" s="2">
        <v>43801</v>
      </c>
      <c r="U1649" s="2">
        <v>43702</v>
      </c>
    </row>
    <row r="1650" spans="1:22" x14ac:dyDescent="0.2">
      <c r="A1650" t="str">
        <f>"364.15 HAW"</f>
        <v>364.15 HAW</v>
      </c>
      <c r="B1650" t="str">
        <f>"Grace will lead us home: the Charleston "</f>
        <v xml:space="preserve">Grace will lead us home: the Charleston </v>
      </c>
      <c r="C1650">
        <v>355237</v>
      </c>
      <c r="D1650" t="str">
        <f>"Hawes, Jennifer"</f>
        <v>Hawes, Jennifer</v>
      </c>
      <c r="F1650" t="str">
        <f>"x, 309 pages, 16 unnumbered pages of plates, 25 cm, illustrations"</f>
        <v>x, 309 pages, 16 unnumbered pages of plates, 25 cm, illustrations</v>
      </c>
      <c r="G1650" s="1">
        <v>19</v>
      </c>
      <c r="H1650">
        <v>2019</v>
      </c>
      <c r="I1650" t="str">
        <f t="shared" si="63"/>
        <v>9: 300 - 399</v>
      </c>
      <c r="K1650" t="str">
        <f>"LL - In"</f>
        <v>LL - In</v>
      </c>
      <c r="L1650" s="1">
        <v>34</v>
      </c>
      <c r="M1650" t="s">
        <v>1553</v>
      </c>
      <c r="O1650" t="s">
        <v>28</v>
      </c>
      <c r="P1650">
        <v>1</v>
      </c>
      <c r="Q1650">
        <v>0</v>
      </c>
      <c r="R1650">
        <v>1</v>
      </c>
      <c r="S1650" s="2">
        <v>43620</v>
      </c>
      <c r="T1650" s="2">
        <v>43808</v>
      </c>
      <c r="U1650" s="2">
        <v>43760</v>
      </c>
    </row>
    <row r="1651" spans="1:22" x14ac:dyDescent="0.2">
      <c r="A1651" t="str">
        <f>"364.15 HER"</f>
        <v>364.15 HER</v>
      </c>
      <c r="B1651" t="str">
        <f>"royal art of poison: filthy palaces, fat"</f>
        <v>royal art of poison: filthy palaces, fat</v>
      </c>
      <c r="C1651">
        <v>404130</v>
      </c>
      <c r="D1651" t="str">
        <f>"Herman, Eleanor,"</f>
        <v>Herman, Eleanor,</v>
      </c>
      <c r="F1651" t="str">
        <f>"xiii, 286 pages, 16 unnumbered pages of plates, 25 cm, color portraits"</f>
        <v>xiii, 286 pages, 16 unnumbered pages of plates, 25 cm, color portraits</v>
      </c>
      <c r="G1651" s="1">
        <v>18</v>
      </c>
      <c r="H1651">
        <v>2018</v>
      </c>
      <c r="I1651" t="str">
        <f t="shared" si="63"/>
        <v>9: 300 - 399</v>
      </c>
      <c r="K1651" t="str">
        <f>"WB - In"</f>
        <v>WB - In</v>
      </c>
      <c r="L1651" s="1">
        <v>33</v>
      </c>
      <c r="M1651" t="s">
        <v>1554</v>
      </c>
      <c r="O1651" t="s">
        <v>28</v>
      </c>
      <c r="P1651">
        <v>8</v>
      </c>
      <c r="Q1651">
        <v>0</v>
      </c>
      <c r="R1651">
        <v>8</v>
      </c>
      <c r="S1651" s="2">
        <v>43447</v>
      </c>
      <c r="T1651" s="2">
        <v>43663</v>
      </c>
      <c r="U1651" s="2">
        <v>43635</v>
      </c>
    </row>
    <row r="1652" spans="1:22" x14ac:dyDescent="0.2">
      <c r="A1652" t="str">
        <f>"364.15 HOD"</f>
        <v>364.15 HOD</v>
      </c>
      <c r="B1652" t="str">
        <f>"Black Dahlia avenger: a genius for murde"</f>
        <v>Black Dahlia avenger: a genius for murde</v>
      </c>
      <c r="C1652">
        <v>359480</v>
      </c>
      <c r="D1652" t="str">
        <f>"Hodel, Steve,"</f>
        <v>Hodel, Steve,</v>
      </c>
      <c r="F1652" t="str">
        <f>"xii, 530 pages, 8 unnumbered pages of plates, 21 cm, illustrations, map"</f>
        <v>xii, 530 pages, 8 unnumbered pages of plates, 21 cm, illustrations, map</v>
      </c>
      <c r="G1652" s="1">
        <v>19</v>
      </c>
      <c r="H1652">
        <v>2015</v>
      </c>
      <c r="I1652" t="str">
        <f t="shared" si="63"/>
        <v>9: 300 - 399</v>
      </c>
      <c r="K1652" t="str">
        <f>"LL - In"</f>
        <v>LL - In</v>
      </c>
      <c r="L1652" s="1">
        <v>23</v>
      </c>
      <c r="M1652" t="s">
        <v>1555</v>
      </c>
      <c r="O1652" t="s">
        <v>28</v>
      </c>
      <c r="P1652">
        <v>1</v>
      </c>
      <c r="Q1652">
        <v>0</v>
      </c>
      <c r="R1652">
        <v>1</v>
      </c>
      <c r="S1652" s="2">
        <v>43802</v>
      </c>
      <c r="T1652" s="2">
        <v>43811</v>
      </c>
      <c r="U1652" s="2">
        <v>43815</v>
      </c>
    </row>
    <row r="1653" spans="1:22" x14ac:dyDescent="0.2">
      <c r="A1653" t="str">
        <f>"364.15 HOL"</f>
        <v>364.15 HOL</v>
      </c>
      <c r="B1653" t="str">
        <f>"midnight assassin: panic, scandal, and t"</f>
        <v>midnight assassin: panic, scandal, and t</v>
      </c>
      <c r="C1653">
        <v>334720</v>
      </c>
      <c r="D1653" t="str">
        <f>"Hollandsworth, Skip"</f>
        <v>Hollandsworth, Skip</v>
      </c>
      <c r="F1653" t="str">
        <f>"xii, 321 pages, 25 cm, illustrations, maps"</f>
        <v>xii, 321 pages, 25 cm, illustrations, maps</v>
      </c>
      <c r="G1653" s="1">
        <v>16</v>
      </c>
      <c r="H1653">
        <v>2016</v>
      </c>
      <c r="I1653" t="str">
        <f t="shared" si="63"/>
        <v>9: 300 - 399</v>
      </c>
      <c r="K1653" t="str">
        <f>"WB - Out"</f>
        <v>WB - Out</v>
      </c>
      <c r="L1653" s="1">
        <v>35</v>
      </c>
      <c r="M1653" t="s">
        <v>1556</v>
      </c>
      <c r="O1653" t="s">
        <v>28</v>
      </c>
      <c r="P1653">
        <v>13</v>
      </c>
      <c r="Q1653">
        <v>0</v>
      </c>
      <c r="R1653">
        <v>27</v>
      </c>
      <c r="S1653" s="2">
        <v>42486</v>
      </c>
      <c r="T1653" s="2">
        <v>42710</v>
      </c>
      <c r="U1653" s="2">
        <v>43861</v>
      </c>
    </row>
    <row r="1654" spans="1:22" x14ac:dyDescent="0.2">
      <c r="A1654" t="str">
        <f>"364.15 HOU"</f>
        <v>364.15 HOU</v>
      </c>
      <c r="B1654" t="str">
        <f>"Norco '80: the true story of the most sp"</f>
        <v>Norco '80: the true story of the most sp</v>
      </c>
      <c r="C1654">
        <v>355577</v>
      </c>
      <c r="D1654" t="str">
        <f>"Houlahan, Peter"</f>
        <v>Houlahan, Peter</v>
      </c>
      <c r="F1654" t="str">
        <f>"xiv, 384 pages, 8 unnumbered pages of plates, 24 cm, illustrations"</f>
        <v>xiv, 384 pages, 8 unnumbered pages of plates, 24 cm, illustrations</v>
      </c>
      <c r="G1654" s="1">
        <v>19</v>
      </c>
      <c r="H1654">
        <v>2019</v>
      </c>
      <c r="I1654" t="str">
        <f t="shared" si="63"/>
        <v>9: 300 - 399</v>
      </c>
      <c r="K1654" t="str">
        <f>"WB - In"</f>
        <v>WB - In</v>
      </c>
      <c r="L1654" s="1">
        <v>31</v>
      </c>
      <c r="M1654" t="s">
        <v>1557</v>
      </c>
      <c r="O1654" t="s">
        <v>28</v>
      </c>
      <c r="P1654">
        <v>4</v>
      </c>
      <c r="Q1654">
        <v>0</v>
      </c>
      <c r="R1654">
        <v>4</v>
      </c>
      <c r="S1654" s="2">
        <v>43633</v>
      </c>
      <c r="T1654" s="2">
        <v>43789</v>
      </c>
      <c r="U1654" s="2">
        <v>43760</v>
      </c>
    </row>
    <row r="1655" spans="1:22" x14ac:dyDescent="0.2">
      <c r="A1655" t="str">
        <f>"364.15 KEE"</f>
        <v>364.15 KEE</v>
      </c>
      <c r="B1655" t="str">
        <f>"Say nothing: a true story of murder and "</f>
        <v xml:space="preserve">Say nothing: a true story of murder and </v>
      </c>
      <c r="C1655">
        <v>353316</v>
      </c>
      <c r="D1655" t="str">
        <f>"Keefe, Patrick Radden"</f>
        <v>Keefe, Patrick Radden</v>
      </c>
      <c r="F1655" t="str">
        <f>"xii, 441 pages, 24 cm, illustrations"</f>
        <v>xii, 441 pages, 24 cm, illustrations</v>
      </c>
      <c r="G1655" s="1">
        <v>19</v>
      </c>
      <c r="H1655">
        <v>2019</v>
      </c>
      <c r="I1655" t="str">
        <f t="shared" si="63"/>
        <v>9: 300 - 399</v>
      </c>
      <c r="K1655" t="str">
        <f>"WB - Out"</f>
        <v>WB - Out</v>
      </c>
      <c r="L1655" s="1">
        <v>34</v>
      </c>
      <c r="M1655" t="s">
        <v>1558</v>
      </c>
      <c r="O1655" t="s">
        <v>28</v>
      </c>
      <c r="P1655">
        <v>15</v>
      </c>
      <c r="Q1655">
        <v>0</v>
      </c>
      <c r="R1655">
        <v>15</v>
      </c>
      <c r="S1655" s="2">
        <v>43529</v>
      </c>
      <c r="T1655" s="2">
        <v>43747</v>
      </c>
      <c r="U1655" s="2">
        <v>43818</v>
      </c>
    </row>
    <row r="1656" spans="1:22" x14ac:dyDescent="0.2">
      <c r="A1656" t="str">
        <f>"364.15 KIN"</f>
        <v>364.15 KIN</v>
      </c>
      <c r="B1656" t="str">
        <f>"Beneath a ruthless sun: a true story of "</f>
        <v xml:space="preserve">Beneath a ruthless sun: a true story of </v>
      </c>
      <c r="C1656">
        <v>347417</v>
      </c>
      <c r="D1656" t="str">
        <f>"King, Gilbert"</f>
        <v>King, Gilbert</v>
      </c>
      <c r="F1656" t="str">
        <f>"375 p."</f>
        <v>375 p.</v>
      </c>
      <c r="G1656" s="1">
        <v>18</v>
      </c>
      <c r="H1656">
        <v>2018</v>
      </c>
      <c r="I1656" t="str">
        <f t="shared" si="63"/>
        <v>9: 300 - 399</v>
      </c>
      <c r="K1656" t="str">
        <f>"WB - In"</f>
        <v>WB - In</v>
      </c>
      <c r="L1656" s="1">
        <v>33</v>
      </c>
      <c r="M1656" t="s">
        <v>1559</v>
      </c>
      <c r="O1656" t="s">
        <v>28</v>
      </c>
      <c r="P1656">
        <v>6</v>
      </c>
      <c r="Q1656">
        <v>1</v>
      </c>
      <c r="R1656">
        <v>7</v>
      </c>
      <c r="S1656" s="2">
        <v>43220</v>
      </c>
      <c r="T1656" s="2">
        <v>43396</v>
      </c>
      <c r="U1656" s="2">
        <v>43497</v>
      </c>
      <c r="V1656" s="2">
        <v>43396</v>
      </c>
    </row>
    <row r="1657" spans="1:22" x14ac:dyDescent="0.2">
      <c r="A1657" t="str">
        <f>"364.15 KOL"</f>
        <v>364.15 KOL</v>
      </c>
      <c r="B1657" t="str">
        <f>"Lost girls: an unsolved American mystery"</f>
        <v>Lost girls: an unsolved American mystery</v>
      </c>
      <c r="C1657">
        <v>315655</v>
      </c>
      <c r="D1657" t="str">
        <f>"Kolker, Robert."</f>
        <v>Kolker, Robert.</v>
      </c>
      <c r="F1657" t="str">
        <f>"xiv, 399 pages, 24 cm, maps"</f>
        <v>xiv, 399 pages, 24 cm, maps</v>
      </c>
      <c r="G1657" s="1">
        <v>13</v>
      </c>
      <c r="H1657">
        <v>2013</v>
      </c>
      <c r="I1657" t="str">
        <f t="shared" si="63"/>
        <v>9: 300 - 399</v>
      </c>
      <c r="K1657" t="str">
        <f>"LL - In"</f>
        <v>LL - In</v>
      </c>
      <c r="L1657" s="1">
        <v>31</v>
      </c>
      <c r="M1657" t="s">
        <v>1560</v>
      </c>
      <c r="O1657" t="s">
        <v>28</v>
      </c>
      <c r="P1657">
        <v>0</v>
      </c>
      <c r="Q1657">
        <v>0</v>
      </c>
      <c r="R1657">
        <v>23</v>
      </c>
      <c r="S1657" s="2">
        <v>41471</v>
      </c>
      <c r="T1657" s="2">
        <v>41723</v>
      </c>
      <c r="U1657" s="2">
        <v>42737</v>
      </c>
    </row>
    <row r="1658" spans="1:22" x14ac:dyDescent="0.2">
      <c r="A1658" t="str">
        <f>"364.15 KRA"</f>
        <v>364.15 KRA</v>
      </c>
      <c r="B1658" t="str">
        <f>"Missoula: rape and the justice system in"</f>
        <v>Missoula: rape and the justice system in</v>
      </c>
      <c r="C1658">
        <v>327299</v>
      </c>
      <c r="D1658" t="str">
        <f>"Krakauer, Jon"</f>
        <v>Krakauer, Jon</v>
      </c>
      <c r="F1658" t="str">
        <f>"xiv, 367 pages, 25 cm"</f>
        <v>xiv, 367 pages, 25 cm</v>
      </c>
      <c r="G1658" s="1">
        <v>15</v>
      </c>
      <c r="H1658">
        <v>2015</v>
      </c>
      <c r="I1658" t="str">
        <f t="shared" si="63"/>
        <v>9: 300 - 399</v>
      </c>
      <c r="K1658" t="str">
        <f>"LL - In"</f>
        <v>LL - In</v>
      </c>
      <c r="L1658" s="1">
        <v>34</v>
      </c>
      <c r="M1658" t="s">
        <v>1561</v>
      </c>
      <c r="O1658" t="s">
        <v>28</v>
      </c>
      <c r="P1658">
        <v>4</v>
      </c>
      <c r="Q1658">
        <v>1</v>
      </c>
      <c r="R1658">
        <v>30</v>
      </c>
      <c r="S1658" s="2">
        <v>42132</v>
      </c>
      <c r="T1658" s="2">
        <v>42375</v>
      </c>
      <c r="U1658" s="2">
        <v>43692</v>
      </c>
      <c r="V1658" s="2">
        <v>43686</v>
      </c>
    </row>
    <row r="1659" spans="1:22" x14ac:dyDescent="0.2">
      <c r="A1659" t="str">
        <f>"364.15 KRA"</f>
        <v>364.15 KRA</v>
      </c>
      <c r="B1659" t="str">
        <f>"Missoula: rape and the justice system in"</f>
        <v>Missoula: rape and the justice system in</v>
      </c>
      <c r="C1659">
        <v>284817</v>
      </c>
      <c r="D1659" t="str">
        <f>"Krakauer, Jon"</f>
        <v>Krakauer, Jon</v>
      </c>
      <c r="F1659" t="str">
        <f>"xiv, 367 pages, 25 cm"</f>
        <v>xiv, 367 pages, 25 cm</v>
      </c>
      <c r="G1659" s="1">
        <v>15</v>
      </c>
      <c r="H1659">
        <v>2015</v>
      </c>
      <c r="I1659" t="str">
        <f t="shared" si="63"/>
        <v>9: 300 - 399</v>
      </c>
      <c r="K1659" t="str">
        <f>"WB - In"</f>
        <v>WB - In</v>
      </c>
      <c r="L1659" s="1">
        <v>34</v>
      </c>
      <c r="M1659" t="s">
        <v>1561</v>
      </c>
      <c r="O1659" t="s">
        <v>28</v>
      </c>
      <c r="P1659">
        <v>2</v>
      </c>
      <c r="Q1659">
        <v>0</v>
      </c>
      <c r="R1659">
        <v>7</v>
      </c>
      <c r="S1659" s="2">
        <v>42349</v>
      </c>
      <c r="T1659" s="2">
        <v>42360</v>
      </c>
      <c r="U1659" s="2">
        <v>43722</v>
      </c>
    </row>
    <row r="1660" spans="1:22" x14ac:dyDescent="0.2">
      <c r="A1660" t="str">
        <f>"364.15 LAR"</f>
        <v>364.15 LAR</v>
      </c>
      <c r="B1660" t="str">
        <f>"devil in the white city: murder, magic, "</f>
        <v xml:space="preserve">devil in the white city: murder, magic, </v>
      </c>
      <c r="C1660">
        <v>352787</v>
      </c>
      <c r="D1660" t="str">
        <f>"Larson, Erik"</f>
        <v>Larson, Erik</v>
      </c>
      <c r="F1660" t="str">
        <f>"xi, 447 p., 25 cm., ill."</f>
        <v>xi, 447 p., 25 cm., ill.</v>
      </c>
      <c r="G1660" s="1">
        <v>19</v>
      </c>
      <c r="H1660">
        <v>2003</v>
      </c>
      <c r="I1660" t="str">
        <f t="shared" si="63"/>
        <v>9: 300 - 399</v>
      </c>
      <c r="K1660" t="str">
        <f>"LL - In"</f>
        <v>LL - In</v>
      </c>
      <c r="L1660" s="1">
        <v>22</v>
      </c>
      <c r="M1660" t="s">
        <v>1562</v>
      </c>
      <c r="O1660" t="s">
        <v>28</v>
      </c>
      <c r="P1660">
        <v>6</v>
      </c>
      <c r="Q1660">
        <v>1</v>
      </c>
      <c r="R1660">
        <v>7</v>
      </c>
      <c r="S1660" s="2">
        <v>43507</v>
      </c>
      <c r="T1660" s="2">
        <v>43516</v>
      </c>
      <c r="U1660" s="2">
        <v>43782</v>
      </c>
      <c r="V1660" s="2">
        <v>43600</v>
      </c>
    </row>
    <row r="1661" spans="1:22" x14ac:dyDescent="0.2">
      <c r="A1661" t="str">
        <f>"364.15 LAR"</f>
        <v>364.15 LAR</v>
      </c>
      <c r="B1661" t="str">
        <f>"devil in the white city: murder, magic, "</f>
        <v xml:space="preserve">devil in the white city: murder, magic, </v>
      </c>
      <c r="C1661">
        <v>352788</v>
      </c>
      <c r="D1661" t="str">
        <f>"Larson, Erik"</f>
        <v>Larson, Erik</v>
      </c>
      <c r="F1661" t="str">
        <f>"xi, 447 p., 25 cm., ill."</f>
        <v>xi, 447 p., 25 cm., ill.</v>
      </c>
      <c r="G1661" s="1">
        <v>19</v>
      </c>
      <c r="H1661">
        <v>2003</v>
      </c>
      <c r="I1661" t="str">
        <f t="shared" si="63"/>
        <v>9: 300 - 399</v>
      </c>
      <c r="K1661" t="str">
        <f>"WB - Out"</f>
        <v>WB - Out</v>
      </c>
      <c r="L1661" s="1">
        <v>22</v>
      </c>
      <c r="M1661" t="s">
        <v>1562</v>
      </c>
      <c r="O1661" t="s">
        <v>28</v>
      </c>
      <c r="P1661">
        <v>4</v>
      </c>
      <c r="Q1661">
        <v>2</v>
      </c>
      <c r="R1661">
        <v>6</v>
      </c>
      <c r="S1661" s="2">
        <v>43507</v>
      </c>
      <c r="T1661" s="2">
        <v>43516</v>
      </c>
      <c r="U1661" s="2">
        <v>43842</v>
      </c>
      <c r="V1661" s="2">
        <v>43772</v>
      </c>
    </row>
    <row r="1662" spans="1:22" x14ac:dyDescent="0.2">
      <c r="A1662" t="str">
        <f>"364.15 LAR"</f>
        <v>364.15 LAR</v>
      </c>
      <c r="B1662" t="str">
        <f>"Lethal passage: the story of a gun"</f>
        <v>Lethal passage: the story of a gun</v>
      </c>
      <c r="C1662">
        <v>282492</v>
      </c>
      <c r="D1662" t="str">
        <f>"Larson, Erik"</f>
        <v>Larson, Erik</v>
      </c>
      <c r="F1662" t="str">
        <f>"280 pages, 21 cm"</f>
        <v>280 pages, 21 cm</v>
      </c>
      <c r="G1662" s="1">
        <v>15</v>
      </c>
      <c r="H1662">
        <v>1995</v>
      </c>
      <c r="I1662" t="str">
        <f t="shared" si="63"/>
        <v>9: 300 - 399</v>
      </c>
      <c r="K1662" t="str">
        <f>"WB - In"</f>
        <v>WB - In</v>
      </c>
      <c r="L1662" s="1">
        <v>15</v>
      </c>
      <c r="M1662" t="s">
        <v>1563</v>
      </c>
      <c r="O1662" t="s">
        <v>28</v>
      </c>
      <c r="P1662">
        <v>4</v>
      </c>
      <c r="Q1662">
        <v>0</v>
      </c>
      <c r="R1662">
        <v>11</v>
      </c>
      <c r="S1662" s="2">
        <v>42237</v>
      </c>
      <c r="T1662" s="2">
        <v>42471</v>
      </c>
      <c r="U1662" s="2">
        <v>43802</v>
      </c>
    </row>
    <row r="1663" spans="1:22" x14ac:dyDescent="0.2">
      <c r="A1663" t="str">
        <f>"364.15 LAR"</f>
        <v>364.15 LAR</v>
      </c>
      <c r="B1663" t="s">
        <v>1564</v>
      </c>
      <c r="C1663">
        <v>124116</v>
      </c>
      <c r="D1663" t="str">
        <f>"Larson, Erik"</f>
        <v>Larson, Erik</v>
      </c>
      <c r="F1663" t="str">
        <f>"463 p."</f>
        <v>463 p.</v>
      </c>
      <c r="G1663" s="1">
        <v>6</v>
      </c>
      <c r="H1663">
        <v>2006</v>
      </c>
      <c r="I1663" t="str">
        <f t="shared" si="63"/>
        <v>9: 300 - 399</v>
      </c>
      <c r="K1663" t="str">
        <f>"WB - In"</f>
        <v>WB - In</v>
      </c>
      <c r="L1663" s="1">
        <v>31</v>
      </c>
      <c r="M1663" t="s">
        <v>1565</v>
      </c>
      <c r="O1663" t="s">
        <v>28</v>
      </c>
      <c r="P1663">
        <v>6</v>
      </c>
      <c r="Q1663">
        <v>0</v>
      </c>
      <c r="R1663">
        <v>69</v>
      </c>
      <c r="S1663" s="2">
        <v>39014</v>
      </c>
      <c r="T1663" s="2">
        <v>41053</v>
      </c>
      <c r="U1663" s="2">
        <v>43613</v>
      </c>
      <c r="V1663" s="2">
        <v>42416</v>
      </c>
    </row>
    <row r="1664" spans="1:22" x14ac:dyDescent="0.2">
      <c r="A1664" t="str">
        <f>"364.15 LAT"</f>
        <v>364.15 LAT</v>
      </c>
      <c r="B1664" t="str">
        <f>"rise and fall of violent crime in Americ"</f>
        <v>rise and fall of violent crime in Americ</v>
      </c>
      <c r="C1664">
        <v>336898</v>
      </c>
      <c r="D1664" t="str">
        <f>"Latzer, Barry,"</f>
        <v>Latzer, Barry,</v>
      </c>
      <c r="F1664" t="str">
        <f>"xv, 404 pages, 8 unnumbered pages of plates, 24 cm, illustrations"</f>
        <v>xv, 404 pages, 8 unnumbered pages of plates, 24 cm, illustrations</v>
      </c>
      <c r="G1664" s="1">
        <v>16</v>
      </c>
      <c r="H1664">
        <v>2016</v>
      </c>
      <c r="I1664" t="str">
        <f t="shared" si="63"/>
        <v>9: 300 - 399</v>
      </c>
      <c r="K1664" t="str">
        <f>"LL - In"</f>
        <v>LL - In</v>
      </c>
      <c r="L1664" s="1">
        <v>33</v>
      </c>
      <c r="M1664" t="s">
        <v>1566</v>
      </c>
      <c r="O1664" t="s">
        <v>28</v>
      </c>
      <c r="P1664">
        <v>2</v>
      </c>
      <c r="Q1664">
        <v>0</v>
      </c>
      <c r="R1664">
        <v>3</v>
      </c>
      <c r="S1664" s="2">
        <v>42600</v>
      </c>
      <c r="T1664" s="2">
        <v>42732</v>
      </c>
      <c r="U1664" s="2">
        <v>43659</v>
      </c>
    </row>
    <row r="1665" spans="1:22" x14ac:dyDescent="0.2">
      <c r="A1665" t="str">
        <f>"364.15 LAV"</f>
        <v>364.15 LAV</v>
      </c>
      <c r="B1665" t="str">
        <f>"sniper in the tower: the Charles Whitman"</f>
        <v>sniper in the tower: the Charles Whitman</v>
      </c>
      <c r="C1665">
        <v>288249</v>
      </c>
      <c r="D1665" t="str">
        <f>"Lavergne, Gary M.,"</f>
        <v>Lavergne, Gary M.,</v>
      </c>
      <c r="F1665" t="str">
        <f>"324 p"</f>
        <v>324 p</v>
      </c>
      <c r="G1665" s="1">
        <v>16</v>
      </c>
      <c r="H1665">
        <v>1997</v>
      </c>
      <c r="I1665" t="str">
        <f t="shared" si="63"/>
        <v>9: 300 - 399</v>
      </c>
      <c r="K1665" t="str">
        <f>"LL - In"</f>
        <v>LL - In</v>
      </c>
      <c r="L1665" s="1">
        <v>24</v>
      </c>
      <c r="M1665" t="s">
        <v>1567</v>
      </c>
      <c r="O1665" t="s">
        <v>28</v>
      </c>
      <c r="P1665">
        <v>1</v>
      </c>
      <c r="Q1665">
        <v>0</v>
      </c>
      <c r="R1665">
        <v>9</v>
      </c>
      <c r="S1665" s="2">
        <v>42528</v>
      </c>
      <c r="T1665" s="2">
        <v>42538</v>
      </c>
      <c r="U1665" s="2">
        <v>43834</v>
      </c>
      <c r="V1665" s="2">
        <v>42704</v>
      </c>
    </row>
    <row r="1666" spans="1:22" x14ac:dyDescent="0.2">
      <c r="A1666" t="str">
        <f>"364.15 LAV"</f>
        <v>364.15 LAV</v>
      </c>
      <c r="B1666" t="str">
        <f>"Violated: exposing rape at Baylor Univer"</f>
        <v>Violated: exposing rape at Baylor Univer</v>
      </c>
      <c r="C1666">
        <v>343422</v>
      </c>
      <c r="D1666" t="str">
        <f>"Lavigne, Paula"</f>
        <v>Lavigne, Paula</v>
      </c>
      <c r="F1666" t="str">
        <f>"vi, 355 pages, 24 cm"</f>
        <v>vi, 355 pages, 24 cm</v>
      </c>
      <c r="G1666" s="1">
        <v>17</v>
      </c>
      <c r="H1666">
        <v>2017</v>
      </c>
      <c r="I1666" t="str">
        <f t="shared" si="63"/>
        <v>9: 300 - 399</v>
      </c>
      <c r="K1666" t="str">
        <f>"WB - In"</f>
        <v>WB - In</v>
      </c>
      <c r="L1666" s="1">
        <v>32</v>
      </c>
      <c r="M1666" t="s">
        <v>1568</v>
      </c>
      <c r="O1666" t="s">
        <v>28</v>
      </c>
      <c r="P1666">
        <v>4</v>
      </c>
      <c r="Q1666">
        <v>1</v>
      </c>
      <c r="R1666">
        <v>5</v>
      </c>
      <c r="S1666" s="2">
        <v>42984</v>
      </c>
      <c r="T1666" s="2">
        <v>43180</v>
      </c>
      <c r="U1666" s="2">
        <v>43160</v>
      </c>
      <c r="V1666" s="2">
        <v>43108</v>
      </c>
    </row>
    <row r="1667" spans="1:22" x14ac:dyDescent="0.2">
      <c r="A1667" t="str">
        <f>"364.15 LEO"</f>
        <v>364.15 LEO</v>
      </c>
      <c r="B1667" t="str">
        <f>"Ghettoside: a true story of murder in Am"</f>
        <v>Ghettoside: a true story of murder in Am</v>
      </c>
      <c r="C1667">
        <v>325951</v>
      </c>
      <c r="D1667" t="str">
        <f>"Leovy, Jill."</f>
        <v>Leovy, Jill.</v>
      </c>
      <c r="F1667" t="str">
        <f>"x, 366 pages, 25 cm"</f>
        <v>x, 366 pages, 25 cm</v>
      </c>
      <c r="G1667" s="1">
        <v>15</v>
      </c>
      <c r="H1667">
        <v>2015</v>
      </c>
      <c r="I1667" t="str">
        <f t="shared" si="63"/>
        <v>9: 300 - 399</v>
      </c>
      <c r="K1667" t="str">
        <f>"WB - In"</f>
        <v>WB - In</v>
      </c>
      <c r="L1667" s="1">
        <v>33</v>
      </c>
      <c r="M1667" t="s">
        <v>1569</v>
      </c>
      <c r="O1667" t="s">
        <v>28</v>
      </c>
      <c r="P1667">
        <v>1</v>
      </c>
      <c r="Q1667">
        <v>0</v>
      </c>
      <c r="R1667">
        <v>15</v>
      </c>
      <c r="S1667" s="2">
        <v>42054</v>
      </c>
      <c r="T1667" s="2">
        <v>42272</v>
      </c>
      <c r="U1667" s="2">
        <v>43329</v>
      </c>
      <c r="V1667" s="2">
        <v>42272</v>
      </c>
    </row>
    <row r="1668" spans="1:22" x14ac:dyDescent="0.2">
      <c r="A1668" t="str">
        <f>"364.15 LIN"</f>
        <v>364.15 LIN</v>
      </c>
      <c r="B1668" t="str">
        <f>"When evil came to Good Hart"</f>
        <v>When evil came to Good Hart</v>
      </c>
      <c r="C1668">
        <v>349471</v>
      </c>
      <c r="D1668" t="str">
        <f>"Link, Mardi."</f>
        <v>Link, Mardi.</v>
      </c>
      <c r="F1668" t="str">
        <f>"183 p."</f>
        <v>183 p.</v>
      </c>
      <c r="G1668" s="1">
        <v>18</v>
      </c>
      <c r="H1668">
        <v>2018</v>
      </c>
      <c r="I1668" t="str">
        <f t="shared" si="63"/>
        <v>9: 300 - 399</v>
      </c>
      <c r="K1668" t="str">
        <f>"WB - In"</f>
        <v>WB - In</v>
      </c>
      <c r="L1668" s="1">
        <v>28</v>
      </c>
      <c r="M1668" t="s">
        <v>1570</v>
      </c>
      <c r="O1668" t="s">
        <v>28</v>
      </c>
      <c r="P1668">
        <v>3</v>
      </c>
      <c r="Q1668">
        <v>0</v>
      </c>
      <c r="R1668">
        <v>3</v>
      </c>
      <c r="S1668" s="2">
        <v>43333</v>
      </c>
      <c r="T1668" s="2">
        <v>43336</v>
      </c>
      <c r="U1668" s="2">
        <v>43721</v>
      </c>
    </row>
    <row r="1669" spans="1:22" x14ac:dyDescent="0.2">
      <c r="A1669" t="str">
        <f>"364.15 LIN"</f>
        <v>364.15 LIN</v>
      </c>
      <c r="B1669" t="str">
        <f>"Wicked takes the witness stand: a tale o"</f>
        <v>Wicked takes the witness stand: a tale o</v>
      </c>
      <c r="C1669">
        <v>329200</v>
      </c>
      <c r="D1669" t="str">
        <f>"Link, Mardi."</f>
        <v>Link, Mardi.</v>
      </c>
      <c r="F1669" t="str">
        <f>"xiv, 424 pages, 24 cm"</f>
        <v>xiv, 424 pages, 24 cm</v>
      </c>
      <c r="G1669" s="1">
        <v>15</v>
      </c>
      <c r="H1669">
        <v>2015</v>
      </c>
      <c r="I1669" t="str">
        <f t="shared" si="63"/>
        <v>9: 300 - 399</v>
      </c>
      <c r="K1669" t="str">
        <f>"WB - In"</f>
        <v>WB - In</v>
      </c>
      <c r="L1669" s="1">
        <v>32</v>
      </c>
      <c r="M1669" t="s">
        <v>1571</v>
      </c>
      <c r="O1669" t="s">
        <v>28</v>
      </c>
      <c r="P1669">
        <v>1</v>
      </c>
      <c r="Q1669">
        <v>0</v>
      </c>
      <c r="R1669">
        <v>13</v>
      </c>
      <c r="S1669" s="2">
        <v>42227</v>
      </c>
      <c r="T1669" s="2">
        <v>42411</v>
      </c>
      <c r="U1669" s="2">
        <v>43361</v>
      </c>
    </row>
    <row r="1670" spans="1:22" x14ac:dyDescent="0.2">
      <c r="A1670" t="str">
        <f>"364.15 LOW"</f>
        <v>364.15 LOW</v>
      </c>
      <c r="B1670" t="str">
        <f>"Who killed these girls?: cold case : the"</f>
        <v>Who killed these girls?: cold case : the</v>
      </c>
      <c r="C1670">
        <v>338068</v>
      </c>
      <c r="D1670" t="str">
        <f>"Lowry, Beverly"</f>
        <v>Lowry, Beverly</v>
      </c>
      <c r="F1670" t="str">
        <f>"ix, 377, 2 pages, 25 cm"</f>
        <v>ix, 377, 2 pages, 25 cm</v>
      </c>
      <c r="G1670" s="1">
        <v>16</v>
      </c>
      <c r="H1670">
        <v>2016</v>
      </c>
      <c r="I1670" t="str">
        <f t="shared" si="63"/>
        <v>9: 300 - 399</v>
      </c>
      <c r="K1670" t="str">
        <f>"LL - In"</f>
        <v>LL - In</v>
      </c>
      <c r="L1670" s="1">
        <v>33</v>
      </c>
      <c r="M1670" t="s">
        <v>1572</v>
      </c>
      <c r="O1670" t="s">
        <v>28</v>
      </c>
      <c r="P1670">
        <v>14</v>
      </c>
      <c r="Q1670">
        <v>2</v>
      </c>
      <c r="R1670">
        <v>22</v>
      </c>
      <c r="S1670" s="2">
        <v>42667</v>
      </c>
      <c r="T1670" s="2">
        <v>43005</v>
      </c>
      <c r="U1670" s="2">
        <v>43736</v>
      </c>
      <c r="V1670" s="2">
        <v>43452</v>
      </c>
    </row>
    <row r="1671" spans="1:22" x14ac:dyDescent="0.2">
      <c r="A1671" t="str">
        <f>"364.15 LUT"</f>
        <v>364.15 LUT</v>
      </c>
      <c r="B1671" t="str">
        <f>"Unsportsmanlike conduct: college footbal"</f>
        <v>Unsportsmanlike conduct: college footbal</v>
      </c>
      <c r="C1671">
        <v>337702</v>
      </c>
      <c r="D1671" t="str">
        <f>"Luther, Jessica"</f>
        <v>Luther, Jessica</v>
      </c>
      <c r="F1671" t="str">
        <f>"247 pages, 22 cm"</f>
        <v>247 pages, 22 cm</v>
      </c>
      <c r="G1671" s="1">
        <v>16</v>
      </c>
      <c r="H1671">
        <v>2016</v>
      </c>
      <c r="I1671" t="str">
        <f t="shared" si="63"/>
        <v>9: 300 - 399</v>
      </c>
      <c r="K1671" t="str">
        <f>"LL - In"</f>
        <v>LL - In</v>
      </c>
      <c r="L1671" s="1">
        <v>21</v>
      </c>
      <c r="M1671" t="s">
        <v>1573</v>
      </c>
      <c r="O1671" t="s">
        <v>28</v>
      </c>
      <c r="P1671">
        <v>1</v>
      </c>
      <c r="Q1671">
        <v>2</v>
      </c>
      <c r="R1671">
        <v>7</v>
      </c>
      <c r="S1671" s="2">
        <v>42646</v>
      </c>
      <c r="T1671" s="2">
        <v>42844</v>
      </c>
      <c r="U1671" s="2">
        <v>42775</v>
      </c>
      <c r="V1671" s="2">
        <v>42844</v>
      </c>
    </row>
    <row r="1672" spans="1:22" x14ac:dyDescent="0.2">
      <c r="A1672" t="str">
        <f>"364.15 LYS"</f>
        <v>364.15 LYS</v>
      </c>
      <c r="B1672" t="str">
        <f>"Newtown: an American tragedy"</f>
        <v>Newtown: an American tragedy</v>
      </c>
      <c r="C1672">
        <v>318565</v>
      </c>
      <c r="D1672" t="str">
        <f>"Lysiak, Matthew."</f>
        <v>Lysiak, Matthew.</v>
      </c>
      <c r="F1672" t="str">
        <f>"pages cm"</f>
        <v>pages cm</v>
      </c>
      <c r="G1672" s="1">
        <v>13</v>
      </c>
      <c r="H1672">
        <v>2013</v>
      </c>
      <c r="I1672" t="str">
        <f t="shared" ref="I1672:I1735" si="64">"9: 300 - 399"</f>
        <v>9: 300 - 399</v>
      </c>
      <c r="K1672" t="str">
        <f>"LL - In"</f>
        <v>LL - In</v>
      </c>
      <c r="L1672" s="1">
        <v>31</v>
      </c>
      <c r="M1672" t="s">
        <v>1574</v>
      </c>
      <c r="O1672" t="s">
        <v>28</v>
      </c>
      <c r="P1672">
        <v>2</v>
      </c>
      <c r="Q1672">
        <v>0</v>
      </c>
      <c r="R1672">
        <v>8</v>
      </c>
      <c r="S1672" s="2">
        <v>41621</v>
      </c>
      <c r="T1672" s="2">
        <v>41690</v>
      </c>
      <c r="U1672" s="2">
        <v>43030</v>
      </c>
    </row>
    <row r="1673" spans="1:22" x14ac:dyDescent="0.2">
      <c r="A1673" t="str">
        <f>"364.15 MAN"</f>
        <v>364.15 MAN</v>
      </c>
      <c r="B1673" t="str">
        <f>"Tinseltown: murder, morphine, and madnes"</f>
        <v>Tinseltown: murder, morphine, and madnes</v>
      </c>
      <c r="C1673">
        <v>285073</v>
      </c>
      <c r="D1673" t="str">
        <f>"Mann, William J."</f>
        <v>Mann, William J.</v>
      </c>
      <c r="F1673" t="str">
        <f>"xi, 463 pages, 32 unnumbered pages of plates, 24 cm, illustrations"</f>
        <v>xi, 463 pages, 32 unnumbered pages of plates, 24 cm, illustrations</v>
      </c>
      <c r="G1673" s="1">
        <v>15</v>
      </c>
      <c r="H1673">
        <v>2014</v>
      </c>
      <c r="I1673" t="str">
        <f t="shared" si="64"/>
        <v>9: 300 - 399</v>
      </c>
      <c r="K1673" t="str">
        <f>"WB - In"</f>
        <v>WB - In</v>
      </c>
      <c r="L1673" s="1">
        <v>22</v>
      </c>
      <c r="M1673" t="s">
        <v>1575</v>
      </c>
      <c r="O1673" t="s">
        <v>28</v>
      </c>
      <c r="P1673">
        <v>2</v>
      </c>
      <c r="Q1673">
        <v>0</v>
      </c>
      <c r="R1673">
        <v>13</v>
      </c>
      <c r="S1673" s="2">
        <v>42368</v>
      </c>
      <c r="T1673" s="2">
        <v>42583</v>
      </c>
      <c r="U1673" s="2">
        <v>43768</v>
      </c>
    </row>
    <row r="1674" spans="1:22" x14ac:dyDescent="0.2">
      <c r="A1674" t="str">
        <f>"364.15 MAR"</f>
        <v>364.15 MAR</v>
      </c>
      <c r="B1674" t="str">
        <f>"fact of a body: a murder and a memoir"</f>
        <v>fact of a body: a murder and a memoir</v>
      </c>
      <c r="C1674">
        <v>341351</v>
      </c>
      <c r="D1674" t="str">
        <f>"Marzano-Lesnevich, Alexandria"</f>
        <v>Marzano-Lesnevich, Alexandria</v>
      </c>
      <c r="F1674" t="str">
        <f>"viii, 326 pages, 25 cm"</f>
        <v>viii, 326 pages, 25 cm</v>
      </c>
      <c r="G1674" s="1">
        <v>17</v>
      </c>
      <c r="H1674">
        <v>2017</v>
      </c>
      <c r="I1674" t="str">
        <f t="shared" si="64"/>
        <v>9: 300 - 399</v>
      </c>
      <c r="K1674" t="str">
        <f>"WB - In"</f>
        <v>WB - In</v>
      </c>
      <c r="L1674" s="1">
        <v>32</v>
      </c>
      <c r="M1674" t="s">
        <v>1576</v>
      </c>
      <c r="O1674" t="s">
        <v>28</v>
      </c>
      <c r="P1674">
        <v>17</v>
      </c>
      <c r="Q1674">
        <v>0</v>
      </c>
      <c r="R1674">
        <v>17</v>
      </c>
      <c r="S1674" s="2">
        <v>42873</v>
      </c>
      <c r="T1674" s="2">
        <v>43012</v>
      </c>
      <c r="U1674" s="2">
        <v>43658</v>
      </c>
    </row>
    <row r="1675" spans="1:22" x14ac:dyDescent="0.2">
      <c r="A1675" t="str">
        <f>"364.15 MCG"</f>
        <v>364.15 MCG</v>
      </c>
      <c r="B1675" t="str">
        <f>"Pure land: a true story of three lives, "</f>
        <v xml:space="preserve">Pure land: a true story of three lives, </v>
      </c>
      <c r="C1675">
        <v>345214</v>
      </c>
      <c r="D1675" t="str">
        <f>"McGivney, Annette"</f>
        <v>McGivney, Annette</v>
      </c>
      <c r="F1675" t="str">
        <f>"352 pages, 23 cm, illustration"</f>
        <v>352 pages, 23 cm, illustration</v>
      </c>
      <c r="G1675" s="1">
        <v>17</v>
      </c>
      <c r="H1675">
        <v>2017</v>
      </c>
      <c r="I1675" t="str">
        <f t="shared" si="64"/>
        <v>9: 300 - 399</v>
      </c>
      <c r="K1675" t="str">
        <f>"LL - In"</f>
        <v>LL - In</v>
      </c>
      <c r="L1675" s="1">
        <v>25</v>
      </c>
      <c r="M1675" t="s">
        <v>1577</v>
      </c>
      <c r="O1675" t="s">
        <v>28</v>
      </c>
      <c r="P1675">
        <v>9</v>
      </c>
      <c r="Q1675">
        <v>0</v>
      </c>
      <c r="R1675">
        <v>9</v>
      </c>
      <c r="S1675" s="2">
        <v>43089</v>
      </c>
      <c r="T1675" s="2">
        <v>43306</v>
      </c>
      <c r="U1675" s="2">
        <v>43832</v>
      </c>
    </row>
    <row r="1676" spans="1:22" x14ac:dyDescent="0.2">
      <c r="A1676" t="str">
        <f>"364.15 MCN"</f>
        <v>364.15 MCN</v>
      </c>
      <c r="B1676" t="str">
        <f>"I'll be gone in the dark: one woman's ob"</f>
        <v>I'll be gone in the dark: one woman's ob</v>
      </c>
      <c r="C1676">
        <v>346748</v>
      </c>
      <c r="D1676" t="str">
        <f>"McNamara, Michelle"</f>
        <v>McNamara, Michelle</v>
      </c>
      <c r="F1676" t="str">
        <f>"xvi, 328 pages, 24 cm, illustrations, maps"</f>
        <v>xvi, 328 pages, 24 cm, illustrations, maps</v>
      </c>
      <c r="G1676" s="1">
        <v>18</v>
      </c>
      <c r="H1676">
        <v>2018</v>
      </c>
      <c r="I1676" t="str">
        <f t="shared" si="64"/>
        <v>9: 300 - 399</v>
      </c>
      <c r="K1676" t="str">
        <f>"WB - In"</f>
        <v>WB - In</v>
      </c>
      <c r="L1676" s="1">
        <v>33</v>
      </c>
      <c r="M1676" t="s">
        <v>1578</v>
      </c>
      <c r="O1676" t="s">
        <v>28</v>
      </c>
      <c r="P1676">
        <v>18</v>
      </c>
      <c r="Q1676">
        <v>0</v>
      </c>
      <c r="R1676">
        <v>18</v>
      </c>
      <c r="S1676" s="2">
        <v>43178</v>
      </c>
      <c r="T1676" s="2">
        <v>43376</v>
      </c>
      <c r="U1676" s="2">
        <v>43774</v>
      </c>
    </row>
    <row r="1677" spans="1:22" x14ac:dyDescent="0.2">
      <c r="A1677" t="str">
        <f>"364.15 MCN"</f>
        <v>364.15 MCN</v>
      </c>
      <c r="B1677" t="str">
        <f>"I'll be gone in the dark: one woman's ob"</f>
        <v>I'll be gone in the dark: one woman's ob</v>
      </c>
      <c r="C1677">
        <v>347778</v>
      </c>
      <c r="D1677" t="str">
        <f>"McNamara, Michelle"</f>
        <v>McNamara, Michelle</v>
      </c>
      <c r="F1677" t="str">
        <f>"xvi, 328 pages, 24 cm, illustrations, maps"</f>
        <v>xvi, 328 pages, 24 cm, illustrations, maps</v>
      </c>
      <c r="G1677" s="1">
        <v>18</v>
      </c>
      <c r="H1677">
        <v>2018</v>
      </c>
      <c r="I1677" t="str">
        <f t="shared" si="64"/>
        <v>9: 300 - 399</v>
      </c>
      <c r="K1677" t="str">
        <f>"LL - In"</f>
        <v>LL - In</v>
      </c>
      <c r="L1677" s="1">
        <v>33</v>
      </c>
      <c r="M1677" t="s">
        <v>1578</v>
      </c>
      <c r="O1677" t="s">
        <v>28</v>
      </c>
      <c r="P1677">
        <v>13</v>
      </c>
      <c r="Q1677">
        <v>0</v>
      </c>
      <c r="R1677">
        <v>13</v>
      </c>
      <c r="S1677" s="2">
        <v>43243</v>
      </c>
      <c r="T1677" s="2">
        <v>43446</v>
      </c>
      <c r="U1677" s="2">
        <v>43755</v>
      </c>
    </row>
    <row r="1678" spans="1:22" x14ac:dyDescent="0.2">
      <c r="A1678" t="str">
        <f>"364.15 MON"</f>
        <v>364.15 MON</v>
      </c>
      <c r="B1678" t="str">
        <f>"wilderness of ruin: a tale of madness, f"</f>
        <v>wilderness of ruin: a tale of madness, f</v>
      </c>
      <c r="C1678">
        <v>327191</v>
      </c>
      <c r="D1678" t="str">
        <f>"Montillo, Roseanne."</f>
        <v>Montillo, Roseanne.</v>
      </c>
      <c r="F1678" t="str">
        <f>"308 pages, 24 cm, illustrations"</f>
        <v>308 pages, 24 cm, illustrations</v>
      </c>
      <c r="G1678" s="1">
        <v>15</v>
      </c>
      <c r="H1678">
        <v>2014</v>
      </c>
      <c r="I1678" t="str">
        <f t="shared" si="64"/>
        <v>9: 300 - 399</v>
      </c>
      <c r="K1678" t="str">
        <f>"LL - In"</f>
        <v>LL - In</v>
      </c>
      <c r="L1678" s="1">
        <v>32</v>
      </c>
      <c r="M1678" t="s">
        <v>1579</v>
      </c>
      <c r="O1678" t="s">
        <v>28</v>
      </c>
      <c r="P1678">
        <v>2</v>
      </c>
      <c r="Q1678">
        <v>0</v>
      </c>
      <c r="R1678">
        <v>13</v>
      </c>
      <c r="S1678" s="2">
        <v>42124</v>
      </c>
      <c r="T1678" s="2">
        <v>42332</v>
      </c>
      <c r="U1678" s="2">
        <v>43704</v>
      </c>
      <c r="V1678" s="2">
        <v>42168</v>
      </c>
    </row>
    <row r="1679" spans="1:22" x14ac:dyDescent="0.2">
      <c r="A1679" t="str">
        <f>"364.15 MOR"</f>
        <v>364.15 MOR</v>
      </c>
      <c r="B1679" t="str">
        <f>"wilderness of error: the trials of Jeffr"</f>
        <v>wilderness of error: the trials of Jeffr</v>
      </c>
      <c r="C1679">
        <v>309490</v>
      </c>
      <c r="D1679" t="str">
        <f>"Morris, Errol"</f>
        <v>Morris, Errol</v>
      </c>
      <c r="F1679" t="str">
        <f>"xviii, 524 p., 24 cm."</f>
        <v>xviii, 524 p., 24 cm.</v>
      </c>
      <c r="G1679" s="1">
        <v>12</v>
      </c>
      <c r="H1679">
        <v>2012</v>
      </c>
      <c r="I1679" t="str">
        <f t="shared" si="64"/>
        <v>9: 300 - 399</v>
      </c>
      <c r="K1679" t="str">
        <f>"WB - In"</f>
        <v>WB - In</v>
      </c>
      <c r="L1679" s="1">
        <v>35</v>
      </c>
      <c r="M1679" t="s">
        <v>1580</v>
      </c>
      <c r="O1679" t="s">
        <v>28</v>
      </c>
      <c r="P1679">
        <v>4</v>
      </c>
      <c r="Q1679">
        <v>2</v>
      </c>
      <c r="R1679">
        <v>16</v>
      </c>
      <c r="S1679" s="2">
        <v>41162</v>
      </c>
      <c r="T1679" s="2">
        <v>41318</v>
      </c>
      <c r="U1679" s="2">
        <v>43081</v>
      </c>
      <c r="V1679" s="2">
        <v>43194</v>
      </c>
    </row>
    <row r="1680" spans="1:22" x14ac:dyDescent="0.2">
      <c r="A1680" t="str">
        <f>"364.15 NEL"</f>
        <v>364.15 NEL</v>
      </c>
      <c r="B1680" t="str">
        <f>"red parts: autobiography of a trial"</f>
        <v>red parts: autobiography of a trial</v>
      </c>
      <c r="C1680">
        <v>335007</v>
      </c>
      <c r="D1680" t="str">
        <f>"Nelson, Maggie,"</f>
        <v>Nelson, Maggie,</v>
      </c>
      <c r="F1680" t="str">
        <f>"xvii, 201 pages, 21 cm"</f>
        <v>xvii, 201 pages, 21 cm</v>
      </c>
      <c r="G1680" s="1">
        <v>16</v>
      </c>
      <c r="H1680">
        <v>2016</v>
      </c>
      <c r="I1680" t="str">
        <f t="shared" si="64"/>
        <v>9: 300 - 399</v>
      </c>
      <c r="K1680" t="str">
        <f>"WB - In"</f>
        <v>WB - In</v>
      </c>
      <c r="L1680" s="1">
        <v>21</v>
      </c>
      <c r="M1680" t="s">
        <v>1581</v>
      </c>
      <c r="O1680" t="s">
        <v>28</v>
      </c>
      <c r="P1680">
        <v>0</v>
      </c>
      <c r="Q1680">
        <v>0</v>
      </c>
      <c r="R1680">
        <v>2</v>
      </c>
      <c r="S1680" s="2">
        <v>42500</v>
      </c>
      <c r="T1680" s="2">
        <v>42796</v>
      </c>
      <c r="U1680" s="2">
        <v>42578</v>
      </c>
    </row>
    <row r="1681" spans="1:22" x14ac:dyDescent="0.2">
      <c r="A1681" t="str">
        <f>"364.15 ONE"</f>
        <v>364.15 ONE</v>
      </c>
      <c r="B1681" t="str">
        <f>"Chaos: Charles Manson, the CIA, and the "</f>
        <v xml:space="preserve">Chaos: Charles Manson, the CIA, and the </v>
      </c>
      <c r="C1681">
        <v>355917</v>
      </c>
      <c r="D1681" t="str">
        <f>"O'Neill, Tom"</f>
        <v>O'Neill, Tom</v>
      </c>
      <c r="F1681" t="str">
        <f>"520 pages, 16 unnumbered pages of plates, 25 cm, illustrations (some color)"</f>
        <v>520 pages, 16 unnumbered pages of plates, 25 cm, illustrations (some color)</v>
      </c>
      <c r="G1681" s="1">
        <v>19</v>
      </c>
      <c r="H1681">
        <v>2019</v>
      </c>
      <c r="I1681" t="str">
        <f t="shared" si="64"/>
        <v>9: 300 - 399</v>
      </c>
      <c r="K1681" t="str">
        <f>"LL - In"</f>
        <v>LL - In</v>
      </c>
      <c r="L1681" s="1">
        <v>35</v>
      </c>
      <c r="M1681" t="s">
        <v>1582</v>
      </c>
      <c r="O1681" t="s">
        <v>28</v>
      </c>
      <c r="P1681">
        <v>6</v>
      </c>
      <c r="Q1681">
        <v>1</v>
      </c>
      <c r="R1681">
        <v>7</v>
      </c>
      <c r="S1681" s="2">
        <v>43647</v>
      </c>
      <c r="T1681" s="2">
        <v>43809</v>
      </c>
      <c r="U1681" s="2">
        <v>43746</v>
      </c>
      <c r="V1681" s="2">
        <v>43809</v>
      </c>
    </row>
    <row r="1682" spans="1:22" x14ac:dyDescent="0.2">
      <c r="A1682" t="str">
        <f>"364.15 ORT"</f>
        <v>364.15 ORT</v>
      </c>
      <c r="B1682" t="str">
        <f>"Vulgar favors: the assassination of Gian"</f>
        <v>Vulgar favors: the assassination of Gian</v>
      </c>
      <c r="C1682">
        <v>299966</v>
      </c>
      <c r="D1682" t="str">
        <f>"Orth, Maureen"</f>
        <v>Orth, Maureen</v>
      </c>
      <c r="F1682" t="str">
        <f>"ix, 548 pages, 21 cm"</f>
        <v>ix, 548 pages, 21 cm</v>
      </c>
      <c r="G1682" s="1">
        <v>18</v>
      </c>
      <c r="H1682">
        <v>2017</v>
      </c>
      <c r="I1682" t="str">
        <f t="shared" si="64"/>
        <v>9: 300 - 399</v>
      </c>
      <c r="K1682" t="str">
        <f>"WB - In"</f>
        <v>WB - In</v>
      </c>
      <c r="L1682" s="1">
        <v>17</v>
      </c>
      <c r="M1682" t="s">
        <v>1583</v>
      </c>
      <c r="O1682" t="s">
        <v>28</v>
      </c>
      <c r="P1682">
        <v>3</v>
      </c>
      <c r="Q1682">
        <v>0</v>
      </c>
      <c r="R1682">
        <v>3</v>
      </c>
      <c r="S1682" s="2">
        <v>43153</v>
      </c>
      <c r="T1682" s="2">
        <v>43158</v>
      </c>
      <c r="U1682" s="2">
        <v>43319</v>
      </c>
    </row>
    <row r="1683" spans="1:22" x14ac:dyDescent="0.2">
      <c r="A1683" t="str">
        <f>"364.15 ORT"</f>
        <v>364.15 ORT</v>
      </c>
      <c r="B1683" t="str">
        <f>"Vulgar favors: the assassination of Gian"</f>
        <v>Vulgar favors: the assassination of Gian</v>
      </c>
      <c r="C1683">
        <v>400174</v>
      </c>
      <c r="D1683" t="str">
        <f>"Orth, Maureen"</f>
        <v>Orth, Maureen</v>
      </c>
      <c r="F1683" t="str">
        <f>"ix, 548 pages, 21 cm"</f>
        <v>ix, 548 pages, 21 cm</v>
      </c>
      <c r="G1683" s="1">
        <v>18</v>
      </c>
      <c r="H1683">
        <v>2017</v>
      </c>
      <c r="I1683" t="str">
        <f t="shared" si="64"/>
        <v>9: 300 - 399</v>
      </c>
      <c r="K1683" t="str">
        <f>"LL - In"</f>
        <v>LL - In</v>
      </c>
      <c r="L1683" s="1">
        <v>17</v>
      </c>
      <c r="M1683" t="s">
        <v>1583</v>
      </c>
      <c r="O1683" t="s">
        <v>28</v>
      </c>
      <c r="P1683">
        <v>0</v>
      </c>
      <c r="Q1683">
        <v>0</v>
      </c>
      <c r="R1683">
        <v>0</v>
      </c>
      <c r="S1683" s="2">
        <v>43189</v>
      </c>
      <c r="T1683" s="2">
        <v>43214</v>
      </c>
    </row>
    <row r="1684" spans="1:22" x14ac:dyDescent="0.2">
      <c r="A1684" t="str">
        <f>"364.15 PAT"</f>
        <v>364.15 PAT</v>
      </c>
      <c r="B1684" t="str">
        <f>"All-American murder: the rise and fall o"</f>
        <v>All-American murder: the rise and fall o</v>
      </c>
      <c r="C1684">
        <v>346336</v>
      </c>
      <c r="D1684" t="str">
        <f>"Patterson, James"</f>
        <v>Patterson, James</v>
      </c>
      <c r="F1684" t="str">
        <f>"386 pages, 24 cm, illustrations (chiefly color)"</f>
        <v>386 pages, 24 cm, illustrations (chiefly color)</v>
      </c>
      <c r="G1684" s="1">
        <v>18</v>
      </c>
      <c r="H1684">
        <v>2018</v>
      </c>
      <c r="I1684" t="str">
        <f t="shared" si="64"/>
        <v>9: 300 - 399</v>
      </c>
      <c r="K1684" t="str">
        <f>"LL - In"</f>
        <v>LL - In</v>
      </c>
      <c r="L1684" s="1">
        <v>33</v>
      </c>
      <c r="M1684" t="s">
        <v>1584</v>
      </c>
      <c r="O1684" t="s">
        <v>28</v>
      </c>
      <c r="P1684">
        <v>11</v>
      </c>
      <c r="Q1684">
        <v>2</v>
      </c>
      <c r="R1684">
        <v>13</v>
      </c>
      <c r="S1684" s="2">
        <v>43159</v>
      </c>
      <c r="T1684" s="2">
        <v>43374</v>
      </c>
      <c r="U1684" s="2">
        <v>43360</v>
      </c>
      <c r="V1684" s="2">
        <v>43405</v>
      </c>
    </row>
    <row r="1685" spans="1:22" x14ac:dyDescent="0.2">
      <c r="A1685" t="str">
        <f>"364.15 PAT"</f>
        <v>364.15 PAT</v>
      </c>
      <c r="B1685" t="str">
        <f>"Filthy rich"</f>
        <v>Filthy rich</v>
      </c>
      <c r="C1685">
        <v>337890</v>
      </c>
      <c r="D1685" t="str">
        <f>"Patterson, James"</f>
        <v>Patterson, James</v>
      </c>
      <c r="F1685" t="str">
        <f>"x, 287, 15 pages, 8 unnumbered pages of plates, 25 cm, illustrations (chiefly color)"</f>
        <v>x, 287, 15 pages, 8 unnumbered pages of plates, 25 cm, illustrations (chiefly color)</v>
      </c>
      <c r="G1685" s="1">
        <v>16</v>
      </c>
      <c r="H1685">
        <v>2016</v>
      </c>
      <c r="I1685" t="str">
        <f t="shared" si="64"/>
        <v>9: 300 - 399</v>
      </c>
      <c r="K1685" t="str">
        <f>"WB - Out"</f>
        <v>WB - Out</v>
      </c>
      <c r="L1685" s="1">
        <v>33</v>
      </c>
      <c r="M1685" t="s">
        <v>1585</v>
      </c>
      <c r="O1685" t="s">
        <v>28</v>
      </c>
      <c r="P1685">
        <v>13</v>
      </c>
      <c r="Q1685">
        <v>0</v>
      </c>
      <c r="R1685">
        <v>25</v>
      </c>
      <c r="S1685" s="2">
        <v>42661</v>
      </c>
      <c r="T1685" s="2">
        <v>42871</v>
      </c>
      <c r="U1685" s="2">
        <v>43835</v>
      </c>
    </row>
    <row r="1686" spans="1:22" x14ac:dyDescent="0.2">
      <c r="A1686" t="str">
        <f>"364.15 PIE"</f>
        <v>364.15 PIE</v>
      </c>
      <c r="B1686" t="str">
        <f>"Incest, murder and a miracle: the true s"</f>
        <v>Incest, murder and a miracle: the true s</v>
      </c>
      <c r="C1686">
        <v>348284</v>
      </c>
      <c r="D1686" t="str">
        <f>"Pierson, Cheryl"</f>
        <v>Pierson, Cheryl</v>
      </c>
      <c r="F1686" t="str">
        <f>"253 pages, 23 cm, illustrations"</f>
        <v>253 pages, 23 cm, illustrations</v>
      </c>
      <c r="G1686" s="1">
        <v>18</v>
      </c>
      <c r="H1686">
        <v>2016</v>
      </c>
      <c r="I1686" t="str">
        <f t="shared" si="64"/>
        <v>9: 300 - 399</v>
      </c>
      <c r="K1686" t="str">
        <f>"WB - In"</f>
        <v>WB - In</v>
      </c>
      <c r="L1686" s="1">
        <v>24</v>
      </c>
      <c r="M1686" t="s">
        <v>1586</v>
      </c>
      <c r="O1686" t="s">
        <v>28</v>
      </c>
      <c r="P1686">
        <v>3</v>
      </c>
      <c r="Q1686">
        <v>0</v>
      </c>
      <c r="R1686">
        <v>3</v>
      </c>
      <c r="S1686" s="2">
        <v>43269</v>
      </c>
      <c r="T1686" s="2">
        <v>43272</v>
      </c>
      <c r="U1686" s="2">
        <v>43601</v>
      </c>
    </row>
    <row r="1687" spans="1:22" x14ac:dyDescent="0.2">
      <c r="A1687" t="str">
        <f>"364.15 RAM"</f>
        <v>364.15 RAM</v>
      </c>
      <c r="B1687" t="str">
        <f>"Confession of a serial killer: the untol"</f>
        <v>Confession of a serial killer: the untol</v>
      </c>
      <c r="C1687">
        <v>338245</v>
      </c>
      <c r="D1687" t="str">
        <f>"Ramsland, Katherine M.,"</f>
        <v>Ramsland, Katherine M.,</v>
      </c>
      <c r="F1687" t="str">
        <f>"x, 262 pages, 23 cm"</f>
        <v>x, 262 pages, 23 cm</v>
      </c>
      <c r="G1687" s="1">
        <v>16</v>
      </c>
      <c r="H1687">
        <v>2016</v>
      </c>
      <c r="I1687" t="str">
        <f t="shared" si="64"/>
        <v>9: 300 - 399</v>
      </c>
      <c r="K1687" t="str">
        <f>"LL - In"</f>
        <v>LL - In</v>
      </c>
      <c r="L1687" s="1">
        <v>35</v>
      </c>
      <c r="M1687" t="s">
        <v>1587</v>
      </c>
      <c r="O1687" t="s">
        <v>28</v>
      </c>
      <c r="P1687">
        <v>6</v>
      </c>
      <c r="Q1687">
        <v>0</v>
      </c>
      <c r="R1687">
        <v>10</v>
      </c>
      <c r="S1687" s="2">
        <v>42681</v>
      </c>
      <c r="T1687" s="2">
        <v>42837</v>
      </c>
      <c r="U1687" s="2">
        <v>43725</v>
      </c>
      <c r="V1687" s="2">
        <v>42756</v>
      </c>
    </row>
    <row r="1688" spans="1:22" x14ac:dyDescent="0.2">
      <c r="A1688" t="str">
        <f>"364.15 RUL"</f>
        <v>364.15 RUL</v>
      </c>
      <c r="B1688" t="str">
        <f>"In the still of the night: the strange d"</f>
        <v>In the still of the night: the strange d</v>
      </c>
      <c r="C1688">
        <v>145760</v>
      </c>
      <c r="D1688" t="str">
        <f>"Rule, Ann"</f>
        <v>Rule, Ann</v>
      </c>
      <c r="F1688" t="str">
        <f>"400 p."</f>
        <v>400 p.</v>
      </c>
      <c r="G1688" s="1">
        <v>10</v>
      </c>
      <c r="H1688">
        <v>2010</v>
      </c>
      <c r="I1688" t="str">
        <f t="shared" si="64"/>
        <v>9: 300 - 399</v>
      </c>
      <c r="K1688" t="str">
        <f>"WB - In"</f>
        <v>WB - In</v>
      </c>
      <c r="L1688" s="1">
        <v>32</v>
      </c>
      <c r="M1688" t="s">
        <v>1588</v>
      </c>
      <c r="O1688" t="s">
        <v>28</v>
      </c>
      <c r="P1688">
        <v>0</v>
      </c>
      <c r="Q1688">
        <v>0</v>
      </c>
      <c r="R1688">
        <v>26</v>
      </c>
      <c r="S1688" s="2">
        <v>40465</v>
      </c>
      <c r="T1688" s="2">
        <v>41053</v>
      </c>
      <c r="U1688" s="2">
        <v>42647</v>
      </c>
      <c r="V1688" s="2">
        <v>42082</v>
      </c>
    </row>
    <row r="1689" spans="1:22" x14ac:dyDescent="0.2">
      <c r="A1689" t="str">
        <f>"364.15 RUL"</f>
        <v>364.15 RUL</v>
      </c>
      <c r="B1689" t="str">
        <f>"Lying in wait and other true cases"</f>
        <v>Lying in wait and other true cases</v>
      </c>
      <c r="C1689">
        <v>325374</v>
      </c>
      <c r="D1689" t="str">
        <f>"Rule, Ann"</f>
        <v>Rule, Ann</v>
      </c>
      <c r="E1689" t="str">
        <f>"Ann Rule's Crime Files series"</f>
        <v>Ann Rule's Crime Files series</v>
      </c>
      <c r="F1689" t="str">
        <f>"xv, 380 pages, 17 cm, illustrations"</f>
        <v>xv, 380 pages, 17 cm, illustrations</v>
      </c>
      <c r="G1689" s="1">
        <v>15</v>
      </c>
      <c r="H1689">
        <v>2014</v>
      </c>
      <c r="I1689" t="str">
        <f t="shared" si="64"/>
        <v>9: 300 - 399</v>
      </c>
      <c r="K1689" t="str">
        <f>"LL - In"</f>
        <v>LL - In</v>
      </c>
      <c r="L1689" s="1">
        <v>13</v>
      </c>
      <c r="M1689" t="s">
        <v>1589</v>
      </c>
      <c r="O1689" t="s">
        <v>28</v>
      </c>
      <c r="P1689">
        <v>2</v>
      </c>
      <c r="Q1689">
        <v>0</v>
      </c>
      <c r="R1689">
        <v>16</v>
      </c>
      <c r="S1689" s="2">
        <v>42011</v>
      </c>
      <c r="T1689" s="2">
        <v>42218</v>
      </c>
      <c r="U1689" s="2">
        <v>43042</v>
      </c>
      <c r="V1689" s="2">
        <v>42218</v>
      </c>
    </row>
    <row r="1690" spans="1:22" x14ac:dyDescent="0.2">
      <c r="A1690" t="str">
        <f>"364.15 RUL"</f>
        <v>364.15 RUL</v>
      </c>
      <c r="B1690" t="str">
        <f>"Worth more dead: and other true cases"</f>
        <v>Worth more dead: and other true cases</v>
      </c>
      <c r="C1690">
        <v>191854</v>
      </c>
      <c r="D1690" t="str">
        <f>"Rule, Ann"</f>
        <v>Rule, Ann</v>
      </c>
      <c r="E1690" t="str">
        <f>"Pocket Books true crime (0) ||| Ann Rule's Crime Files series (0)"</f>
        <v>Pocket Books true crime (0) ||| Ann Rule's Crime Files series (0)</v>
      </c>
      <c r="F1690" t="str">
        <f>"418 p., 18 cm., ill."</f>
        <v>418 p., 18 cm., ill.</v>
      </c>
      <c r="G1690">
        <v>6</v>
      </c>
      <c r="H1690">
        <v>2005</v>
      </c>
      <c r="I1690" t="str">
        <f t="shared" si="64"/>
        <v>9: 300 - 399</v>
      </c>
      <c r="K1690" t="str">
        <f>"WB - In"</f>
        <v>WB - In</v>
      </c>
      <c r="L1690" s="1">
        <v>13</v>
      </c>
      <c r="M1690" t="s">
        <v>1590</v>
      </c>
      <c r="O1690" t="s">
        <v>28</v>
      </c>
      <c r="P1690">
        <v>0</v>
      </c>
      <c r="Q1690">
        <v>0</v>
      </c>
      <c r="R1690">
        <v>8</v>
      </c>
      <c r="S1690" s="2">
        <v>38744</v>
      </c>
      <c r="T1690" s="2">
        <v>41053</v>
      </c>
      <c r="U1690" s="2">
        <v>42295</v>
      </c>
      <c r="V1690" s="2">
        <v>42319</v>
      </c>
    </row>
    <row r="1691" spans="1:22" x14ac:dyDescent="0.2">
      <c r="A1691" t="str">
        <f>"364.15 SAF"</f>
        <v>364.15 SAF</v>
      </c>
      <c r="B1691" t="str">
        <f>"God'll cut you down: the tangled tale of"</f>
        <v>God'll cut you down: the tangled tale of</v>
      </c>
      <c r="C1691">
        <v>325155</v>
      </c>
      <c r="D1691" t="str">
        <f>"Safran, John"</f>
        <v>Safran, John</v>
      </c>
      <c r="F1691" t="str">
        <f>"xii, 351 pages, 24 cm, illustrations (chiefly color)"</f>
        <v>xii, 351 pages, 24 cm, illustrations (chiefly color)</v>
      </c>
      <c r="G1691" s="1">
        <v>14</v>
      </c>
      <c r="H1691">
        <v>2014</v>
      </c>
      <c r="I1691" t="str">
        <f t="shared" si="64"/>
        <v>9: 300 - 399</v>
      </c>
      <c r="K1691" t="str">
        <f>"LL - In"</f>
        <v>LL - In</v>
      </c>
      <c r="L1691" s="1">
        <v>33</v>
      </c>
      <c r="M1691" t="s">
        <v>1591</v>
      </c>
      <c r="O1691" t="s">
        <v>28</v>
      </c>
      <c r="P1691">
        <v>2</v>
      </c>
      <c r="Q1691">
        <v>0</v>
      </c>
      <c r="R1691">
        <v>13</v>
      </c>
      <c r="S1691" s="2">
        <v>41995</v>
      </c>
      <c r="T1691" s="2">
        <v>42129</v>
      </c>
      <c r="U1691" s="2">
        <v>43500</v>
      </c>
    </row>
    <row r="1692" spans="1:22" x14ac:dyDescent="0.2">
      <c r="A1692" t="str">
        <f>"364.15 SAN"</f>
        <v>364.15 SAN</v>
      </c>
      <c r="B1692" t="str">
        <f>"While the city slept: a love lost to vio"</f>
        <v>While the city slept: a love lost to vio</v>
      </c>
      <c r="C1692">
        <v>333439</v>
      </c>
      <c r="D1692" t="str">
        <f>"Sanders, Eli,"</f>
        <v>Sanders, Eli,</v>
      </c>
      <c r="F1692" t="str">
        <f>"316 pages, 24 cm, map"</f>
        <v>316 pages, 24 cm, map</v>
      </c>
      <c r="G1692" s="1">
        <v>16</v>
      </c>
      <c r="H1692">
        <v>2016</v>
      </c>
      <c r="I1692" t="str">
        <f t="shared" si="64"/>
        <v>9: 300 - 399</v>
      </c>
      <c r="K1692" t="str">
        <f>"WB - In"</f>
        <v>WB - In</v>
      </c>
      <c r="L1692" s="1">
        <v>33</v>
      </c>
      <c r="M1692" t="s">
        <v>1592</v>
      </c>
      <c r="O1692" t="s">
        <v>28</v>
      </c>
      <c r="P1692">
        <v>0</v>
      </c>
      <c r="Q1692">
        <v>0</v>
      </c>
      <c r="R1692">
        <v>11</v>
      </c>
      <c r="S1692" s="2">
        <v>42424</v>
      </c>
      <c r="T1692" s="2">
        <v>42612</v>
      </c>
      <c r="U1692" s="2">
        <v>42764</v>
      </c>
    </row>
    <row r="1693" spans="1:22" x14ac:dyDescent="0.2">
      <c r="A1693" t="str">
        <f>"364.15 SCO"</f>
        <v>364.15 SCO</v>
      </c>
      <c r="B1693" t="str">
        <f>"girl in the leaves"</f>
        <v>girl in the leaves</v>
      </c>
      <c r="C1693">
        <v>312486</v>
      </c>
      <c r="D1693" t="str">
        <f>"Scott, Robert."</f>
        <v>Scott, Robert.</v>
      </c>
      <c r="F1693" t="str">
        <f>"306 p., 19 cm., ill."</f>
        <v>306 p., 19 cm., ill.</v>
      </c>
      <c r="G1693" s="1">
        <v>13</v>
      </c>
      <c r="H1693">
        <v>2013</v>
      </c>
      <c r="I1693" t="str">
        <f t="shared" si="64"/>
        <v>9: 300 - 399</v>
      </c>
      <c r="K1693" t="str">
        <f>"LL - In"</f>
        <v>LL - In</v>
      </c>
      <c r="L1693" s="1">
        <v>15</v>
      </c>
      <c r="M1693" t="s">
        <v>1593</v>
      </c>
      <c r="O1693" t="s">
        <v>28</v>
      </c>
      <c r="P1693">
        <v>1</v>
      </c>
      <c r="Q1693">
        <v>1</v>
      </c>
      <c r="R1693">
        <v>10</v>
      </c>
      <c r="S1693" s="2">
        <v>41317</v>
      </c>
      <c r="T1693" s="2">
        <v>41331</v>
      </c>
      <c r="U1693" s="2">
        <v>43008</v>
      </c>
      <c r="V1693" s="2">
        <v>43481</v>
      </c>
    </row>
    <row r="1694" spans="1:22" x14ac:dyDescent="0.2">
      <c r="A1694" t="str">
        <f>"364.15 SHA"</f>
        <v>364.15 SHA</v>
      </c>
      <c r="B1694" t="str">
        <f>"Uneasy peace: the great crime decline, t"</f>
        <v>Uneasy peace: the great crime decline, t</v>
      </c>
      <c r="C1694">
        <v>346027</v>
      </c>
      <c r="D1694" t="str">
        <f>"Sharkey, Patrick"</f>
        <v>Sharkey, Patrick</v>
      </c>
      <c r="F1694" t="str">
        <f>"xxii, 244 pages, 25 cm"</f>
        <v>xxii, 244 pages, 25 cm</v>
      </c>
      <c r="G1694" s="1">
        <v>18</v>
      </c>
      <c r="H1694">
        <v>2018</v>
      </c>
      <c r="I1694" t="str">
        <f t="shared" si="64"/>
        <v>9: 300 - 399</v>
      </c>
      <c r="K1694" t="str">
        <f>"WB - In"</f>
        <v>WB - In</v>
      </c>
      <c r="L1694" s="1">
        <v>32</v>
      </c>
      <c r="M1694" t="s">
        <v>1594</v>
      </c>
      <c r="O1694" t="s">
        <v>28</v>
      </c>
      <c r="P1694">
        <v>7</v>
      </c>
      <c r="Q1694">
        <v>1</v>
      </c>
      <c r="R1694">
        <v>8</v>
      </c>
      <c r="S1694" s="2">
        <v>43144</v>
      </c>
      <c r="T1694" s="2">
        <v>43327</v>
      </c>
      <c r="U1694" s="2">
        <v>43680</v>
      </c>
      <c r="V1694" s="2">
        <v>43618</v>
      </c>
    </row>
    <row r="1695" spans="1:22" x14ac:dyDescent="0.2">
      <c r="A1695" t="str">
        <f>"364.15 STA"</f>
        <v>364.15 STA</v>
      </c>
      <c r="B1695" t="str">
        <f>"From Selma to sorrow: the life and death"</f>
        <v>From Selma to sorrow: the life and death</v>
      </c>
      <c r="C1695">
        <v>319845</v>
      </c>
      <c r="D1695" t="str">
        <f>"Stanton, Mary"</f>
        <v>Stanton, Mary</v>
      </c>
      <c r="F1695" t="str">
        <f>"xiv, 250 p., 24 cm, ill."</f>
        <v>xiv, 250 p., 24 cm, ill.</v>
      </c>
      <c r="G1695" s="1">
        <v>14</v>
      </c>
      <c r="H1695">
        <v>2000</v>
      </c>
      <c r="I1695" t="str">
        <f t="shared" si="64"/>
        <v>9: 300 - 399</v>
      </c>
      <c r="K1695" t="str">
        <f>"LL - In"</f>
        <v>LL - In</v>
      </c>
      <c r="L1695" s="1">
        <v>29</v>
      </c>
      <c r="M1695" t="s">
        <v>1595</v>
      </c>
      <c r="O1695" t="s">
        <v>28</v>
      </c>
      <c r="P1695">
        <v>0</v>
      </c>
      <c r="Q1695">
        <v>0</v>
      </c>
      <c r="R1695">
        <v>7</v>
      </c>
      <c r="S1695" s="2">
        <v>41676</v>
      </c>
      <c r="T1695" s="2">
        <v>41698</v>
      </c>
      <c r="U1695" s="2">
        <v>42232</v>
      </c>
      <c r="V1695" s="2">
        <v>42660</v>
      </c>
    </row>
    <row r="1696" spans="1:22" x14ac:dyDescent="0.2">
      <c r="A1696" t="str">
        <f>"364.15 SUM"</f>
        <v>364.15 SUM</v>
      </c>
      <c r="B1696" t="str">
        <f>"wicked boy: the mystery of a Victorian c"</f>
        <v>wicked boy: the mystery of a Victorian c</v>
      </c>
      <c r="C1696">
        <v>336590</v>
      </c>
      <c r="D1696" t="str">
        <f>"Summerscale, Kate"</f>
        <v>Summerscale, Kate</v>
      </c>
      <c r="F1696" t="str">
        <f>"378 pages, 22 cm, illustrations"</f>
        <v>378 pages, 22 cm, illustrations</v>
      </c>
      <c r="G1696" s="1">
        <v>16</v>
      </c>
      <c r="H1696">
        <v>2016</v>
      </c>
      <c r="I1696" t="str">
        <f t="shared" si="64"/>
        <v>9: 300 - 399</v>
      </c>
      <c r="K1696" t="str">
        <f>"WB - In"</f>
        <v>WB - In</v>
      </c>
      <c r="L1696" s="1">
        <v>33</v>
      </c>
      <c r="M1696" t="s">
        <v>1596</v>
      </c>
      <c r="O1696" t="s">
        <v>28</v>
      </c>
      <c r="P1696">
        <v>3</v>
      </c>
      <c r="Q1696">
        <v>0</v>
      </c>
      <c r="R1696">
        <v>13</v>
      </c>
      <c r="S1696" s="2">
        <v>42584</v>
      </c>
      <c r="T1696" s="2">
        <v>42802</v>
      </c>
      <c r="U1696" s="2">
        <v>43363</v>
      </c>
    </row>
    <row r="1697" spans="1:22" x14ac:dyDescent="0.2">
      <c r="A1697" t="str">
        <f>"364.15 TIL"</f>
        <v>364.15 TIL</v>
      </c>
      <c r="B1697" t="str">
        <f>"long shadow of small ghosts: murder and "</f>
        <v xml:space="preserve">long shadow of small ghosts: murder and </v>
      </c>
      <c r="C1697">
        <v>347930</v>
      </c>
      <c r="D1697" t="str">
        <f>"Tillman, Laura"</f>
        <v>Tillman, Laura</v>
      </c>
      <c r="F1697" t="str">
        <f>"vii, 241 pages, 24 cm, illustrations"</f>
        <v>vii, 241 pages, 24 cm, illustrations</v>
      </c>
      <c r="G1697" s="1">
        <v>18</v>
      </c>
      <c r="H1697">
        <v>2017</v>
      </c>
      <c r="I1697" t="str">
        <f t="shared" si="64"/>
        <v>9: 300 - 399</v>
      </c>
      <c r="K1697" t="str">
        <f>"WB - In"</f>
        <v>WB - In</v>
      </c>
      <c r="L1697" s="1">
        <v>21</v>
      </c>
      <c r="M1697" t="s">
        <v>1597</v>
      </c>
      <c r="O1697" t="s">
        <v>28</v>
      </c>
      <c r="P1697">
        <v>6</v>
      </c>
      <c r="Q1697">
        <v>0</v>
      </c>
      <c r="R1697">
        <v>6</v>
      </c>
      <c r="S1697" s="2">
        <v>43250</v>
      </c>
      <c r="T1697" s="2">
        <v>43411</v>
      </c>
      <c r="U1697" s="2">
        <v>43402</v>
      </c>
    </row>
    <row r="1698" spans="1:22" x14ac:dyDescent="0.2">
      <c r="A1698" t="str">
        <f>"364.15 WEI"</f>
        <v>364.15 WEI</v>
      </c>
      <c r="B1698" t="str">
        <f>"real Lolita: the kidnapping of Sally Hor"</f>
        <v>real Lolita: the kidnapping of Sally Hor</v>
      </c>
      <c r="C1698">
        <v>350039</v>
      </c>
      <c r="D1698" t="str">
        <f>"Weinman, Sarah"</f>
        <v>Weinman, Sarah</v>
      </c>
      <c r="F1698" t="str">
        <f>"xii, 306 pages, 22 cm, illustrations"</f>
        <v>xii, 306 pages, 22 cm, illustrations</v>
      </c>
      <c r="G1698" s="1">
        <v>18</v>
      </c>
      <c r="H1698">
        <v>2018</v>
      </c>
      <c r="I1698" t="str">
        <f t="shared" si="64"/>
        <v>9: 300 - 399</v>
      </c>
      <c r="K1698" t="str">
        <f>"WB - In"</f>
        <v>WB - In</v>
      </c>
      <c r="L1698" s="1">
        <v>33</v>
      </c>
      <c r="M1698" t="s">
        <v>1598</v>
      </c>
      <c r="O1698" t="s">
        <v>28</v>
      </c>
      <c r="P1698">
        <v>10</v>
      </c>
      <c r="Q1698">
        <v>0</v>
      </c>
      <c r="R1698">
        <v>10</v>
      </c>
      <c r="S1698" s="2">
        <v>43361</v>
      </c>
      <c r="T1698" s="2">
        <v>43551</v>
      </c>
      <c r="U1698" s="2">
        <v>43508</v>
      </c>
    </row>
    <row r="1699" spans="1:22" x14ac:dyDescent="0.2">
      <c r="A1699" t="str">
        <f>"364.15 WHI"</f>
        <v>364.15 WHI</v>
      </c>
      <c r="B1699" t="str">
        <f>"last good heist: the inside story of the"</f>
        <v>last good heist: the inside story of the</v>
      </c>
      <c r="C1699">
        <v>355617</v>
      </c>
      <c r="D1699" t="str">
        <f>"White, Tim"</f>
        <v>White, Tim</v>
      </c>
      <c r="F1699" t="str">
        <f>"252 pages, 16 unnumbered pages of plates, 22 cm, illustrations"</f>
        <v>252 pages, 16 unnumbered pages of plates, 22 cm, illustrations</v>
      </c>
      <c r="G1699" s="1">
        <v>19</v>
      </c>
      <c r="H1699">
        <v>2016</v>
      </c>
      <c r="I1699" t="str">
        <f t="shared" si="64"/>
        <v>9: 300 - 399</v>
      </c>
      <c r="K1699" t="str">
        <f>"WB - In"</f>
        <v>WB - In</v>
      </c>
      <c r="L1699" s="1">
        <v>24</v>
      </c>
      <c r="M1699" t="s">
        <v>1599</v>
      </c>
      <c r="O1699" t="s">
        <v>28</v>
      </c>
      <c r="P1699">
        <v>1</v>
      </c>
      <c r="Q1699">
        <v>0</v>
      </c>
      <c r="R1699">
        <v>1</v>
      </c>
      <c r="S1699" s="2">
        <v>43633</v>
      </c>
      <c r="T1699" s="2">
        <v>43637</v>
      </c>
      <c r="U1699" s="2">
        <v>43770</v>
      </c>
    </row>
    <row r="1700" spans="1:22" x14ac:dyDescent="0.2">
      <c r="A1700" t="str">
        <f>"364.15 WOO"</f>
        <v>364.15 WOO</v>
      </c>
      <c r="B1700" t="str">
        <f>"Love and death in the Sunshine State: th"</f>
        <v>Love and death in the Sunshine State: th</v>
      </c>
      <c r="C1700">
        <v>347783</v>
      </c>
      <c r="D1700" t="str">
        <f>"Wood, Cutter"</f>
        <v>Wood, Cutter</v>
      </c>
      <c r="F1700" t="str">
        <f>"225 pages, 22 cm"</f>
        <v>225 pages, 22 cm</v>
      </c>
      <c r="G1700" s="1">
        <v>18</v>
      </c>
      <c r="H1700">
        <v>2018</v>
      </c>
      <c r="I1700" t="str">
        <f t="shared" si="64"/>
        <v>9: 300 - 399</v>
      </c>
      <c r="K1700" t="str">
        <f>"LL - In"</f>
        <v>LL - In</v>
      </c>
      <c r="L1700" s="1">
        <v>32</v>
      </c>
      <c r="M1700" t="s">
        <v>1600</v>
      </c>
      <c r="O1700" t="s">
        <v>28</v>
      </c>
      <c r="P1700">
        <v>8</v>
      </c>
      <c r="Q1700">
        <v>0</v>
      </c>
      <c r="R1700">
        <v>8</v>
      </c>
      <c r="S1700" s="2">
        <v>43243</v>
      </c>
      <c r="T1700" s="2">
        <v>43416</v>
      </c>
      <c r="U1700" s="2">
        <v>43440</v>
      </c>
    </row>
    <row r="1701" spans="1:22" x14ac:dyDescent="0.2">
      <c r="A1701" t="str">
        <f>"364.15 WOR"</f>
        <v>364.15 WOR</v>
      </c>
      <c r="B1701" t="str">
        <f>"Art of the English murder"</f>
        <v>Art of the English murder</v>
      </c>
      <c r="C1701">
        <v>324400</v>
      </c>
      <c r="D1701" t="str">
        <f>"Worsley, Lucy"</f>
        <v>Worsley, Lucy</v>
      </c>
      <c r="F1701" t="str">
        <f>"312 pages, 24 cm, illustrations"</f>
        <v>312 pages, 24 cm, illustrations</v>
      </c>
      <c r="G1701" s="1">
        <v>14</v>
      </c>
      <c r="H1701">
        <v>2014</v>
      </c>
      <c r="I1701" t="str">
        <f t="shared" si="64"/>
        <v>9: 300 - 399</v>
      </c>
      <c r="K1701" t="str">
        <f>"LL - In"</f>
        <v>LL - In</v>
      </c>
      <c r="L1701" s="1">
        <v>33</v>
      </c>
      <c r="M1701" t="s">
        <v>1601</v>
      </c>
      <c r="O1701" t="s">
        <v>28</v>
      </c>
      <c r="P1701">
        <v>1</v>
      </c>
      <c r="Q1701">
        <v>0</v>
      </c>
      <c r="R1701">
        <v>16</v>
      </c>
      <c r="S1701" s="2">
        <v>41942</v>
      </c>
      <c r="T1701" s="2">
        <v>42129</v>
      </c>
      <c r="U1701" s="2">
        <v>43456</v>
      </c>
      <c r="V1701" s="2">
        <v>42078</v>
      </c>
    </row>
    <row r="1702" spans="1:22" x14ac:dyDescent="0.2">
      <c r="A1702" t="str">
        <f>"364.16 BER"</f>
        <v>364.16 BER</v>
      </c>
      <c r="B1702" t="str">
        <f>"Secrecy world: inside the Panama Papers "</f>
        <v xml:space="preserve">Secrecy world: inside the Panama Papers </v>
      </c>
      <c r="C1702">
        <v>346271</v>
      </c>
      <c r="D1702" t="str">
        <f>"Bernstein, Jake"</f>
        <v>Bernstein, Jake</v>
      </c>
      <c r="F1702" t="str">
        <f>"x, 335 pages, 8 unnumbered pages of plates, 25 cm, illustrations"</f>
        <v>x, 335 pages, 8 unnumbered pages of plates, 25 cm, illustrations</v>
      </c>
      <c r="G1702" s="1">
        <v>18</v>
      </c>
      <c r="H1702">
        <v>2017</v>
      </c>
      <c r="I1702" t="str">
        <f t="shared" si="64"/>
        <v>9: 300 - 399</v>
      </c>
      <c r="K1702" t="str">
        <f>"LL - Out"</f>
        <v>LL - Out</v>
      </c>
      <c r="L1702" s="1">
        <v>35</v>
      </c>
      <c r="M1702" t="s">
        <v>1602</v>
      </c>
      <c r="O1702" t="s">
        <v>28</v>
      </c>
      <c r="P1702">
        <v>9</v>
      </c>
      <c r="Q1702">
        <v>0</v>
      </c>
      <c r="R1702">
        <v>9</v>
      </c>
      <c r="S1702" s="2">
        <v>43152</v>
      </c>
      <c r="T1702" s="2">
        <v>43334</v>
      </c>
      <c r="U1702" s="2">
        <v>43851</v>
      </c>
    </row>
    <row r="1703" spans="1:22" x14ac:dyDescent="0.2">
      <c r="A1703" t="str">
        <f>"364.16 BIL"</f>
        <v>364.16 BIL</v>
      </c>
      <c r="B1703" t="str">
        <f>"last job: the ""bad grandpas"" and the Hat"</f>
        <v>last job: the "bad grandpas" and the Hat</v>
      </c>
      <c r="C1703">
        <v>354468</v>
      </c>
      <c r="D1703" t="str">
        <f>"Bilefsky, Dan"</f>
        <v>Bilefsky, Dan</v>
      </c>
      <c r="F1703" t="str">
        <f>"pages cm"</f>
        <v>pages cm</v>
      </c>
      <c r="G1703" s="1">
        <v>19</v>
      </c>
      <c r="H1703">
        <v>2019</v>
      </c>
      <c r="I1703" t="str">
        <f t="shared" si="64"/>
        <v>9: 300 - 399</v>
      </c>
      <c r="K1703" t="str">
        <f>"LL - In"</f>
        <v>LL - In</v>
      </c>
      <c r="L1703" s="1">
        <v>32</v>
      </c>
      <c r="M1703" t="s">
        <v>1603</v>
      </c>
      <c r="O1703" t="s">
        <v>28</v>
      </c>
      <c r="P1703">
        <v>9</v>
      </c>
      <c r="Q1703">
        <v>1</v>
      </c>
      <c r="R1703">
        <v>10</v>
      </c>
      <c r="S1703" s="2">
        <v>43583</v>
      </c>
      <c r="T1703" s="2">
        <v>43793</v>
      </c>
      <c r="U1703" s="2">
        <v>43772</v>
      </c>
      <c r="V1703" s="2">
        <v>43611</v>
      </c>
    </row>
    <row r="1704" spans="1:22" x14ac:dyDescent="0.2">
      <c r="A1704" t="str">
        <f>"364.16 BIL"</f>
        <v>364.16 BIL</v>
      </c>
      <c r="B1704" t="str">
        <f>"American kingpin: the epic hunt for the "</f>
        <v xml:space="preserve">American kingpin: the epic hunt for the </v>
      </c>
      <c r="C1704">
        <v>341735</v>
      </c>
      <c r="D1704" t="str">
        <f>"Bilton, Nick."</f>
        <v>Bilton, Nick.</v>
      </c>
      <c r="F1704" t="str">
        <f>"xv, 329 pages, 24 cm, illustrations"</f>
        <v>xv, 329 pages, 24 cm, illustrations</v>
      </c>
      <c r="G1704" s="1">
        <v>17</v>
      </c>
      <c r="H1704">
        <v>2017</v>
      </c>
      <c r="I1704" t="str">
        <f t="shared" si="64"/>
        <v>9: 300 - 399</v>
      </c>
      <c r="K1704" t="str">
        <f>"WB - Reserve Cart"</f>
        <v>WB - Reserve Cart</v>
      </c>
      <c r="L1704" s="1">
        <v>32</v>
      </c>
      <c r="M1704" t="s">
        <v>1604</v>
      </c>
      <c r="O1704" t="s">
        <v>28</v>
      </c>
      <c r="P1704">
        <v>52</v>
      </c>
      <c r="Q1704">
        <v>0</v>
      </c>
      <c r="R1704">
        <v>52</v>
      </c>
      <c r="S1704" s="2">
        <v>42891</v>
      </c>
      <c r="T1704" s="2">
        <v>43203</v>
      </c>
      <c r="U1704" s="2">
        <v>43838</v>
      </c>
    </row>
    <row r="1705" spans="1:22" x14ac:dyDescent="0.2">
      <c r="A1705" t="str">
        <f>"364.16 BIL"</f>
        <v>364.16 BIL</v>
      </c>
      <c r="B1705" t="str">
        <f>"American kingpin: the epic hunt for the "</f>
        <v xml:space="preserve">American kingpin: the epic hunt for the </v>
      </c>
      <c r="C1705">
        <v>352504</v>
      </c>
      <c r="D1705" t="str">
        <f>"Bilton, Nick."</f>
        <v>Bilton, Nick.</v>
      </c>
      <c r="F1705" t="str">
        <f>"xv, 329 pages, 24 cm, illustrations"</f>
        <v>xv, 329 pages, 24 cm, illustrations</v>
      </c>
      <c r="G1705" s="1">
        <v>19</v>
      </c>
      <c r="H1705">
        <v>2017</v>
      </c>
      <c r="I1705" t="str">
        <f t="shared" si="64"/>
        <v>9: 300 - 399</v>
      </c>
      <c r="K1705" t="str">
        <f>"LL - Out"</f>
        <v>LL - Out</v>
      </c>
      <c r="L1705" s="1">
        <v>22</v>
      </c>
      <c r="M1705" t="s">
        <v>1604</v>
      </c>
      <c r="O1705" t="s">
        <v>28</v>
      </c>
      <c r="P1705">
        <v>12</v>
      </c>
      <c r="Q1705">
        <v>1</v>
      </c>
      <c r="R1705">
        <v>13</v>
      </c>
      <c r="S1705" s="2">
        <v>43494</v>
      </c>
      <c r="T1705" s="2">
        <v>43497</v>
      </c>
      <c r="U1705" s="2">
        <v>43861</v>
      </c>
      <c r="V1705" s="2">
        <v>43802</v>
      </c>
    </row>
    <row r="1706" spans="1:22" x14ac:dyDescent="0.2">
      <c r="A1706" t="str">
        <f>"364.16 BIL"</f>
        <v>364.16 BIL</v>
      </c>
      <c r="B1706" t="str">
        <f>"American kingpin: the epic hunt for the "</f>
        <v xml:space="preserve">American kingpin: the epic hunt for the </v>
      </c>
      <c r="C1706">
        <v>357878</v>
      </c>
      <c r="D1706" t="str">
        <f>"Bilton, Nick."</f>
        <v>Bilton, Nick.</v>
      </c>
      <c r="F1706" t="str">
        <f>"xv, 329 pages, 24 cm, illustrations"</f>
        <v>xv, 329 pages, 24 cm, illustrations</v>
      </c>
      <c r="G1706" s="1">
        <v>19</v>
      </c>
      <c r="H1706">
        <v>2017</v>
      </c>
      <c r="I1706" t="str">
        <f t="shared" si="64"/>
        <v>9: 300 - 399</v>
      </c>
      <c r="K1706" t="str">
        <f>"WB - Reserve Cart"</f>
        <v>WB - Reserve Cart</v>
      </c>
      <c r="L1706" s="1">
        <v>22</v>
      </c>
      <c r="M1706" t="s">
        <v>1604</v>
      </c>
      <c r="O1706" t="s">
        <v>28</v>
      </c>
      <c r="P1706">
        <v>2</v>
      </c>
      <c r="Q1706">
        <v>0</v>
      </c>
      <c r="R1706">
        <v>2</v>
      </c>
      <c r="S1706" s="2">
        <v>43733</v>
      </c>
      <c r="T1706" s="2">
        <v>43739</v>
      </c>
      <c r="U1706" s="2">
        <v>43773</v>
      </c>
    </row>
    <row r="1707" spans="1:22" x14ac:dyDescent="0.2">
      <c r="A1707" t="str">
        <f>"364.16 BIL"</f>
        <v>364.16 BIL</v>
      </c>
      <c r="B1707" t="str">
        <f>"American kingpin: the epic hunt for the "</f>
        <v xml:space="preserve">American kingpin: the epic hunt for the </v>
      </c>
      <c r="C1707">
        <v>357879</v>
      </c>
      <c r="D1707" t="str">
        <f>"Bilton, Nick."</f>
        <v>Bilton, Nick.</v>
      </c>
      <c r="F1707" t="str">
        <f>"xv, 329 pages, 24 cm, illustrations"</f>
        <v>xv, 329 pages, 24 cm, illustrations</v>
      </c>
      <c r="G1707" s="1">
        <v>19</v>
      </c>
      <c r="H1707">
        <v>2017</v>
      </c>
      <c r="I1707" t="str">
        <f t="shared" si="64"/>
        <v>9: 300 - 399</v>
      </c>
      <c r="K1707" t="str">
        <f>"LL - Out"</f>
        <v>LL - Out</v>
      </c>
      <c r="L1707" s="1">
        <v>22</v>
      </c>
      <c r="M1707" t="s">
        <v>1604</v>
      </c>
      <c r="O1707" t="s">
        <v>28</v>
      </c>
      <c r="P1707">
        <v>2</v>
      </c>
      <c r="Q1707">
        <v>1</v>
      </c>
      <c r="R1707">
        <v>3</v>
      </c>
      <c r="S1707" s="2">
        <v>43733</v>
      </c>
      <c r="T1707" s="2">
        <v>43739</v>
      </c>
      <c r="U1707" s="2">
        <v>43837</v>
      </c>
      <c r="V1707" s="2">
        <v>43822</v>
      </c>
    </row>
    <row r="1708" spans="1:22" x14ac:dyDescent="0.2">
      <c r="A1708" t="str">
        <f>"364.16 CLU"</f>
        <v>364.16 CLU</v>
      </c>
      <c r="B1708" t="str">
        <f>"club no one wanted to join: Madoff victi"</f>
        <v>club no one wanted to join: Madoff victi</v>
      </c>
      <c r="C1708">
        <v>255922</v>
      </c>
      <c r="F1708" t="str">
        <f>"ix, 225 p., 23 cm., ill., ports"</f>
        <v>ix, 225 p., 23 cm., ill., ports</v>
      </c>
      <c r="G1708" s="1">
        <v>12</v>
      </c>
      <c r="H1708">
        <v>2010</v>
      </c>
      <c r="I1708" t="str">
        <f t="shared" si="64"/>
        <v>9: 300 - 399</v>
      </c>
      <c r="K1708" t="str">
        <f>"WB - In"</f>
        <v>WB - In</v>
      </c>
      <c r="L1708" s="1">
        <v>22</v>
      </c>
      <c r="M1708" t="s">
        <v>1605</v>
      </c>
      <c r="O1708" t="s">
        <v>28</v>
      </c>
      <c r="P1708">
        <v>0</v>
      </c>
      <c r="Q1708">
        <v>1</v>
      </c>
      <c r="R1708">
        <v>9</v>
      </c>
      <c r="S1708" s="2">
        <v>40998</v>
      </c>
      <c r="T1708" s="2">
        <v>41053</v>
      </c>
      <c r="U1708" s="2">
        <v>42410</v>
      </c>
      <c r="V1708" s="2">
        <v>43670</v>
      </c>
    </row>
    <row r="1709" spans="1:22" x14ac:dyDescent="0.2">
      <c r="A1709" t="str">
        <f>"364.16 DAV"</f>
        <v>364.16 DAV</v>
      </c>
      <c r="B1709" t="str">
        <f>"Lying for money: how legendary frauds re"</f>
        <v>Lying for money: how legendary frauds re</v>
      </c>
      <c r="C1709">
        <v>402989</v>
      </c>
      <c r="D1709" t="str">
        <f>"Davies, Dan"</f>
        <v>Davies, Dan</v>
      </c>
      <c r="F1709" t="str">
        <f>"301 p."</f>
        <v>301 p.</v>
      </c>
      <c r="G1709" s="1">
        <v>18</v>
      </c>
      <c r="H1709">
        <v>2018</v>
      </c>
      <c r="I1709" t="str">
        <f t="shared" si="64"/>
        <v>9: 300 - 399</v>
      </c>
      <c r="K1709" t="str">
        <f>"WB - In"</f>
        <v>WB - In</v>
      </c>
      <c r="L1709" s="1">
        <v>26</v>
      </c>
      <c r="M1709" t="s">
        <v>1606</v>
      </c>
      <c r="O1709" t="s">
        <v>28</v>
      </c>
      <c r="P1709">
        <v>6</v>
      </c>
      <c r="Q1709">
        <v>2</v>
      </c>
      <c r="R1709">
        <v>8</v>
      </c>
      <c r="S1709" s="2">
        <v>43328</v>
      </c>
      <c r="T1709" s="2">
        <v>43495</v>
      </c>
      <c r="U1709" s="2">
        <v>43462</v>
      </c>
      <c r="V1709" s="2">
        <v>43670</v>
      </c>
    </row>
    <row r="1710" spans="1:22" x14ac:dyDescent="0.2">
      <c r="A1710" t="str">
        <f>"364.16 EIS"</f>
        <v>364.16 EIS</v>
      </c>
      <c r="B1710" t="str">
        <f>"chickenshit club: why the Justice Depart"</f>
        <v>chickenshit club: why the Justice Depart</v>
      </c>
      <c r="C1710">
        <v>342741</v>
      </c>
      <c r="D1710" t="str">
        <f>"Eisinger, Jesse"</f>
        <v>Eisinger, Jesse</v>
      </c>
      <c r="F1710" t="str">
        <f>"xxi, 377 pages, 24 cm"</f>
        <v>xxi, 377 pages, 24 cm</v>
      </c>
      <c r="G1710" s="1">
        <v>17</v>
      </c>
      <c r="H1710">
        <v>2017</v>
      </c>
      <c r="I1710" t="str">
        <f t="shared" si="64"/>
        <v>9: 300 - 399</v>
      </c>
      <c r="K1710" t="str">
        <f>"WB - In"</f>
        <v>WB - In</v>
      </c>
      <c r="L1710" s="1">
        <v>33</v>
      </c>
      <c r="M1710" t="s">
        <v>1607</v>
      </c>
      <c r="O1710" t="s">
        <v>28</v>
      </c>
      <c r="P1710">
        <v>6</v>
      </c>
      <c r="Q1710">
        <v>0</v>
      </c>
      <c r="R1710">
        <v>6</v>
      </c>
      <c r="S1710" s="2">
        <v>42947</v>
      </c>
      <c r="T1710" s="2">
        <v>43124</v>
      </c>
      <c r="U1710" s="2">
        <v>43110</v>
      </c>
    </row>
    <row r="1711" spans="1:22" x14ac:dyDescent="0.2">
      <c r="A1711" t="str">
        <f>"364.16 ENR"</f>
        <v>364.16 ENR</v>
      </c>
      <c r="B1711" t="str">
        <f>"spider network: the wild story of a math"</f>
        <v>spider network: the wild story of a math</v>
      </c>
      <c r="C1711">
        <v>343324</v>
      </c>
      <c r="D1711" t="str">
        <f>"Enrich, David,"</f>
        <v>Enrich, David,</v>
      </c>
      <c r="F1711" t="str">
        <f>"xiii, 509 pages, 24 cm"</f>
        <v>xiii, 509 pages, 24 cm</v>
      </c>
      <c r="G1711" s="1">
        <v>17</v>
      </c>
      <c r="H1711">
        <v>2017</v>
      </c>
      <c r="I1711" t="str">
        <f t="shared" si="64"/>
        <v>9: 300 - 399</v>
      </c>
      <c r="K1711" t="str">
        <f>"WB - In"</f>
        <v>WB - In</v>
      </c>
      <c r="L1711" s="1">
        <v>35</v>
      </c>
      <c r="M1711" t="s">
        <v>1608</v>
      </c>
      <c r="O1711" t="s">
        <v>28</v>
      </c>
      <c r="P1711">
        <v>7</v>
      </c>
      <c r="Q1711">
        <v>0</v>
      </c>
      <c r="R1711">
        <v>7</v>
      </c>
      <c r="S1711" s="2">
        <v>42977</v>
      </c>
      <c r="T1711" s="2">
        <v>43180</v>
      </c>
      <c r="U1711" s="2">
        <v>43630</v>
      </c>
    </row>
    <row r="1712" spans="1:22" x14ac:dyDescent="0.2">
      <c r="A1712" t="str">
        <f>"364.16 GOO"</f>
        <v>364.16 GOO</v>
      </c>
      <c r="B1712" t="str">
        <f>"Future crimes: everything is connected, "</f>
        <v xml:space="preserve">Future crimes: everything is connected, </v>
      </c>
      <c r="C1712">
        <v>326483</v>
      </c>
      <c r="D1712" t="str">
        <f>"Goodman, Marc"</f>
        <v>Goodman, Marc</v>
      </c>
      <c r="F1712" t="str">
        <f>"viii, 392, lx pages, 25 cm"</f>
        <v>viii, 392, lx pages, 25 cm</v>
      </c>
      <c r="G1712" s="1">
        <v>15</v>
      </c>
      <c r="H1712">
        <v>2015</v>
      </c>
      <c r="I1712" t="str">
        <f t="shared" si="64"/>
        <v>9: 300 - 399</v>
      </c>
      <c r="K1712" t="str">
        <f>"WB - In"</f>
        <v>WB - In</v>
      </c>
      <c r="L1712" s="1">
        <v>33</v>
      </c>
      <c r="M1712" t="s">
        <v>1609</v>
      </c>
      <c r="O1712" t="s">
        <v>28</v>
      </c>
      <c r="P1712">
        <v>2</v>
      </c>
      <c r="Q1712">
        <v>0</v>
      </c>
      <c r="R1712">
        <v>11</v>
      </c>
      <c r="S1712" s="2">
        <v>42079</v>
      </c>
      <c r="T1712" s="2">
        <v>42408</v>
      </c>
      <c r="U1712" s="2">
        <v>43387</v>
      </c>
    </row>
    <row r="1713" spans="1:22" x14ac:dyDescent="0.2">
      <c r="A1713" t="str">
        <f>"364.16 GOO"</f>
        <v>364.16 GOO</v>
      </c>
      <c r="B1713" t="str">
        <f>"Future crimes: everything is connected, "</f>
        <v xml:space="preserve">Future crimes: everything is connected, </v>
      </c>
      <c r="C1713">
        <v>339460</v>
      </c>
      <c r="D1713" t="str">
        <f>"Goodman, Marc"</f>
        <v>Goodman, Marc</v>
      </c>
      <c r="F1713" t="str">
        <f>"viii, 392, lx pages, 25 cm"</f>
        <v>viii, 392, lx pages, 25 cm</v>
      </c>
      <c r="G1713" s="1">
        <v>17</v>
      </c>
      <c r="H1713">
        <v>2015</v>
      </c>
      <c r="I1713" t="str">
        <f t="shared" si="64"/>
        <v>9: 300 - 399</v>
      </c>
      <c r="K1713" t="str">
        <f>"LL - In"</f>
        <v>LL - In</v>
      </c>
      <c r="L1713" s="1">
        <v>22</v>
      </c>
      <c r="M1713" t="s">
        <v>1609</v>
      </c>
      <c r="O1713" t="s">
        <v>28</v>
      </c>
      <c r="P1713">
        <v>2</v>
      </c>
      <c r="Q1713">
        <v>1</v>
      </c>
      <c r="R1713">
        <v>3</v>
      </c>
      <c r="S1713" s="2">
        <v>42772</v>
      </c>
      <c r="T1713" s="2">
        <v>42780</v>
      </c>
      <c r="U1713" s="2">
        <v>43659</v>
      </c>
      <c r="V1713" s="2">
        <v>43107</v>
      </c>
    </row>
    <row r="1714" spans="1:22" x14ac:dyDescent="0.2">
      <c r="A1714" t="str">
        <f>"364.16 GRE"</f>
        <v>364.16 GRE</v>
      </c>
      <c r="B1714" t="str">
        <f>"Playing dead: a journey through the worl"</f>
        <v>Playing dead: a journey through the worl</v>
      </c>
      <c r="C1714">
        <v>336895</v>
      </c>
      <c r="D1714" t="str">
        <f>"Greenwood, Elizabeth,"</f>
        <v>Greenwood, Elizabeth,</v>
      </c>
      <c r="F1714" t="str">
        <f>"xix, 246 pages, 22 cm, illustrations"</f>
        <v>xix, 246 pages, 22 cm, illustrations</v>
      </c>
      <c r="G1714" s="1">
        <v>16</v>
      </c>
      <c r="H1714">
        <v>2016</v>
      </c>
      <c r="I1714" t="str">
        <f t="shared" si="64"/>
        <v>9: 300 - 399</v>
      </c>
      <c r="K1714" t="str">
        <f>"WB - In"</f>
        <v>WB - In</v>
      </c>
      <c r="L1714" s="1">
        <v>31</v>
      </c>
      <c r="M1714" t="s">
        <v>1610</v>
      </c>
      <c r="O1714" t="s">
        <v>28</v>
      </c>
      <c r="P1714">
        <v>1</v>
      </c>
      <c r="Q1714">
        <v>1</v>
      </c>
      <c r="R1714">
        <v>11</v>
      </c>
      <c r="S1714" s="2">
        <v>42600</v>
      </c>
      <c r="T1714" s="2">
        <v>42795</v>
      </c>
      <c r="U1714" s="2">
        <v>43410</v>
      </c>
      <c r="V1714" s="2">
        <v>43138</v>
      </c>
    </row>
    <row r="1715" spans="1:22" x14ac:dyDescent="0.2">
      <c r="A1715" t="str">
        <f>"364.16 HES"</f>
        <v>364.16 HES</v>
      </c>
      <c r="B1715" t="str">
        <f>"American fire: love, arson, and life in "</f>
        <v xml:space="preserve">American fire: love, arson, and life in </v>
      </c>
      <c r="C1715">
        <v>342603</v>
      </c>
      <c r="D1715" t="str">
        <f>"Hesse, Monica"</f>
        <v>Hesse, Monica</v>
      </c>
      <c r="F1715" t="str">
        <f>"255 pages, 8 unnumbered pages of plates, 25 cm, illustrations"</f>
        <v>255 pages, 8 unnumbered pages of plates, 25 cm, illustrations</v>
      </c>
      <c r="G1715" s="1">
        <v>17</v>
      </c>
      <c r="H1715">
        <v>2017</v>
      </c>
      <c r="I1715" t="str">
        <f t="shared" si="64"/>
        <v>9: 300 - 399</v>
      </c>
      <c r="K1715" t="str">
        <f>"WB - In"</f>
        <v>WB - In</v>
      </c>
      <c r="L1715" s="1">
        <v>32</v>
      </c>
      <c r="M1715" t="s">
        <v>1611</v>
      </c>
      <c r="O1715" t="s">
        <v>28</v>
      </c>
      <c r="P1715">
        <v>9</v>
      </c>
      <c r="Q1715">
        <v>0</v>
      </c>
      <c r="R1715">
        <v>9</v>
      </c>
      <c r="S1715" s="2">
        <v>42940</v>
      </c>
      <c r="T1715" s="2">
        <v>43114</v>
      </c>
      <c r="U1715" s="2">
        <v>43686</v>
      </c>
    </row>
    <row r="1716" spans="1:22" x14ac:dyDescent="0.2">
      <c r="A1716" t="str">
        <f>"364.16 JOH"</f>
        <v>364.16 JOH</v>
      </c>
      <c r="B1716" t="str">
        <f>"feather thief: beauty, obsession, and th"</f>
        <v>feather thief: beauty, obsession, and th</v>
      </c>
      <c r="C1716">
        <v>347471</v>
      </c>
      <c r="D1716" t="str">
        <f>"Johnson, Kirk W."</f>
        <v>Johnson, Kirk W.</v>
      </c>
      <c r="F1716" t="str">
        <f>"248 p."</f>
        <v>248 p.</v>
      </c>
      <c r="G1716" s="1">
        <v>18</v>
      </c>
      <c r="H1716">
        <v>2018</v>
      </c>
      <c r="I1716" t="str">
        <f t="shared" si="64"/>
        <v>9: 300 - 399</v>
      </c>
      <c r="K1716" t="str">
        <f>"WB - In"</f>
        <v>WB - In</v>
      </c>
      <c r="L1716" s="1">
        <v>32</v>
      </c>
      <c r="M1716" t="s">
        <v>1612</v>
      </c>
      <c r="O1716" t="s">
        <v>28</v>
      </c>
      <c r="P1716">
        <v>14</v>
      </c>
      <c r="Q1716">
        <v>1</v>
      </c>
      <c r="R1716">
        <v>15</v>
      </c>
      <c r="S1716" s="2">
        <v>43221</v>
      </c>
      <c r="T1716" s="2">
        <v>43376</v>
      </c>
      <c r="U1716" s="2">
        <v>43714</v>
      </c>
      <c r="V1716" s="2">
        <v>43712</v>
      </c>
    </row>
    <row r="1717" spans="1:22" x14ac:dyDescent="0.2">
      <c r="A1717" t="str">
        <f>"364.16 JOH"</f>
        <v>364.16 JOH</v>
      </c>
      <c r="B1717" t="str">
        <f>"feather thief: beauty, obsession, and th"</f>
        <v>feather thief: beauty, obsession, and th</v>
      </c>
      <c r="C1717">
        <v>349702</v>
      </c>
      <c r="D1717" t="str">
        <f>"Johnson, Kirk W."</f>
        <v>Johnson, Kirk W.</v>
      </c>
      <c r="F1717" t="str">
        <f>"248 p."</f>
        <v>248 p.</v>
      </c>
      <c r="G1717" s="1">
        <v>18</v>
      </c>
      <c r="H1717">
        <v>2018</v>
      </c>
      <c r="I1717" t="str">
        <f t="shared" si="64"/>
        <v>9: 300 - 399</v>
      </c>
      <c r="K1717" t="str">
        <f>"LL - In"</f>
        <v>LL - In</v>
      </c>
      <c r="L1717" s="1">
        <v>32</v>
      </c>
      <c r="M1717" t="s">
        <v>1612</v>
      </c>
      <c r="O1717" t="s">
        <v>28</v>
      </c>
      <c r="P1717">
        <v>6</v>
      </c>
      <c r="Q1717">
        <v>0</v>
      </c>
      <c r="R1717">
        <v>7</v>
      </c>
      <c r="S1717" s="2">
        <v>43347</v>
      </c>
      <c r="T1717" s="2">
        <v>43530</v>
      </c>
      <c r="U1717" s="2">
        <v>43579</v>
      </c>
    </row>
    <row r="1718" spans="1:22" x14ac:dyDescent="0.2">
      <c r="A1718" t="str">
        <f>"364.16 KOL"</f>
        <v>364.16 KOL</v>
      </c>
      <c r="B1718" t="str">
        <f>"Black edge: inside information, dirty mo"</f>
        <v>Black edge: inside information, dirty mo</v>
      </c>
      <c r="C1718">
        <v>298568</v>
      </c>
      <c r="D1718" t="str">
        <f>"Kolhatkar, Sheelah"</f>
        <v>Kolhatkar, Sheelah</v>
      </c>
      <c r="F1718" t="str">
        <f>"xx, 344 pages, 25 cm"</f>
        <v>xx, 344 pages, 25 cm</v>
      </c>
      <c r="G1718" s="1">
        <v>18</v>
      </c>
      <c r="H1718">
        <v>2017</v>
      </c>
      <c r="I1718" t="str">
        <f t="shared" si="64"/>
        <v>9: 300 - 399</v>
      </c>
      <c r="K1718" t="str">
        <f>"WB - In"</f>
        <v>WB - In</v>
      </c>
      <c r="L1718" s="1">
        <v>23</v>
      </c>
      <c r="M1718" t="s">
        <v>1613</v>
      </c>
      <c r="O1718" t="s">
        <v>28</v>
      </c>
      <c r="P1718">
        <v>3</v>
      </c>
      <c r="Q1718">
        <v>0</v>
      </c>
      <c r="R1718">
        <v>3</v>
      </c>
      <c r="S1718" s="2">
        <v>43192</v>
      </c>
      <c r="T1718" s="2">
        <v>43201</v>
      </c>
      <c r="U1718" s="2">
        <v>43630</v>
      </c>
    </row>
    <row r="1719" spans="1:22" x14ac:dyDescent="0.2">
      <c r="A1719" t="str">
        <f>"364.16 KON"</f>
        <v>364.16 KON</v>
      </c>
      <c r="B1719" t="str">
        <f>"confidence game: why we fall for it... e"</f>
        <v>confidence game: why we fall for it... e</v>
      </c>
      <c r="C1719">
        <v>332526</v>
      </c>
      <c r="D1719" t="str">
        <f>"Konnikova, Maria."</f>
        <v>Konnikova, Maria.</v>
      </c>
      <c r="F1719" t="str">
        <f>"x, 340 pages, 24 cm"</f>
        <v>x, 340 pages, 24 cm</v>
      </c>
      <c r="G1719" s="1">
        <v>16</v>
      </c>
      <c r="H1719">
        <v>2016</v>
      </c>
      <c r="I1719" t="str">
        <f t="shared" si="64"/>
        <v>9: 300 - 399</v>
      </c>
      <c r="K1719" t="str">
        <f>"WB - In"</f>
        <v>WB - In</v>
      </c>
      <c r="L1719" s="1">
        <v>33</v>
      </c>
      <c r="M1719" t="s">
        <v>1614</v>
      </c>
      <c r="O1719" t="s">
        <v>28</v>
      </c>
      <c r="P1719">
        <v>4</v>
      </c>
      <c r="Q1719">
        <v>0</v>
      </c>
      <c r="R1719">
        <v>15</v>
      </c>
      <c r="S1719" s="2">
        <v>42388</v>
      </c>
      <c r="T1719" s="2">
        <v>42546</v>
      </c>
      <c r="U1719" s="2">
        <v>43706</v>
      </c>
    </row>
    <row r="1720" spans="1:22" x14ac:dyDescent="0.2">
      <c r="A1720" t="str">
        <f>"364.16 LUC"</f>
        <v>364.16 LUC</v>
      </c>
      <c r="B1720" t="str">
        <f>"Cyberphobia: identity, trust, security a"</f>
        <v>Cyberphobia: identity, trust, security a</v>
      </c>
      <c r="C1720">
        <v>333213</v>
      </c>
      <c r="D1720" t="str">
        <f>"Lucas, Edward"</f>
        <v>Lucas, Edward</v>
      </c>
      <c r="F1720" t="str">
        <f>"306 pages, 25 cm"</f>
        <v>306 pages, 25 cm</v>
      </c>
      <c r="G1720" s="1">
        <v>16</v>
      </c>
      <c r="H1720">
        <v>2015</v>
      </c>
      <c r="I1720" t="str">
        <f t="shared" si="64"/>
        <v>9: 300 - 399</v>
      </c>
      <c r="K1720" t="str">
        <f>"LL - In"</f>
        <v>LL - In</v>
      </c>
      <c r="L1720" s="1">
        <v>33</v>
      </c>
      <c r="M1720" t="s">
        <v>1615</v>
      </c>
      <c r="O1720" t="s">
        <v>28</v>
      </c>
      <c r="P1720">
        <v>3</v>
      </c>
      <c r="Q1720">
        <v>0</v>
      </c>
      <c r="R1720">
        <v>9</v>
      </c>
      <c r="S1720" s="2">
        <v>42416</v>
      </c>
      <c r="T1720" s="2">
        <v>42593</v>
      </c>
      <c r="U1720" s="2">
        <v>43526</v>
      </c>
    </row>
    <row r="1721" spans="1:22" x14ac:dyDescent="0.2">
      <c r="A1721" t="str">
        <f>"364.16 MAN"</f>
        <v>364.16 MAN</v>
      </c>
      <c r="B1721" t="str">
        <f>"burglar's guide to the city"</f>
        <v>burglar's guide to the city</v>
      </c>
      <c r="C1721">
        <v>335998</v>
      </c>
      <c r="D1721" t="str">
        <f>"Manaugh, Geoff"</f>
        <v>Manaugh, Geoff</v>
      </c>
      <c r="F1721" t="str">
        <f>"296 pages, 19 cm"</f>
        <v>296 pages, 19 cm</v>
      </c>
      <c r="G1721" s="1">
        <v>16</v>
      </c>
      <c r="H1721">
        <v>2016</v>
      </c>
      <c r="I1721" t="str">
        <f t="shared" si="64"/>
        <v>9: 300 - 399</v>
      </c>
      <c r="K1721" t="str">
        <f>"WB - In"</f>
        <v>WB - In</v>
      </c>
      <c r="L1721" s="1">
        <v>21</v>
      </c>
      <c r="M1721" t="s">
        <v>1616</v>
      </c>
      <c r="O1721" t="s">
        <v>28</v>
      </c>
      <c r="P1721">
        <v>3</v>
      </c>
      <c r="Q1721">
        <v>1</v>
      </c>
      <c r="R1721">
        <v>14</v>
      </c>
      <c r="S1721" s="2">
        <v>42557</v>
      </c>
      <c r="T1721" s="2">
        <v>42768</v>
      </c>
      <c r="U1721" s="2">
        <v>43740</v>
      </c>
      <c r="V1721" s="2">
        <v>42853</v>
      </c>
    </row>
    <row r="1722" spans="1:22" x14ac:dyDescent="0.2">
      <c r="A1722" t="str">
        <f>"364.16 POS"</f>
        <v>364.16 POS</v>
      </c>
      <c r="B1722" t="str">
        <f>"God's bankers: a history of money and po"</f>
        <v>God's bankers: a history of money and po</v>
      </c>
      <c r="C1722">
        <v>326093</v>
      </c>
      <c r="D1722" t="str">
        <f>"Posner, Gerald L."</f>
        <v>Posner, Gerald L.</v>
      </c>
      <c r="F1722" t="str">
        <f>"xiv, 732 pages, 24 cm, illustrations"</f>
        <v>xiv, 732 pages, 24 cm, illustrations</v>
      </c>
      <c r="G1722" s="1">
        <v>15</v>
      </c>
      <c r="H1722">
        <v>2015</v>
      </c>
      <c r="I1722" t="str">
        <f t="shared" si="64"/>
        <v>9: 300 - 399</v>
      </c>
      <c r="K1722" t="str">
        <f>"LL - In"</f>
        <v>LL - In</v>
      </c>
      <c r="L1722" s="1">
        <v>37</v>
      </c>
      <c r="M1722" t="s">
        <v>1617</v>
      </c>
      <c r="O1722" t="s">
        <v>28</v>
      </c>
      <c r="P1722">
        <v>4</v>
      </c>
      <c r="Q1722">
        <v>0</v>
      </c>
      <c r="R1722">
        <v>12</v>
      </c>
      <c r="S1722" s="2">
        <v>42059</v>
      </c>
      <c r="T1722" s="2">
        <v>42240</v>
      </c>
      <c r="U1722" s="2">
        <v>43211</v>
      </c>
    </row>
    <row r="1723" spans="1:22" x14ac:dyDescent="0.2">
      <c r="A1723" t="str">
        <f>"364.16 ROS"</f>
        <v>364.16 ROS</v>
      </c>
      <c r="B1723" t="str">
        <f>"Thinking about cybersecurity course guid"</f>
        <v>Thinking about cybersecurity course guid</v>
      </c>
      <c r="C1723">
        <v>273370</v>
      </c>
      <c r="D1723" t="str">
        <f>"Rosenzweig, Paul"</f>
        <v>Rosenzweig, Paul</v>
      </c>
      <c r="E1723" t="str">
        <f>"Great Courses series"</f>
        <v>Great Courses series</v>
      </c>
      <c r="F1723" t="str">
        <f>"151 p."</f>
        <v>151 p.</v>
      </c>
      <c r="G1723" s="1">
        <v>14</v>
      </c>
      <c r="H1723">
        <v>2013</v>
      </c>
      <c r="I1723" t="str">
        <f t="shared" si="64"/>
        <v>9: 300 - 399</v>
      </c>
      <c r="K1723" t="str">
        <f>"LL - In"</f>
        <v>LL - In</v>
      </c>
      <c r="L1723" s="1">
        <v>15</v>
      </c>
      <c r="O1723" t="s">
        <v>28</v>
      </c>
      <c r="P1723">
        <v>1</v>
      </c>
      <c r="Q1723">
        <v>0</v>
      </c>
      <c r="R1723">
        <v>2</v>
      </c>
      <c r="S1723" s="2">
        <v>41757</v>
      </c>
      <c r="T1723" s="2">
        <v>41774</v>
      </c>
      <c r="U1723" s="2">
        <v>43291</v>
      </c>
    </row>
    <row r="1724" spans="1:22" x14ac:dyDescent="0.2">
      <c r="A1724" t="str">
        <f>"364.16 WRI"</f>
        <v>364.16 WRI</v>
      </c>
      <c r="B1724" t="str">
        <f>"Billion dollar whale: the man who fooled"</f>
        <v>Billion dollar whale: the man who fooled</v>
      </c>
      <c r="C1724">
        <v>350120</v>
      </c>
      <c r="D1724" t="str">
        <f>"Hope, Bradley"</f>
        <v>Hope, Bradley</v>
      </c>
      <c r="F1724" t="str">
        <f>"xvii, 379 pages, 8 unnumbered pages of plates, 24 cm, color illustrations"</f>
        <v>xvii, 379 pages, 8 unnumbered pages of plates, 24 cm, color illustrations</v>
      </c>
      <c r="G1724" s="1">
        <v>18</v>
      </c>
      <c r="H1724">
        <v>2018</v>
      </c>
      <c r="I1724" t="str">
        <f t="shared" si="64"/>
        <v>9: 300 - 399</v>
      </c>
      <c r="K1724" t="str">
        <f>"LL - In"</f>
        <v>LL - In</v>
      </c>
      <c r="L1724" s="1">
        <v>33</v>
      </c>
      <c r="M1724" t="s">
        <v>1618</v>
      </c>
      <c r="O1724" t="s">
        <v>28</v>
      </c>
      <c r="P1724">
        <v>11</v>
      </c>
      <c r="Q1724">
        <v>0</v>
      </c>
      <c r="R1724">
        <v>11</v>
      </c>
      <c r="S1724" s="2">
        <v>43364</v>
      </c>
      <c r="T1724" s="2">
        <v>43544</v>
      </c>
      <c r="U1724" s="2">
        <v>43638</v>
      </c>
    </row>
    <row r="1725" spans="1:22" x14ac:dyDescent="0.2">
      <c r="A1725" t="str">
        <f>"364.2 HOL"</f>
        <v>364.2 HOL</v>
      </c>
      <c r="B1725" t="str">
        <f>"Conspiracy: Peter Thiel, Hulk Hogan, Gaw"</f>
        <v>Conspiracy: Peter Thiel, Hulk Hogan, Gaw</v>
      </c>
      <c r="C1725">
        <v>346791</v>
      </c>
      <c r="D1725" t="str">
        <f>"Holiday, Ryan."</f>
        <v>Holiday, Ryan.</v>
      </c>
      <c r="F1725" t="str">
        <f>"viii, 319 pages, 24 cm"</f>
        <v>viii, 319 pages, 24 cm</v>
      </c>
      <c r="G1725" s="1">
        <v>18</v>
      </c>
      <c r="H1725">
        <v>2018</v>
      </c>
      <c r="I1725" t="str">
        <f t="shared" si="64"/>
        <v>9: 300 - 399</v>
      </c>
      <c r="K1725" t="str">
        <f>"WB - In"</f>
        <v>WB - In</v>
      </c>
      <c r="L1725" s="1">
        <v>33</v>
      </c>
      <c r="M1725" t="s">
        <v>1619</v>
      </c>
      <c r="O1725" t="s">
        <v>28</v>
      </c>
      <c r="P1725">
        <v>5</v>
      </c>
      <c r="Q1725">
        <v>0</v>
      </c>
      <c r="R1725">
        <v>5</v>
      </c>
      <c r="S1725" s="2">
        <v>43179</v>
      </c>
      <c r="T1725" s="2">
        <v>43369</v>
      </c>
      <c r="U1725" s="2">
        <v>43657</v>
      </c>
    </row>
    <row r="1726" spans="1:22" x14ac:dyDescent="0.2">
      <c r="A1726" t="str">
        <f>"364.2 HOL"</f>
        <v>364.2 HOL</v>
      </c>
      <c r="B1726" t="str">
        <f>"Conspiracy: Peter Thiel, Hulk Hogan, Gaw"</f>
        <v>Conspiracy: Peter Thiel, Hulk Hogan, Gaw</v>
      </c>
      <c r="C1726">
        <v>349552</v>
      </c>
      <c r="D1726" t="str">
        <f>"Holiday, Ryan."</f>
        <v>Holiday, Ryan.</v>
      </c>
      <c r="F1726" t="str">
        <f>"viii, 319 pages, 24 cm"</f>
        <v>viii, 319 pages, 24 cm</v>
      </c>
      <c r="G1726" s="1">
        <v>18</v>
      </c>
      <c r="H1726">
        <v>2018</v>
      </c>
      <c r="I1726" t="str">
        <f t="shared" si="64"/>
        <v>9: 300 - 399</v>
      </c>
      <c r="K1726" t="str">
        <f>"LL - In"</f>
        <v>LL - In</v>
      </c>
      <c r="L1726" s="1">
        <v>33</v>
      </c>
      <c r="M1726" t="s">
        <v>1619</v>
      </c>
      <c r="O1726" t="s">
        <v>28</v>
      </c>
      <c r="P1726">
        <v>8</v>
      </c>
      <c r="Q1726">
        <v>0</v>
      </c>
      <c r="R1726">
        <v>8</v>
      </c>
      <c r="S1726" s="2">
        <v>43340</v>
      </c>
      <c r="T1726" s="2">
        <v>43502</v>
      </c>
      <c r="U1726" s="2">
        <v>43554</v>
      </c>
    </row>
    <row r="1727" spans="1:22" x14ac:dyDescent="0.2">
      <c r="A1727" t="str">
        <f>"364.3 ALE"</f>
        <v>364.3 ALE</v>
      </c>
      <c r="B1727" t="str">
        <f>"new Jim Crow: mass incarceration in the "</f>
        <v xml:space="preserve">new Jim Crow: mass incarceration in the </v>
      </c>
      <c r="C1727">
        <v>144546</v>
      </c>
      <c r="D1727" t="str">
        <f>"Alexander, Michelle."</f>
        <v>Alexander, Michelle.</v>
      </c>
      <c r="F1727" t="str">
        <f>"xi, 290 p., 25 cm."</f>
        <v>xi, 290 p., 25 cm.</v>
      </c>
      <c r="G1727" s="1">
        <v>10</v>
      </c>
      <c r="H1727">
        <v>2010</v>
      </c>
      <c r="I1727" t="str">
        <f t="shared" si="64"/>
        <v>9: 300 - 399</v>
      </c>
      <c r="K1727" t="str">
        <f>"LL - In"</f>
        <v>LL - In</v>
      </c>
      <c r="L1727" s="1">
        <v>33</v>
      </c>
      <c r="M1727" t="s">
        <v>1620</v>
      </c>
      <c r="O1727" t="s">
        <v>28</v>
      </c>
      <c r="P1727">
        <v>15</v>
      </c>
      <c r="Q1727">
        <v>1</v>
      </c>
      <c r="R1727">
        <v>57</v>
      </c>
      <c r="S1727" s="2">
        <v>40403</v>
      </c>
      <c r="T1727" s="2">
        <v>41053</v>
      </c>
      <c r="U1727" s="2">
        <v>43822</v>
      </c>
      <c r="V1727" s="2">
        <v>43557</v>
      </c>
    </row>
    <row r="1728" spans="1:22" x14ac:dyDescent="0.2">
      <c r="A1728" t="str">
        <f>"364.3 BEN"</f>
        <v>364.3 BEN</v>
      </c>
      <c r="B1728" t="str">
        <f>"Unfair: the new science of criminal inju"</f>
        <v>Unfair: the new science of criminal inju</v>
      </c>
      <c r="C1728">
        <v>328043</v>
      </c>
      <c r="D1728" t="str">
        <f>"Benforado, Adam"</f>
        <v>Benforado, Adam</v>
      </c>
      <c r="F1728" t="str">
        <f>"289 p."</f>
        <v>289 p.</v>
      </c>
      <c r="G1728" s="1">
        <v>15</v>
      </c>
      <c r="H1728">
        <v>2015</v>
      </c>
      <c r="I1728" t="str">
        <f t="shared" si="64"/>
        <v>9: 300 - 399</v>
      </c>
      <c r="K1728" t="str">
        <f>"WB - In"</f>
        <v>WB - In</v>
      </c>
      <c r="L1728" s="1">
        <v>31</v>
      </c>
      <c r="M1728" t="s">
        <v>1621</v>
      </c>
      <c r="O1728" t="s">
        <v>28</v>
      </c>
      <c r="P1728">
        <v>2</v>
      </c>
      <c r="Q1728">
        <v>0</v>
      </c>
      <c r="R1728">
        <v>7</v>
      </c>
      <c r="S1728" s="2">
        <v>42172</v>
      </c>
      <c r="T1728" s="2">
        <v>42366</v>
      </c>
      <c r="U1728" s="2">
        <v>43352</v>
      </c>
    </row>
    <row r="1729" spans="1:22" x14ac:dyDescent="0.2">
      <c r="A1729" t="str">
        <f>"364.3 ROT"</f>
        <v>364.3 ROT</v>
      </c>
      <c r="B1729" t="str">
        <f>"Insane: America's criminal treatment of "</f>
        <v xml:space="preserve">Insane: America's criminal treatment of </v>
      </c>
      <c r="C1729">
        <v>348480</v>
      </c>
      <c r="D1729" t="str">
        <f>"Roth, Alisa"</f>
        <v>Roth, Alisa</v>
      </c>
      <c r="F1729" t="str">
        <f>"vi, 312 pages, 25 cm"</f>
        <v>vi, 312 pages, 25 cm</v>
      </c>
      <c r="G1729" s="1">
        <v>18</v>
      </c>
      <c r="H1729">
        <v>2018</v>
      </c>
      <c r="I1729" t="str">
        <f t="shared" si="64"/>
        <v>9: 300 - 399</v>
      </c>
      <c r="K1729" t="str">
        <f>"WB - In"</f>
        <v>WB - In</v>
      </c>
      <c r="L1729" s="1">
        <v>33</v>
      </c>
      <c r="M1729" t="s">
        <v>1622</v>
      </c>
      <c r="O1729" t="s">
        <v>28</v>
      </c>
      <c r="P1729">
        <v>2</v>
      </c>
      <c r="Q1729">
        <v>0</v>
      </c>
      <c r="R1729">
        <v>2</v>
      </c>
      <c r="S1729" s="2">
        <v>43283</v>
      </c>
      <c r="T1729" s="2">
        <v>43558</v>
      </c>
      <c r="U1729" s="2">
        <v>43384</v>
      </c>
    </row>
    <row r="1730" spans="1:22" x14ac:dyDescent="0.2">
      <c r="A1730" t="str">
        <f>"364.4 LEE"</f>
        <v>364.4 LEE</v>
      </c>
      <c r="B1730" t="str">
        <f>"Preventing credit card fraud: a complete"</f>
        <v>Preventing credit card fraud: a complete</v>
      </c>
      <c r="C1730">
        <v>340974</v>
      </c>
      <c r="D1730" t="str">
        <f>"Lee, Jen Grondahl"</f>
        <v>Lee, Jen Grondahl</v>
      </c>
      <c r="F1730" t="str">
        <f>"231 p."</f>
        <v>231 p.</v>
      </c>
      <c r="G1730" s="1">
        <v>17</v>
      </c>
      <c r="H1730">
        <v>2016</v>
      </c>
      <c r="I1730" t="str">
        <f t="shared" si="64"/>
        <v>9: 300 - 399</v>
      </c>
      <c r="K1730" t="str">
        <f>"WB - In"</f>
        <v>WB - In</v>
      </c>
      <c r="L1730" s="1">
        <v>41</v>
      </c>
      <c r="M1730" t="s">
        <v>1623</v>
      </c>
      <c r="O1730" t="s">
        <v>28</v>
      </c>
      <c r="P1730">
        <v>1</v>
      </c>
      <c r="Q1730">
        <v>0</v>
      </c>
      <c r="R1730">
        <v>1</v>
      </c>
      <c r="S1730" s="2">
        <v>42849</v>
      </c>
      <c r="T1730" s="2">
        <v>42857</v>
      </c>
      <c r="U1730" s="2">
        <v>43257</v>
      </c>
    </row>
    <row r="1731" spans="1:22" x14ac:dyDescent="0.2">
      <c r="A1731" t="str">
        <f>"364.6 AND"</f>
        <v>364.6 AND</v>
      </c>
      <c r="B1731" t="str">
        <f>"There is a balm in Huntsville: a true st"</f>
        <v>There is a balm in Huntsville: a true st</v>
      </c>
      <c r="C1731">
        <v>355459</v>
      </c>
      <c r="D1731" t="str">
        <f>"Anderson, T. Carlos,"</f>
        <v>Anderson, T. Carlos,</v>
      </c>
      <c r="F1731" t="str">
        <f>"320 pages, 22 cm"</f>
        <v>320 pages, 22 cm</v>
      </c>
      <c r="G1731" s="1">
        <v>19</v>
      </c>
      <c r="H1731">
        <v>2019</v>
      </c>
      <c r="I1731" t="str">
        <f t="shared" si="64"/>
        <v>9: 300 - 399</v>
      </c>
      <c r="K1731" t="str">
        <f>"WB - In"</f>
        <v>WB - In</v>
      </c>
      <c r="L1731" s="1">
        <v>20</v>
      </c>
      <c r="M1731" t="s">
        <v>1624</v>
      </c>
      <c r="O1731" t="s">
        <v>28</v>
      </c>
      <c r="P1731">
        <v>3</v>
      </c>
      <c r="Q1731">
        <v>0</v>
      </c>
      <c r="R1731">
        <v>3</v>
      </c>
      <c r="S1731" s="2">
        <v>43628</v>
      </c>
      <c r="T1731" s="2">
        <v>43782</v>
      </c>
      <c r="U1731" s="2">
        <v>43694</v>
      </c>
    </row>
    <row r="1732" spans="1:22" x14ac:dyDescent="0.2">
      <c r="A1732" t="str">
        <f>"364.6 BEA"</f>
        <v>364.6 BEA</v>
      </c>
      <c r="B1732" t="str">
        <f>"Without mercy: the stunning true story o"</f>
        <v>Without mercy: the stunning true story o</v>
      </c>
      <c r="C1732">
        <v>319656</v>
      </c>
      <c r="D1732" t="str">
        <f>"Beasley, David,"</f>
        <v>Beasley, David,</v>
      </c>
      <c r="F1732" t="str">
        <f>"x, 276 pages, 22 cm, illustrations"</f>
        <v>x, 276 pages, 22 cm, illustrations</v>
      </c>
      <c r="G1732" s="1">
        <v>14</v>
      </c>
      <c r="H1732">
        <v>2014</v>
      </c>
      <c r="I1732" t="str">
        <f t="shared" si="64"/>
        <v>9: 300 - 399</v>
      </c>
      <c r="K1732" t="str">
        <f>"LL - In"</f>
        <v>LL - In</v>
      </c>
      <c r="L1732" s="1">
        <v>32</v>
      </c>
      <c r="M1732" t="s">
        <v>1625</v>
      </c>
      <c r="O1732" t="s">
        <v>28</v>
      </c>
      <c r="P1732">
        <v>1</v>
      </c>
      <c r="Q1732">
        <v>2</v>
      </c>
      <c r="R1732">
        <v>6</v>
      </c>
      <c r="S1732" s="2">
        <v>41676</v>
      </c>
      <c r="T1732" s="2">
        <v>41753</v>
      </c>
      <c r="U1732" s="2">
        <v>43223</v>
      </c>
      <c r="V1732" s="2">
        <v>43684</v>
      </c>
    </row>
    <row r="1733" spans="1:22" x14ac:dyDescent="0.2">
      <c r="A1733" t="str">
        <f>"365 BAU"</f>
        <v>365 BAU</v>
      </c>
      <c r="B1733" t="str">
        <f>"American prison: a reporter's undercover"</f>
        <v>American prison: a reporter's undercover</v>
      </c>
      <c r="C1733">
        <v>350290</v>
      </c>
      <c r="D1733" t="str">
        <f>"Bauer, Shane"</f>
        <v>Bauer, Shane</v>
      </c>
      <c r="F1733" t="str">
        <f>"351 pages, 16 unnumbered pages of plates, 25 cm, illustrations, map"</f>
        <v>351 pages, 16 unnumbered pages of plates, 25 cm, illustrations, map</v>
      </c>
      <c r="G1733" s="1">
        <v>18</v>
      </c>
      <c r="H1733">
        <v>2018</v>
      </c>
      <c r="I1733" t="str">
        <f t="shared" si="64"/>
        <v>9: 300 - 399</v>
      </c>
      <c r="K1733" t="str">
        <f>"LL - In"</f>
        <v>LL - In</v>
      </c>
      <c r="L1733" s="1">
        <v>33</v>
      </c>
      <c r="M1733" t="s">
        <v>1626</v>
      </c>
      <c r="O1733" t="s">
        <v>28</v>
      </c>
      <c r="P1733">
        <v>10</v>
      </c>
      <c r="Q1733">
        <v>0</v>
      </c>
      <c r="R1733">
        <v>10</v>
      </c>
      <c r="S1733" s="2">
        <v>43375</v>
      </c>
      <c r="T1733" s="2">
        <v>43573</v>
      </c>
      <c r="U1733" s="2">
        <v>43683</v>
      </c>
    </row>
    <row r="1734" spans="1:22" x14ac:dyDescent="0.2">
      <c r="A1734" t="str">
        <f>"365 BRO"</f>
        <v>365 BRO</v>
      </c>
      <c r="B1734" t="str">
        <f>"maximum security book club: reading lite"</f>
        <v>maximum security book club: reading lite</v>
      </c>
      <c r="C1734">
        <v>336017</v>
      </c>
      <c r="D1734" t="str">
        <f>"Brottman, Mikita,"</f>
        <v>Brottman, Mikita,</v>
      </c>
      <c r="F1734" t="str">
        <f>"xxix, 230 pages, 24 cm, illustrations"</f>
        <v>xxix, 230 pages, 24 cm, illustrations</v>
      </c>
      <c r="G1734" s="1">
        <v>16</v>
      </c>
      <c r="H1734">
        <v>2016</v>
      </c>
      <c r="I1734" t="str">
        <f t="shared" si="64"/>
        <v>9: 300 - 399</v>
      </c>
      <c r="K1734" t="str">
        <f>"WB - In"</f>
        <v>WB - In</v>
      </c>
      <c r="L1734" s="1">
        <v>32</v>
      </c>
      <c r="M1734" t="s">
        <v>1627</v>
      </c>
      <c r="O1734" t="s">
        <v>28</v>
      </c>
      <c r="P1734">
        <v>0</v>
      </c>
      <c r="Q1734">
        <v>0</v>
      </c>
      <c r="R1734">
        <v>7</v>
      </c>
      <c r="S1734" s="2">
        <v>42557</v>
      </c>
      <c r="T1734" s="2">
        <v>42704</v>
      </c>
      <c r="U1734" s="2">
        <v>42684</v>
      </c>
      <c r="V1734" s="2">
        <v>42632</v>
      </c>
    </row>
    <row r="1735" spans="1:22" x14ac:dyDescent="0.2">
      <c r="A1735" t="str">
        <f>"365 DRE"</f>
        <v>365 DRE</v>
      </c>
      <c r="B1735" t="str">
        <f>"Incarceration nations: a journey to just"</f>
        <v>Incarceration nations: a journey to just</v>
      </c>
      <c r="C1735">
        <v>333673</v>
      </c>
      <c r="D1735" t="str">
        <f>"Dreisinger, Baz,"</f>
        <v>Dreisinger, Baz,</v>
      </c>
      <c r="F1735" t="str">
        <f>"325 pages, 24 cm"</f>
        <v>325 pages, 24 cm</v>
      </c>
      <c r="G1735" s="1">
        <v>16</v>
      </c>
      <c r="H1735">
        <v>2016</v>
      </c>
      <c r="I1735" t="str">
        <f t="shared" si="64"/>
        <v>9: 300 - 399</v>
      </c>
      <c r="K1735" t="str">
        <f>"LL - In"</f>
        <v>LL - In</v>
      </c>
      <c r="L1735" s="1">
        <v>33</v>
      </c>
      <c r="M1735" t="s">
        <v>1628</v>
      </c>
      <c r="O1735" t="s">
        <v>28</v>
      </c>
      <c r="P1735">
        <v>0</v>
      </c>
      <c r="Q1735">
        <v>0</v>
      </c>
      <c r="R1735">
        <v>4</v>
      </c>
      <c r="S1735" s="2">
        <v>42437</v>
      </c>
      <c r="T1735" s="2">
        <v>42681</v>
      </c>
      <c r="U1735" s="2">
        <v>42633</v>
      </c>
    </row>
    <row r="1736" spans="1:22" x14ac:dyDescent="0.2">
      <c r="A1736" t="str">
        <f>"365 FOR"</f>
        <v>365 FOR</v>
      </c>
      <c r="B1736" t="str">
        <f>"Locking up our own: crime and punishment"</f>
        <v>Locking up our own: crime and punishment</v>
      </c>
      <c r="C1736">
        <v>341963</v>
      </c>
      <c r="D1736" t="str">
        <f>"Forman, James,"</f>
        <v>Forman, James,</v>
      </c>
      <c r="F1736" t="str">
        <f>"306 pages, 24 cm, illustrations"</f>
        <v>306 pages, 24 cm, illustrations</v>
      </c>
      <c r="G1736" s="1">
        <v>17</v>
      </c>
      <c r="H1736">
        <v>2017</v>
      </c>
      <c r="I1736" t="str">
        <f t="shared" ref="I1736:I1799" si="65">"9: 300 - 399"</f>
        <v>9: 300 - 399</v>
      </c>
      <c r="K1736" t="str">
        <f>"WB - In"</f>
        <v>WB - In</v>
      </c>
      <c r="L1736" s="1">
        <v>32</v>
      </c>
      <c r="M1736" t="s">
        <v>1629</v>
      </c>
      <c r="O1736" t="s">
        <v>28</v>
      </c>
      <c r="P1736">
        <v>9</v>
      </c>
      <c r="Q1736">
        <v>0</v>
      </c>
      <c r="R1736">
        <v>9</v>
      </c>
      <c r="S1736" s="2">
        <v>42905</v>
      </c>
      <c r="T1736" s="2">
        <v>43089</v>
      </c>
      <c r="U1736" s="2">
        <v>43635</v>
      </c>
    </row>
    <row r="1737" spans="1:22" x14ac:dyDescent="0.2">
      <c r="A1737" t="str">
        <f>"365 HAR"</f>
        <v>365 HAR</v>
      </c>
      <c r="B1737" t="str">
        <f>"Letters to an incarcerated brother: enco"</f>
        <v>Letters to an incarcerated brother: enco</v>
      </c>
      <c r="C1737">
        <v>317989</v>
      </c>
      <c r="D1737" t="str">
        <f>"Harper, Hill,"</f>
        <v>Harper, Hill,</v>
      </c>
      <c r="F1737" t="str">
        <f>"pages cm"</f>
        <v>pages cm</v>
      </c>
      <c r="G1737" s="1">
        <v>13</v>
      </c>
      <c r="H1737">
        <v>2013</v>
      </c>
      <c r="I1737" t="str">
        <f t="shared" si="65"/>
        <v>9: 300 - 399</v>
      </c>
      <c r="K1737" t="str">
        <f>"WB - In"</f>
        <v>WB - In</v>
      </c>
      <c r="L1737" s="1">
        <v>33</v>
      </c>
      <c r="M1737" t="s">
        <v>1630</v>
      </c>
      <c r="O1737" t="s">
        <v>28</v>
      </c>
      <c r="P1737">
        <v>0</v>
      </c>
      <c r="Q1737">
        <v>0</v>
      </c>
      <c r="R1737">
        <v>3</v>
      </c>
      <c r="S1737" s="2">
        <v>41591</v>
      </c>
      <c r="T1737" s="2">
        <v>41731</v>
      </c>
      <c r="U1737" s="2">
        <v>42486</v>
      </c>
    </row>
    <row r="1738" spans="1:22" x14ac:dyDescent="0.2">
      <c r="A1738" t="str">
        <f>"365 KAR"</f>
        <v>365 KAR</v>
      </c>
      <c r="B1738" t="str">
        <f>"College in prison: reading in an age of "</f>
        <v xml:space="preserve">College in prison: reading in an age of </v>
      </c>
      <c r="C1738">
        <v>348678</v>
      </c>
      <c r="D1738" t="str">
        <f>"Karpowitz, Daniel"</f>
        <v>Karpowitz, Daniel</v>
      </c>
      <c r="F1738" t="str">
        <f>"xxii, 208 pages, 23 cm"</f>
        <v>xxii, 208 pages, 23 cm</v>
      </c>
      <c r="G1738" s="1">
        <v>18</v>
      </c>
      <c r="H1738">
        <v>2017</v>
      </c>
      <c r="I1738" t="str">
        <f t="shared" si="65"/>
        <v>9: 300 - 399</v>
      </c>
      <c r="K1738" t="str">
        <f>"WB - In"</f>
        <v>WB - In</v>
      </c>
      <c r="L1738" s="1">
        <v>30</v>
      </c>
      <c r="M1738" t="s">
        <v>1631</v>
      </c>
      <c r="O1738" t="s">
        <v>28</v>
      </c>
      <c r="P1738">
        <v>1</v>
      </c>
      <c r="Q1738">
        <v>1</v>
      </c>
      <c r="R1738">
        <v>2</v>
      </c>
      <c r="S1738" s="2">
        <v>43292</v>
      </c>
      <c r="T1738" s="2">
        <v>43453</v>
      </c>
      <c r="U1738" s="2">
        <v>43391</v>
      </c>
      <c r="V1738" s="2">
        <v>43704</v>
      </c>
    </row>
    <row r="1739" spans="1:22" x14ac:dyDescent="0.2">
      <c r="A1739" t="str">
        <f>"365 MAU"</f>
        <v>365 MAU</v>
      </c>
      <c r="B1739" t="str">
        <f>"meaning of life: the case for abolishing"</f>
        <v>meaning of life: the case for abolishing</v>
      </c>
      <c r="C1739">
        <v>353883</v>
      </c>
      <c r="D1739" t="str">
        <f>"Mauer, Marc"</f>
        <v>Mauer, Marc</v>
      </c>
      <c r="F1739" t="str">
        <f>"xii, 204 pages, 22 cm, illustrations"</f>
        <v>xii, 204 pages, 22 cm, illustrations</v>
      </c>
      <c r="G1739" s="1">
        <v>19</v>
      </c>
      <c r="H1739">
        <v>2018</v>
      </c>
      <c r="I1739" t="str">
        <f t="shared" si="65"/>
        <v>9: 300 - 399</v>
      </c>
      <c r="K1739" t="str">
        <f>"WB - In"</f>
        <v>WB - In</v>
      </c>
      <c r="L1739" s="1">
        <v>31</v>
      </c>
      <c r="M1739" t="s">
        <v>1632</v>
      </c>
      <c r="O1739" t="s">
        <v>28</v>
      </c>
      <c r="P1739">
        <v>1</v>
      </c>
      <c r="Q1739">
        <v>1</v>
      </c>
      <c r="R1739">
        <v>2</v>
      </c>
      <c r="S1739" s="2">
        <v>43556</v>
      </c>
      <c r="T1739" s="2">
        <v>43712</v>
      </c>
      <c r="U1739" s="2">
        <v>43674</v>
      </c>
      <c r="V1739" s="2">
        <v>43603</v>
      </c>
    </row>
    <row r="1740" spans="1:22" x14ac:dyDescent="0.2">
      <c r="A1740" t="str">
        <f>"365 PFA"</f>
        <v>365 PFA</v>
      </c>
      <c r="B1740" t="str">
        <f>"Locked in: the true causes of mass incar"</f>
        <v>Locked in: the true causes of mass incar</v>
      </c>
      <c r="C1740">
        <v>340100</v>
      </c>
      <c r="D1740" t="str">
        <f>"Pfaff, John F."</f>
        <v>Pfaff, John F.</v>
      </c>
      <c r="F1740" t="str">
        <f>"viii, 311 pages, 25 cm, illustrations"</f>
        <v>viii, 311 pages, 25 cm, illustrations</v>
      </c>
      <c r="G1740" s="1">
        <v>17</v>
      </c>
      <c r="H1740">
        <v>2017</v>
      </c>
      <c r="I1740" t="str">
        <f t="shared" si="65"/>
        <v>9: 300 - 399</v>
      </c>
      <c r="K1740" t="str">
        <f>"WB - In"</f>
        <v>WB - In</v>
      </c>
      <c r="L1740" s="1">
        <v>33</v>
      </c>
      <c r="M1740" t="s">
        <v>1633</v>
      </c>
      <c r="O1740" t="s">
        <v>28</v>
      </c>
      <c r="P1740">
        <v>6</v>
      </c>
      <c r="Q1740">
        <v>0</v>
      </c>
      <c r="R1740">
        <v>6</v>
      </c>
      <c r="S1740" s="2">
        <v>42800</v>
      </c>
      <c r="T1740" s="2">
        <v>43026</v>
      </c>
      <c r="U1740" s="2">
        <v>43423</v>
      </c>
    </row>
    <row r="1741" spans="1:22" x14ac:dyDescent="0.2">
      <c r="A1741" t="str">
        <f>"365 SOL"</f>
        <v>365 SOL</v>
      </c>
      <c r="B1741" t="str">
        <f>"Gulag Archipelago, 1918-1956: an experim"</f>
        <v>Gulag Archipelago, 1918-1956: an experim</v>
      </c>
      <c r="C1741">
        <v>347465</v>
      </c>
      <c r="D1741" t="str">
        <f>"Solzhenitsyn, Aleksandr Isaevich"</f>
        <v>Solzhenitsyn, Aleksandr Isaevich</v>
      </c>
      <c r="E1741" t="str">
        <f>"Harper Perennial Modern Classics"</f>
        <v>Harper Perennial Modern Classics</v>
      </c>
      <c r="F1741" t="str">
        <f>"xxii, 472, 24 p., 21 cm, ill., maps"</f>
        <v>xxii, 472, 24 p., 21 cm, ill., maps</v>
      </c>
      <c r="G1741" s="1">
        <v>18</v>
      </c>
      <c r="H1741">
        <v>2007</v>
      </c>
      <c r="I1741" t="str">
        <f t="shared" si="65"/>
        <v>9: 300 - 399</v>
      </c>
      <c r="K1741" t="str">
        <f>"LL - In"</f>
        <v>LL - In</v>
      </c>
      <c r="L1741" s="1">
        <v>24</v>
      </c>
      <c r="M1741" t="s">
        <v>1634</v>
      </c>
      <c r="O1741" t="s">
        <v>28</v>
      </c>
      <c r="P1741">
        <v>5</v>
      </c>
      <c r="Q1741">
        <v>1</v>
      </c>
      <c r="R1741">
        <v>6</v>
      </c>
      <c r="S1741" s="2">
        <v>43221</v>
      </c>
      <c r="T1741" s="2">
        <v>43228</v>
      </c>
      <c r="U1741" s="2">
        <v>43525</v>
      </c>
      <c r="V1741" s="2">
        <v>43772</v>
      </c>
    </row>
    <row r="1742" spans="1:22" x14ac:dyDescent="0.2">
      <c r="A1742" t="str">
        <f>"365 THO"</f>
        <v>365 THO</v>
      </c>
      <c r="B1742" t="str">
        <f>"Blood in the water: the Attica prison up"</f>
        <v>Blood in the water: the Attica prison up</v>
      </c>
      <c r="C1742">
        <v>337548</v>
      </c>
      <c r="D1742" t="str">
        <f>"Thompson, Heather Ann,"</f>
        <v>Thompson, Heather Ann,</v>
      </c>
      <c r="F1742" t="str">
        <f>"xvii, 724 pages, 25 cm, illustrations, map"</f>
        <v>xvii, 724 pages, 25 cm, illustrations, map</v>
      </c>
      <c r="G1742" s="1">
        <v>16</v>
      </c>
      <c r="H1742">
        <v>2016</v>
      </c>
      <c r="I1742" t="str">
        <f t="shared" si="65"/>
        <v>9: 300 - 399</v>
      </c>
      <c r="K1742" t="str">
        <f>"WB - In"</f>
        <v>WB - In</v>
      </c>
      <c r="L1742" s="1">
        <v>40</v>
      </c>
      <c r="M1742" t="s">
        <v>1635</v>
      </c>
      <c r="O1742" t="s">
        <v>28</v>
      </c>
      <c r="P1742">
        <v>0</v>
      </c>
      <c r="Q1742">
        <v>0</v>
      </c>
      <c r="R1742">
        <v>3</v>
      </c>
      <c r="S1742" s="2">
        <v>42639</v>
      </c>
      <c r="T1742" s="2">
        <v>42774</v>
      </c>
      <c r="U1742" s="2">
        <v>42742</v>
      </c>
    </row>
    <row r="1743" spans="1:22" x14ac:dyDescent="0.2">
      <c r="A1743" t="str">
        <f>"368.4 ALI"</f>
        <v>368.4 ALI</v>
      </c>
      <c r="B1743" t="str">
        <f>"pocket guide to Obamacare: your healthca"</f>
        <v>pocket guide to Obamacare: your healthca</v>
      </c>
      <c r="C1743">
        <v>274232</v>
      </c>
      <c r="D1743" t="str">
        <f>"Ali, Arif"</f>
        <v>Ali, Arif</v>
      </c>
      <c r="F1743" t="str">
        <f>"72 p."</f>
        <v>72 p.</v>
      </c>
      <c r="G1743" s="1">
        <v>14</v>
      </c>
      <c r="H1743">
        <v>2013</v>
      </c>
      <c r="I1743" t="str">
        <f t="shared" si="65"/>
        <v>9: 300 - 399</v>
      </c>
      <c r="K1743" t="str">
        <f>"WB - In"</f>
        <v>WB - In</v>
      </c>
      <c r="L1743" s="1">
        <v>10</v>
      </c>
      <c r="O1743" t="s">
        <v>28</v>
      </c>
      <c r="P1743">
        <v>0</v>
      </c>
      <c r="Q1743">
        <v>0</v>
      </c>
      <c r="R1743">
        <v>2</v>
      </c>
      <c r="S1743" s="2">
        <v>41793</v>
      </c>
      <c r="T1743" s="2">
        <v>41800</v>
      </c>
      <c r="U1743" s="2">
        <v>41957</v>
      </c>
    </row>
    <row r="1744" spans="1:22" x14ac:dyDescent="0.2">
      <c r="A1744" t="str">
        <f>"368.4 ALT"</f>
        <v>368.4 ALT</v>
      </c>
      <c r="B1744" t="str">
        <f>"truth about social security: the founder"</f>
        <v>truth about social security: the founder</v>
      </c>
      <c r="C1744">
        <v>351949</v>
      </c>
      <c r="D1744" t="str">
        <f>"Altman, Nancy J."</f>
        <v>Altman, Nancy J.</v>
      </c>
      <c r="F1744" t="str">
        <f>"335 p."</f>
        <v>335 p.</v>
      </c>
      <c r="G1744" s="1">
        <v>18</v>
      </c>
      <c r="H1744">
        <v>2018</v>
      </c>
      <c r="I1744" t="str">
        <f t="shared" si="65"/>
        <v>9: 300 - 399</v>
      </c>
      <c r="K1744" t="str">
        <f>"WB - In"</f>
        <v>WB - In</v>
      </c>
      <c r="L1744" s="1">
        <v>20</v>
      </c>
      <c r="M1744" t="s">
        <v>1636</v>
      </c>
      <c r="O1744" t="s">
        <v>28</v>
      </c>
      <c r="P1744">
        <v>0</v>
      </c>
      <c r="Q1744">
        <v>0</v>
      </c>
      <c r="R1744">
        <v>0</v>
      </c>
      <c r="S1744" s="2">
        <v>43452</v>
      </c>
      <c r="T1744" s="2">
        <v>43472</v>
      </c>
    </row>
    <row r="1745" spans="1:22" x14ac:dyDescent="0.2">
      <c r="A1745" t="str">
        <f>"368.4 BAR"</f>
        <v>368.4 BAR</v>
      </c>
      <c r="B1745" t="s">
        <v>1637</v>
      </c>
      <c r="C1745">
        <v>349195</v>
      </c>
      <c r="D1745" t="str">
        <f>"Barry, Patricia"</f>
        <v>Barry, Patricia</v>
      </c>
      <c r="E1745" t="str">
        <f>"For Dummies series"</f>
        <v>For Dummies series</v>
      </c>
      <c r="F1745" t="str">
        <f>"xiii, 416 pages, 23 cm"</f>
        <v>xiii, 416 pages, 23 cm</v>
      </c>
      <c r="G1745" s="1">
        <v>18</v>
      </c>
      <c r="H1745">
        <v>2018</v>
      </c>
      <c r="I1745" t="str">
        <f t="shared" si="65"/>
        <v>9: 300 - 399</v>
      </c>
      <c r="K1745" t="str">
        <f>"WB - Reserve Cart"</f>
        <v>WB - Reserve Cart</v>
      </c>
      <c r="L1745" s="1">
        <v>28</v>
      </c>
      <c r="M1745" t="s">
        <v>1638</v>
      </c>
      <c r="O1745" t="s">
        <v>28</v>
      </c>
      <c r="P1745">
        <v>2</v>
      </c>
      <c r="Q1745">
        <v>0</v>
      </c>
      <c r="R1745">
        <v>2</v>
      </c>
      <c r="S1745" s="2">
        <v>43320</v>
      </c>
      <c r="T1745" s="2">
        <v>43325</v>
      </c>
      <c r="U1745" s="2">
        <v>43342</v>
      </c>
    </row>
    <row r="1746" spans="1:22" x14ac:dyDescent="0.2">
      <c r="A1746" t="str">
        <f>"368.4 KOT"</f>
        <v>368.4 KOT</v>
      </c>
      <c r="B1746" t="str">
        <f>"Get what's yours: the secrets to maxing "</f>
        <v xml:space="preserve">Get what's yours: the secrets to maxing </v>
      </c>
      <c r="C1746">
        <v>335133</v>
      </c>
      <c r="D1746" t="str">
        <f>"Kotlikoff, Laurence J."</f>
        <v>Kotlikoff, Laurence J.</v>
      </c>
      <c r="F1746" t="str">
        <f>"371 pages, 22 cm, illustrations"</f>
        <v>371 pages, 22 cm, illustrations</v>
      </c>
      <c r="G1746" s="1">
        <v>16</v>
      </c>
      <c r="H1746">
        <v>2016</v>
      </c>
      <c r="I1746" t="str">
        <f t="shared" si="65"/>
        <v>9: 300 - 399</v>
      </c>
      <c r="K1746" t="str">
        <f>"LL - In"</f>
        <v>LL - In</v>
      </c>
      <c r="L1746" s="1">
        <v>25</v>
      </c>
      <c r="M1746" t="s">
        <v>1639</v>
      </c>
      <c r="O1746" t="s">
        <v>28</v>
      </c>
      <c r="P1746">
        <v>16</v>
      </c>
      <c r="Q1746">
        <v>1</v>
      </c>
      <c r="R1746">
        <v>20</v>
      </c>
      <c r="S1746" s="2">
        <v>42506</v>
      </c>
      <c r="T1746" s="2">
        <v>42514</v>
      </c>
      <c r="U1746" s="2">
        <v>43727</v>
      </c>
      <c r="V1746" s="2">
        <v>42959</v>
      </c>
    </row>
    <row r="1747" spans="1:22" x14ac:dyDescent="0.2">
      <c r="A1747" t="str">
        <f>"368.4 MAT"</f>
        <v>368.4 MAT</v>
      </c>
      <c r="B1747" t="str">
        <f>"Social security, Medicare &amp; government p"</f>
        <v>Social security, Medicare &amp; government p</v>
      </c>
      <c r="C1747">
        <v>358565</v>
      </c>
      <c r="D1747" t="str">
        <f>"Matthews, J. L.,"</f>
        <v>Matthews, J. L.,</v>
      </c>
      <c r="F1747" t="str">
        <f>"483 pages, 23 cm"</f>
        <v>483 pages, 23 cm</v>
      </c>
      <c r="G1747" s="1">
        <v>19</v>
      </c>
      <c r="H1747">
        <v>2019</v>
      </c>
      <c r="I1747" t="str">
        <f t="shared" si="65"/>
        <v>9: 300 - 399</v>
      </c>
      <c r="K1747" t="str">
        <f>"WB - Out"</f>
        <v>WB - Out</v>
      </c>
      <c r="L1747" s="1">
        <v>35</v>
      </c>
      <c r="M1747" t="s">
        <v>1640</v>
      </c>
      <c r="O1747" t="s">
        <v>28</v>
      </c>
      <c r="P1747">
        <v>1</v>
      </c>
      <c r="Q1747">
        <v>0</v>
      </c>
      <c r="R1747">
        <v>1</v>
      </c>
      <c r="S1747" s="2">
        <v>43756</v>
      </c>
      <c r="T1747" s="2">
        <v>43819</v>
      </c>
      <c r="U1747" s="2">
        <v>43838</v>
      </c>
    </row>
    <row r="1748" spans="1:22" x14ac:dyDescent="0.2">
      <c r="A1748" t="str">
        <f>"368.4 MAT"</f>
        <v>368.4 MAT</v>
      </c>
      <c r="B1748" t="str">
        <f>"Social security, Medicare &amp; government p"</f>
        <v>Social security, Medicare &amp; government p</v>
      </c>
      <c r="C1748">
        <v>348652</v>
      </c>
      <c r="D1748" t="str">
        <f>"Matthews, Joseph L."</f>
        <v>Matthews, Joseph L.</v>
      </c>
      <c r="F1748" t="str">
        <f>"483 pages, 23 cm"</f>
        <v>483 pages, 23 cm</v>
      </c>
      <c r="G1748" s="1">
        <v>18</v>
      </c>
      <c r="H1748">
        <v>2017</v>
      </c>
      <c r="I1748" t="str">
        <f t="shared" si="65"/>
        <v>9: 300 - 399</v>
      </c>
      <c r="K1748" t="str">
        <f>"LL - In"</f>
        <v>LL - In</v>
      </c>
      <c r="L1748" s="1">
        <v>35</v>
      </c>
      <c r="M1748" t="s">
        <v>1641</v>
      </c>
      <c r="O1748" t="s">
        <v>28</v>
      </c>
      <c r="P1748">
        <v>3</v>
      </c>
      <c r="Q1748">
        <v>0</v>
      </c>
      <c r="R1748">
        <v>3</v>
      </c>
      <c r="S1748" s="2">
        <v>43292</v>
      </c>
      <c r="T1748" s="2">
        <v>43307</v>
      </c>
      <c r="U1748" s="2">
        <v>43549</v>
      </c>
    </row>
    <row r="1749" spans="1:22" x14ac:dyDescent="0.2">
      <c r="A1749" t="str">
        <f>"368.4 MOE"</f>
        <v>368.4 MOE</v>
      </c>
      <c r="B1749" t="str">
        <f>"Get what's yours for Medicare: maximize "</f>
        <v xml:space="preserve">Get what's yours for Medicare: maximize </v>
      </c>
      <c r="C1749">
        <v>338556</v>
      </c>
      <c r="D1749" t="str">
        <f>"Moeller, Philip"</f>
        <v>Moeller, Philip</v>
      </c>
      <c r="F1749" t="str">
        <f>"291 pages, 22 cm, illustrations"</f>
        <v>291 pages, 22 cm, illustrations</v>
      </c>
      <c r="G1749" s="1">
        <v>16</v>
      </c>
      <c r="H1749">
        <v>2016</v>
      </c>
      <c r="I1749" t="str">
        <f t="shared" si="65"/>
        <v>9: 300 - 399</v>
      </c>
      <c r="K1749" t="str">
        <f>"WB - In"</f>
        <v>WB - In</v>
      </c>
      <c r="L1749" s="1">
        <v>25</v>
      </c>
      <c r="M1749" t="s">
        <v>1642</v>
      </c>
      <c r="O1749" t="s">
        <v>28</v>
      </c>
      <c r="P1749">
        <v>10</v>
      </c>
      <c r="Q1749">
        <v>0</v>
      </c>
      <c r="R1749">
        <v>11</v>
      </c>
      <c r="S1749" s="2">
        <v>42702</v>
      </c>
      <c r="T1749" s="2">
        <v>42710</v>
      </c>
      <c r="U1749" s="2">
        <v>43633</v>
      </c>
    </row>
    <row r="1750" spans="1:22" x14ac:dyDescent="0.2">
      <c r="A1750" t="str">
        <f>"368.4 PAR"</f>
        <v>368.4 PAR</v>
      </c>
      <c r="B1750" t="str">
        <f>"self-pay patient: affordable healthcare "</f>
        <v xml:space="preserve">self-pay patient: affordable healthcare </v>
      </c>
      <c r="C1750">
        <v>273259</v>
      </c>
      <c r="D1750" t="str">
        <f>"Parnell, Sean"</f>
        <v>Parnell, Sean</v>
      </c>
      <c r="F1750" t="str">
        <f>"123 p."</f>
        <v>123 p.</v>
      </c>
      <c r="G1750" s="1">
        <v>14</v>
      </c>
      <c r="H1750">
        <v>2014</v>
      </c>
      <c r="I1750" t="str">
        <f t="shared" si="65"/>
        <v>9: 300 - 399</v>
      </c>
      <c r="K1750" t="str">
        <f>"WB - In"</f>
        <v>WB - In</v>
      </c>
      <c r="L1750" s="1">
        <v>15</v>
      </c>
      <c r="M1750" t="s">
        <v>1643</v>
      </c>
      <c r="O1750" t="s">
        <v>28</v>
      </c>
      <c r="P1750">
        <v>1</v>
      </c>
      <c r="Q1750">
        <v>1</v>
      </c>
      <c r="R1750">
        <v>9</v>
      </c>
      <c r="S1750" s="2">
        <v>41751</v>
      </c>
      <c r="T1750" s="2">
        <v>41758</v>
      </c>
      <c r="U1750" s="2">
        <v>42944</v>
      </c>
      <c r="V1750" s="2">
        <v>43264</v>
      </c>
    </row>
    <row r="1751" spans="1:22" x14ac:dyDescent="0.2">
      <c r="A1751" t="str">
        <f>"368.4 PET"</f>
        <v>368.4 PET</v>
      </c>
      <c r="B1751" t="str">
        <f>"Social security"</f>
        <v>Social security</v>
      </c>
      <c r="C1751">
        <v>348395</v>
      </c>
      <c r="D1751" t="str">
        <f>"Peterson, Jonathan"</f>
        <v>Peterson, Jonathan</v>
      </c>
      <c r="E1751" t="str">
        <f>"For Dummies series"</f>
        <v>For Dummies series</v>
      </c>
      <c r="F1751" t="str">
        <f>"xii, 318 pages, 24 cm"</f>
        <v>xii, 318 pages, 24 cm</v>
      </c>
      <c r="G1751" s="1">
        <v>18</v>
      </c>
      <c r="H1751">
        <v>2018</v>
      </c>
      <c r="I1751" t="str">
        <f t="shared" si="65"/>
        <v>9: 300 - 399</v>
      </c>
      <c r="K1751" t="str">
        <f>"LL - In"</f>
        <v>LL - In</v>
      </c>
      <c r="L1751" s="1">
        <v>28</v>
      </c>
      <c r="M1751" t="s">
        <v>1644</v>
      </c>
      <c r="O1751" t="s">
        <v>28</v>
      </c>
      <c r="P1751">
        <v>3</v>
      </c>
      <c r="Q1751">
        <v>0</v>
      </c>
      <c r="R1751">
        <v>3</v>
      </c>
      <c r="S1751" s="2">
        <v>43276</v>
      </c>
      <c r="T1751" s="2">
        <v>43298</v>
      </c>
      <c r="U1751" s="2">
        <v>43510</v>
      </c>
    </row>
    <row r="1752" spans="1:22" x14ac:dyDescent="0.2">
      <c r="A1752" t="str">
        <f>"368.4 PIP"</f>
        <v>368.4 PIP</v>
      </c>
      <c r="B1752" t="str">
        <f>"Social security made simple: social secu"</f>
        <v>Social security made simple: social secu</v>
      </c>
      <c r="C1752">
        <v>348790</v>
      </c>
      <c r="D1752" t="str">
        <f>"Piper, Mike"</f>
        <v>Piper, Mike</v>
      </c>
      <c r="F1752" t="str">
        <f>"iii, 109 pages, 20 cm"</f>
        <v>iii, 109 pages, 20 cm</v>
      </c>
      <c r="G1752" s="1">
        <v>18</v>
      </c>
      <c r="H1752">
        <v>2017</v>
      </c>
      <c r="I1752" t="str">
        <f t="shared" si="65"/>
        <v>9: 300 - 399</v>
      </c>
      <c r="K1752" t="str">
        <f>"WB - In"</f>
        <v>WB - In</v>
      </c>
      <c r="L1752" s="1">
        <v>20</v>
      </c>
      <c r="M1752" t="s">
        <v>1645</v>
      </c>
      <c r="O1752" t="s">
        <v>28</v>
      </c>
      <c r="P1752">
        <v>3</v>
      </c>
      <c r="Q1752">
        <v>0</v>
      </c>
      <c r="R1752">
        <v>3</v>
      </c>
      <c r="S1752" s="2">
        <v>43299</v>
      </c>
      <c r="T1752" s="2">
        <v>43307</v>
      </c>
      <c r="U1752" s="2">
        <v>43661</v>
      </c>
    </row>
    <row r="1753" spans="1:22" x14ac:dyDescent="0.2">
      <c r="A1753" t="str">
        <f>"368.4 SCO"</f>
        <v>368.4 SCO</v>
      </c>
      <c r="B1753" t="str">
        <f>"Medicaid and long term care handbook: th"</f>
        <v>Medicaid and long term care handbook: th</v>
      </c>
      <c r="C1753">
        <v>354376</v>
      </c>
      <c r="D1753" t="str">
        <f>"Scott, Sean W."</f>
        <v>Scott, Sean W.</v>
      </c>
      <c r="F1753" t="str">
        <f>"var paging"</f>
        <v>var paging</v>
      </c>
      <c r="G1753" s="1">
        <v>19</v>
      </c>
      <c r="H1753">
        <v>2010</v>
      </c>
      <c r="I1753" t="str">
        <f t="shared" si="65"/>
        <v>9: 300 - 399</v>
      </c>
      <c r="K1753" t="str">
        <f>"LL - Out"</f>
        <v>LL - Out</v>
      </c>
      <c r="L1753" s="1">
        <v>25</v>
      </c>
      <c r="M1753" t="s">
        <v>1646</v>
      </c>
      <c r="O1753" t="s">
        <v>28</v>
      </c>
      <c r="P1753">
        <v>1</v>
      </c>
      <c r="Q1753">
        <v>0</v>
      </c>
      <c r="R1753">
        <v>1</v>
      </c>
      <c r="S1753" s="2">
        <v>43577</v>
      </c>
      <c r="T1753" s="2">
        <v>43630</v>
      </c>
      <c r="U1753" s="2">
        <v>43859</v>
      </c>
    </row>
    <row r="1754" spans="1:22" x14ac:dyDescent="0.2">
      <c r="A1754" t="str">
        <f>"368.4 SOC"</f>
        <v>368.4 SOC</v>
      </c>
      <c r="B1754" t="str">
        <f>"Social Security handbook: overview of So"</f>
        <v>Social Security handbook: overview of So</v>
      </c>
      <c r="C1754">
        <v>351946</v>
      </c>
      <c r="F1754" t="str">
        <f>"vii, 705 pages, 23 cm"</f>
        <v>vii, 705 pages, 23 cm</v>
      </c>
      <c r="G1754" s="1">
        <v>18</v>
      </c>
      <c r="H1754">
        <v>2018</v>
      </c>
      <c r="I1754" t="str">
        <f t="shared" si="65"/>
        <v>9: 300 - 399</v>
      </c>
      <c r="K1754" t="str">
        <f>"LL - In"</f>
        <v>LL - In</v>
      </c>
      <c r="L1754" s="1">
        <v>83</v>
      </c>
      <c r="M1754" t="s">
        <v>1647</v>
      </c>
      <c r="O1754" t="s">
        <v>28</v>
      </c>
      <c r="P1754">
        <v>2</v>
      </c>
      <c r="Q1754">
        <v>1</v>
      </c>
      <c r="R1754">
        <v>3</v>
      </c>
      <c r="S1754" s="2">
        <v>43452</v>
      </c>
      <c r="T1754" s="2">
        <v>43472</v>
      </c>
      <c r="U1754" s="2">
        <v>43531</v>
      </c>
      <c r="V1754" s="2">
        <v>43627</v>
      </c>
    </row>
    <row r="1755" spans="1:22" x14ac:dyDescent="0.2">
      <c r="A1755" t="str">
        <f>"369.463 CHR"</f>
        <v>369.463 CHR</v>
      </c>
      <c r="B1755" t="str">
        <f>"Girl Scouts: a celebration of 100 trailb"</f>
        <v>Girl Scouts: a celebration of 100 trailb</v>
      </c>
      <c r="C1755">
        <v>251444</v>
      </c>
      <c r="D1755" t="str">
        <f>"Christiansen, Betty."</f>
        <v>Christiansen, Betty.</v>
      </c>
      <c r="F1755" t="str">
        <f>"223 p., 28 cm., ill."</f>
        <v>223 p., 28 cm., ill.</v>
      </c>
      <c r="G1755" s="1">
        <v>11</v>
      </c>
      <c r="H1755">
        <v>2011</v>
      </c>
      <c r="I1755" t="str">
        <f t="shared" si="65"/>
        <v>9: 300 - 399</v>
      </c>
      <c r="K1755" t="str">
        <f>"LL - In"</f>
        <v>LL - In</v>
      </c>
      <c r="L1755" s="1">
        <v>35</v>
      </c>
      <c r="M1755" t="s">
        <v>1648</v>
      </c>
      <c r="O1755" t="s">
        <v>28</v>
      </c>
      <c r="P1755">
        <v>0</v>
      </c>
      <c r="Q1755">
        <v>0</v>
      </c>
      <c r="R1755">
        <v>6</v>
      </c>
      <c r="S1755" s="2">
        <v>40815</v>
      </c>
      <c r="T1755" s="2">
        <v>41053</v>
      </c>
      <c r="U1755" s="2">
        <v>42476</v>
      </c>
    </row>
    <row r="1756" spans="1:22" x14ac:dyDescent="0.2">
      <c r="A1756" t="str">
        <f>"369.463 CLO"</f>
        <v>369.463 CLO</v>
      </c>
      <c r="B1756" t="str">
        <f>"Tough cookies: leadership lessons from 1"</f>
        <v>Tough cookies: leadership lessons from 1</v>
      </c>
      <c r="C1756">
        <v>326594</v>
      </c>
      <c r="D1756" t="str">
        <f>"Cloninger, Kathy."</f>
        <v>Cloninger, Kathy.</v>
      </c>
      <c r="F1756" t="str">
        <f>"ix, 181 p., 23 cm, ill."</f>
        <v>ix, 181 p., 23 cm, ill.</v>
      </c>
      <c r="G1756" s="1">
        <v>15</v>
      </c>
      <c r="H1756">
        <v>2011</v>
      </c>
      <c r="I1756" t="str">
        <f t="shared" si="65"/>
        <v>9: 300 - 399</v>
      </c>
      <c r="K1756" t="str">
        <f>"WB - In"</f>
        <v>WB - In</v>
      </c>
      <c r="L1756" s="1">
        <v>30</v>
      </c>
      <c r="M1756" t="s">
        <v>1649</v>
      </c>
      <c r="O1756" t="s">
        <v>28</v>
      </c>
      <c r="P1756">
        <v>3</v>
      </c>
      <c r="Q1756">
        <v>0</v>
      </c>
      <c r="R1756">
        <v>6</v>
      </c>
      <c r="S1756" s="2">
        <v>42080</v>
      </c>
      <c r="T1756" s="2">
        <v>42081</v>
      </c>
      <c r="U1756" s="2">
        <v>43377</v>
      </c>
    </row>
    <row r="1757" spans="1:22" x14ac:dyDescent="0.2">
      <c r="A1757" t="str">
        <f>"370.11 FRE"</f>
        <v>370.11 FRE</v>
      </c>
      <c r="B1757" t="str">
        <f>"Pedagogy of the oppressed"</f>
        <v>Pedagogy of the oppressed</v>
      </c>
      <c r="C1757">
        <v>345191</v>
      </c>
      <c r="D1757" t="str">
        <f>"Freire, Paulo,"</f>
        <v>Freire, Paulo,</v>
      </c>
      <c r="F1757" t="str">
        <f>"183 p., 24 cm"</f>
        <v>183 p., 24 cm</v>
      </c>
      <c r="G1757" s="1">
        <v>17</v>
      </c>
      <c r="H1757">
        <v>2000</v>
      </c>
      <c r="I1757" t="str">
        <f t="shared" si="65"/>
        <v>9: 300 - 399</v>
      </c>
      <c r="K1757" t="str">
        <f>"WB - In"</f>
        <v>WB - In</v>
      </c>
      <c r="L1757" s="1">
        <v>33</v>
      </c>
      <c r="M1757" t="s">
        <v>1650</v>
      </c>
      <c r="O1757" t="s">
        <v>28</v>
      </c>
      <c r="P1757">
        <v>4</v>
      </c>
      <c r="Q1757">
        <v>1</v>
      </c>
      <c r="R1757">
        <v>5</v>
      </c>
      <c r="S1757" s="2">
        <v>43087</v>
      </c>
      <c r="T1757" s="2">
        <v>43123</v>
      </c>
      <c r="U1757" s="2">
        <v>43274</v>
      </c>
      <c r="V1757" s="2">
        <v>43230</v>
      </c>
    </row>
    <row r="1758" spans="1:22" x14ac:dyDescent="0.2">
      <c r="A1758" t="str">
        <f>"370.11 HAW"</f>
        <v>370.11 HAW</v>
      </c>
      <c r="B1758" t="str">
        <f>"MindUp curriculum: brain-focused strateg"</f>
        <v>MindUp curriculum: brain-focused strateg</v>
      </c>
      <c r="C1758">
        <v>283813</v>
      </c>
      <c r="F1758" t="str">
        <f>"160 p., 28 cm., ill., 1 poster"</f>
        <v>160 p., 28 cm., ill., 1 poster</v>
      </c>
      <c r="G1758" s="1">
        <v>15</v>
      </c>
      <c r="H1758">
        <v>2011</v>
      </c>
      <c r="I1758" t="str">
        <f t="shared" si="65"/>
        <v>9: 300 - 399</v>
      </c>
      <c r="K1758" t="str">
        <f>"WB - In"</f>
        <v>WB - In</v>
      </c>
      <c r="L1758" s="1">
        <v>30</v>
      </c>
      <c r="M1758" t="s">
        <v>1651</v>
      </c>
      <c r="O1758" t="s">
        <v>28</v>
      </c>
      <c r="P1758">
        <v>2</v>
      </c>
      <c r="Q1758">
        <v>1</v>
      </c>
      <c r="R1758">
        <v>6</v>
      </c>
      <c r="S1758" s="2">
        <v>42266</v>
      </c>
      <c r="T1758" s="2">
        <v>42276</v>
      </c>
      <c r="U1758" s="2">
        <v>43563</v>
      </c>
      <c r="V1758" s="2">
        <v>43012</v>
      </c>
    </row>
    <row r="1759" spans="1:22" x14ac:dyDescent="0.2">
      <c r="A1759" t="str">
        <f>"370.11 HAW"</f>
        <v>370.11 HAW</v>
      </c>
      <c r="B1759" t="str">
        <f>"MindUp curriculum: brain-focused strateg"</f>
        <v>MindUp curriculum: brain-focused strateg</v>
      </c>
      <c r="C1759">
        <v>282094</v>
      </c>
      <c r="F1759" t="str">
        <f>"160 p., 28 cm., ill., 1 poster"</f>
        <v>160 p., 28 cm., ill., 1 poster</v>
      </c>
      <c r="G1759" s="1">
        <v>15</v>
      </c>
      <c r="H1759">
        <v>2011</v>
      </c>
      <c r="I1759" t="str">
        <f t="shared" si="65"/>
        <v>9: 300 - 399</v>
      </c>
      <c r="K1759" t="str">
        <f>"LL - In"</f>
        <v>LL - In</v>
      </c>
      <c r="L1759" s="1">
        <v>30</v>
      </c>
      <c r="M1759" t="s">
        <v>1652</v>
      </c>
      <c r="O1759" t="s">
        <v>28</v>
      </c>
      <c r="P1759">
        <v>2</v>
      </c>
      <c r="Q1759">
        <v>2</v>
      </c>
      <c r="R1759">
        <v>5</v>
      </c>
      <c r="S1759" s="2">
        <v>42267</v>
      </c>
      <c r="T1759" s="2">
        <v>42290</v>
      </c>
      <c r="U1759" s="2">
        <v>43190</v>
      </c>
      <c r="V1759" s="2">
        <v>43740</v>
      </c>
    </row>
    <row r="1760" spans="1:22" x14ac:dyDescent="0.2">
      <c r="A1760" t="str">
        <f>"370.11 HOO"</f>
        <v>370.11 HOO</v>
      </c>
      <c r="B1760" t="str">
        <f>"Teaching to transgress: education as the"</f>
        <v>Teaching to transgress: education as the</v>
      </c>
      <c r="C1760">
        <v>345216</v>
      </c>
      <c r="D1760" t="str">
        <f>"Hooks, bell"</f>
        <v>Hooks, bell</v>
      </c>
      <c r="F1760" t="str">
        <f>"216 p., 24 cm"</f>
        <v>216 p., 24 cm</v>
      </c>
      <c r="G1760" s="1">
        <v>17</v>
      </c>
      <c r="H1760">
        <v>1994</v>
      </c>
      <c r="I1760" t="str">
        <f t="shared" si="65"/>
        <v>9: 300 - 399</v>
      </c>
      <c r="K1760" t="str">
        <f>"LL - Out"</f>
        <v>LL - Out</v>
      </c>
      <c r="L1760" s="1">
        <v>42</v>
      </c>
      <c r="M1760" t="s">
        <v>1653</v>
      </c>
      <c r="O1760" t="s">
        <v>28</v>
      </c>
      <c r="P1760">
        <v>3</v>
      </c>
      <c r="Q1760">
        <v>7</v>
      </c>
      <c r="R1760">
        <v>10</v>
      </c>
      <c r="S1760" s="2">
        <v>43089</v>
      </c>
      <c r="T1760" s="2">
        <v>43108</v>
      </c>
      <c r="U1760" s="2">
        <v>43822</v>
      </c>
      <c r="V1760" s="2">
        <v>43558</v>
      </c>
    </row>
    <row r="1761" spans="1:22" x14ac:dyDescent="0.2">
      <c r="A1761" t="str">
        <f>"370.11 JAC"</f>
        <v>370.11 JAC</v>
      </c>
      <c r="B1761" t="str">
        <f>"privileged poor: how elite colleges are "</f>
        <v xml:space="preserve">privileged poor: how elite colleges are </v>
      </c>
      <c r="C1761">
        <v>356673</v>
      </c>
      <c r="D1761" t="str">
        <f>"Jack, Anthony Abraham,"</f>
        <v>Jack, Anthony Abraham,</v>
      </c>
      <c r="F1761" t="str">
        <f>"276 p., 22 cm, illustrations"</f>
        <v>276 p., 22 cm, illustrations</v>
      </c>
      <c r="G1761" s="1">
        <v>19</v>
      </c>
      <c r="H1761">
        <v>2019</v>
      </c>
      <c r="I1761" t="str">
        <f t="shared" si="65"/>
        <v>9: 300 - 399</v>
      </c>
      <c r="K1761" t="str">
        <f>"LL - In"</f>
        <v>LL - In</v>
      </c>
      <c r="L1761" s="1">
        <v>33</v>
      </c>
      <c r="M1761" t="s">
        <v>1654</v>
      </c>
      <c r="O1761" t="s">
        <v>28</v>
      </c>
      <c r="P1761">
        <v>3</v>
      </c>
      <c r="Q1761">
        <v>0</v>
      </c>
      <c r="R1761">
        <v>3</v>
      </c>
      <c r="S1761" s="2">
        <v>43689</v>
      </c>
      <c r="T1761" s="2">
        <v>43852</v>
      </c>
      <c r="U1761" s="2">
        <v>43793</v>
      </c>
    </row>
    <row r="1762" spans="1:22" x14ac:dyDescent="0.2">
      <c r="A1762" t="str">
        <f>"370.11 MAC"</f>
        <v>370.11 MAC</v>
      </c>
      <c r="B1762" t="str">
        <f>"diversity delusion: how race and gender "</f>
        <v xml:space="preserve">diversity delusion: how race and gender </v>
      </c>
      <c r="C1762">
        <v>350819</v>
      </c>
      <c r="D1762" t="str">
        <f>"Mac Donald, Heather"</f>
        <v>Mac Donald, Heather</v>
      </c>
      <c r="F1762" t="str">
        <f>"vi, 278 pages, 25 cm"</f>
        <v>vi, 278 pages, 25 cm</v>
      </c>
      <c r="G1762" s="1">
        <v>18</v>
      </c>
      <c r="H1762">
        <v>2018</v>
      </c>
      <c r="I1762" t="str">
        <f t="shared" si="65"/>
        <v>9: 300 - 399</v>
      </c>
      <c r="K1762" t="str">
        <f>"LL - In"</f>
        <v>LL - In</v>
      </c>
      <c r="L1762" s="1">
        <v>34</v>
      </c>
      <c r="M1762" t="s">
        <v>1655</v>
      </c>
      <c r="O1762" t="s">
        <v>28</v>
      </c>
      <c r="P1762">
        <v>8</v>
      </c>
      <c r="Q1762">
        <v>0</v>
      </c>
      <c r="R1762">
        <v>8</v>
      </c>
      <c r="S1762" s="2">
        <v>43396</v>
      </c>
      <c r="T1762" s="2">
        <v>43593</v>
      </c>
      <c r="U1762" s="2">
        <v>43813</v>
      </c>
    </row>
    <row r="1763" spans="1:22" x14ac:dyDescent="0.2">
      <c r="A1763" t="str">
        <f>"370.11 SCH"</f>
        <v>370.11 SCH</v>
      </c>
      <c r="B1763" t="str">
        <f>"I wish for change: unleashing the power "</f>
        <v xml:space="preserve">I wish for change: unleashing the power </v>
      </c>
      <c r="C1763">
        <v>356285</v>
      </c>
      <c r="D1763" t="str">
        <f>"Schwartz, Kyle"</f>
        <v>Schwartz, Kyle</v>
      </c>
      <c r="F1763" t="str">
        <f>"214 p."</f>
        <v>214 p.</v>
      </c>
      <c r="G1763" s="1">
        <v>19</v>
      </c>
      <c r="H1763">
        <v>2019</v>
      </c>
      <c r="I1763" t="str">
        <f t="shared" si="65"/>
        <v>9: 300 - 399</v>
      </c>
      <c r="K1763" t="str">
        <f>"LL - In"</f>
        <v>LL - In</v>
      </c>
      <c r="L1763" s="1">
        <v>25</v>
      </c>
      <c r="M1763" t="s">
        <v>1656</v>
      </c>
      <c r="O1763" t="s">
        <v>28</v>
      </c>
      <c r="P1763">
        <v>0</v>
      </c>
      <c r="Q1763">
        <v>2</v>
      </c>
      <c r="R1763">
        <v>2</v>
      </c>
      <c r="S1763" s="2">
        <v>43661</v>
      </c>
      <c r="T1763" s="2">
        <v>43700</v>
      </c>
      <c r="V1763" s="2">
        <v>43740</v>
      </c>
    </row>
    <row r="1764" spans="1:22" x14ac:dyDescent="0.2">
      <c r="A1764" t="str">
        <f>"370.11 SCH"</f>
        <v>370.11 SCH</v>
      </c>
      <c r="B1764" t="str">
        <f>"I wish my teacher knew: how one question"</f>
        <v>I wish my teacher knew: how one question</v>
      </c>
      <c r="C1764">
        <v>336727</v>
      </c>
      <c r="D1764" t="str">
        <f>"Schwartz, Kyle"</f>
        <v>Schwartz, Kyle</v>
      </c>
      <c r="F1764" t="str">
        <f>"viii, 259 pages, 22 cm, illustrations"</f>
        <v>viii, 259 pages, 22 cm, illustrations</v>
      </c>
      <c r="G1764" s="1">
        <v>16</v>
      </c>
      <c r="H1764">
        <v>2016</v>
      </c>
      <c r="I1764" t="str">
        <f t="shared" si="65"/>
        <v>9: 300 - 399</v>
      </c>
      <c r="K1764" t="str">
        <f>"WB - In"</f>
        <v>WB - In</v>
      </c>
      <c r="L1764" s="1">
        <v>25</v>
      </c>
      <c r="M1764" t="s">
        <v>1657</v>
      </c>
      <c r="O1764" t="s">
        <v>28</v>
      </c>
      <c r="P1764">
        <v>2</v>
      </c>
      <c r="Q1764">
        <v>0</v>
      </c>
      <c r="R1764">
        <v>8</v>
      </c>
      <c r="S1764" s="2">
        <v>42591</v>
      </c>
      <c r="T1764" s="2">
        <v>42774</v>
      </c>
      <c r="U1764" s="2">
        <v>43311</v>
      </c>
    </row>
    <row r="1765" spans="1:22" x14ac:dyDescent="0.2">
      <c r="A1765" t="str">
        <f>"370.11 THO"</f>
        <v>370.11 THO</v>
      </c>
      <c r="B1765" t="str">
        <f>"newcomers: finding refuge, friendship, a"</f>
        <v>newcomers: finding refuge, friendship, a</v>
      </c>
      <c r="C1765">
        <v>345464</v>
      </c>
      <c r="D1765" t="str">
        <f>"Thorpe, Helen,"</f>
        <v>Thorpe, Helen,</v>
      </c>
      <c r="F1765" t="str">
        <f>"xv, 396 pages, 24 cm"</f>
        <v>xv, 396 pages, 24 cm</v>
      </c>
      <c r="G1765" s="1">
        <v>18</v>
      </c>
      <c r="H1765">
        <v>2017</v>
      </c>
      <c r="I1765" t="str">
        <f t="shared" si="65"/>
        <v>9: 300 - 399</v>
      </c>
      <c r="K1765" t="str">
        <f>"LL - In"</f>
        <v>LL - In</v>
      </c>
      <c r="L1765" s="1">
        <v>33</v>
      </c>
      <c r="M1765" t="s">
        <v>1658</v>
      </c>
      <c r="O1765" t="s">
        <v>28</v>
      </c>
      <c r="P1765">
        <v>11</v>
      </c>
      <c r="Q1765">
        <v>0</v>
      </c>
      <c r="R1765">
        <v>11</v>
      </c>
      <c r="S1765" s="2">
        <v>43103</v>
      </c>
      <c r="T1765" s="2">
        <v>43382</v>
      </c>
      <c r="U1765" s="2">
        <v>43670</v>
      </c>
    </row>
    <row r="1766" spans="1:22" x14ac:dyDescent="0.2">
      <c r="A1766" t="str">
        <f>"370.15 BRO"</f>
        <v>370.15 BRO</v>
      </c>
      <c r="B1766" t="str">
        <f>"Make it stick: the science of successful"</f>
        <v>Make it stick: the science of successful</v>
      </c>
      <c r="C1766">
        <v>335225</v>
      </c>
      <c r="D1766" t="str">
        <f>"Brown, Peter C."</f>
        <v>Brown, Peter C.</v>
      </c>
      <c r="F1766" t="str">
        <f>"xi, 313 pages, 21 cm"</f>
        <v>xi, 313 pages, 21 cm</v>
      </c>
      <c r="G1766" s="1">
        <v>16</v>
      </c>
      <c r="H1766">
        <v>2014</v>
      </c>
      <c r="I1766" t="str">
        <f t="shared" si="65"/>
        <v>9: 300 - 399</v>
      </c>
      <c r="K1766" t="str">
        <f>"LL - In"</f>
        <v>LL - In</v>
      </c>
      <c r="L1766" s="1">
        <v>33</v>
      </c>
      <c r="M1766" t="s">
        <v>1659</v>
      </c>
      <c r="O1766" t="s">
        <v>28</v>
      </c>
      <c r="P1766">
        <v>13</v>
      </c>
      <c r="Q1766">
        <v>0</v>
      </c>
      <c r="R1766">
        <v>20</v>
      </c>
      <c r="S1766" s="2">
        <v>42513</v>
      </c>
      <c r="T1766" s="2">
        <v>42677</v>
      </c>
      <c r="U1766" s="2">
        <v>43822</v>
      </c>
    </row>
    <row r="1767" spans="1:22" x14ac:dyDescent="0.2">
      <c r="A1767" t="str">
        <f>"370.15 GOP"</f>
        <v>370.15 GOP</v>
      </c>
      <c r="B1767" t="str">
        <f>"scientist in the crib: what early learni"</f>
        <v>scientist in the crib: what early learni</v>
      </c>
      <c r="C1767">
        <v>402328</v>
      </c>
      <c r="D1767" t="str">
        <f>"Gopnik, Alison"</f>
        <v>Gopnik, Alison</v>
      </c>
      <c r="F1767" t="str">
        <f>"xv, 279 p., 21 cm"</f>
        <v>xv, 279 p., 21 cm</v>
      </c>
      <c r="G1767" s="1">
        <v>18</v>
      </c>
      <c r="H1767">
        <v>2001</v>
      </c>
      <c r="I1767" t="str">
        <f t="shared" si="65"/>
        <v>9: 300 - 399</v>
      </c>
      <c r="K1767" t="str">
        <f>"WB - In"</f>
        <v>WB - In</v>
      </c>
      <c r="L1767" s="1">
        <v>20</v>
      </c>
      <c r="M1767" t="s">
        <v>1660</v>
      </c>
      <c r="O1767" t="s">
        <v>28</v>
      </c>
      <c r="P1767">
        <v>1</v>
      </c>
      <c r="Q1767">
        <v>0</v>
      </c>
      <c r="R1767">
        <v>1</v>
      </c>
      <c r="S1767" s="2">
        <v>43306</v>
      </c>
      <c r="T1767" s="2">
        <v>43311</v>
      </c>
      <c r="U1767" s="2">
        <v>43487</v>
      </c>
    </row>
    <row r="1768" spans="1:22" x14ac:dyDescent="0.2">
      <c r="A1768" t="str">
        <f>"370.15 GUR"</f>
        <v>370.15 GUR</v>
      </c>
      <c r="B1768" t="str">
        <f>"Boys and girls learn differently: a guid"</f>
        <v>Boys and girls learn differently: a guid</v>
      </c>
      <c r="C1768">
        <v>103642</v>
      </c>
      <c r="D1768" t="str">
        <f>"Gurian, Michael"</f>
        <v>Gurian, Michael</v>
      </c>
      <c r="F1768" t="str">
        <f>"xvi, 345 p., 24 cm."</f>
        <v>xvi, 345 p., 24 cm.</v>
      </c>
      <c r="G1768" s="1">
        <v>1</v>
      </c>
      <c r="H1768">
        <v>2001</v>
      </c>
      <c r="I1768" t="str">
        <f t="shared" si="65"/>
        <v>9: 300 - 399</v>
      </c>
      <c r="K1768" t="str">
        <f>"WB - In"</f>
        <v>WB - In</v>
      </c>
      <c r="L1768" s="1">
        <v>30</v>
      </c>
      <c r="M1768" t="s">
        <v>1661</v>
      </c>
      <c r="O1768" t="s">
        <v>28</v>
      </c>
      <c r="P1768">
        <v>1</v>
      </c>
      <c r="Q1768">
        <v>1</v>
      </c>
      <c r="R1768">
        <v>63</v>
      </c>
      <c r="S1768" s="2">
        <v>37020</v>
      </c>
      <c r="T1768" s="2">
        <v>41053</v>
      </c>
      <c r="U1768" s="2">
        <v>43157</v>
      </c>
      <c r="V1768" s="2">
        <v>43138</v>
      </c>
    </row>
    <row r="1769" spans="1:22" x14ac:dyDescent="0.2">
      <c r="A1769" t="str">
        <f>"370.15 GUR"</f>
        <v>370.15 GUR</v>
      </c>
      <c r="B1769" t="str">
        <f>"Boys and girls learn differently!: a gui"</f>
        <v>Boys and girls learn differently!: a gui</v>
      </c>
      <c r="C1769">
        <v>346676</v>
      </c>
      <c r="D1769" t="str">
        <f>"Gurian, Michael"</f>
        <v>Gurian, Michael</v>
      </c>
      <c r="F1769" t="str">
        <f>"xvi, 380 p., 23 cm"</f>
        <v>xvi, 380 p., 23 cm</v>
      </c>
      <c r="G1769" s="1">
        <v>18</v>
      </c>
      <c r="H1769">
        <v>2011</v>
      </c>
      <c r="I1769" t="str">
        <f t="shared" si="65"/>
        <v>9: 300 - 399</v>
      </c>
      <c r="K1769" t="str">
        <f>"WB - In"</f>
        <v>WB - In</v>
      </c>
      <c r="L1769" s="1">
        <v>24</v>
      </c>
      <c r="M1769" t="s">
        <v>1662</v>
      </c>
      <c r="O1769" t="s">
        <v>28</v>
      </c>
      <c r="P1769">
        <v>2</v>
      </c>
      <c r="Q1769">
        <v>0</v>
      </c>
      <c r="R1769">
        <v>2</v>
      </c>
      <c r="S1769" s="2">
        <v>43171</v>
      </c>
      <c r="T1769" s="2">
        <v>43179</v>
      </c>
      <c r="U1769" s="2">
        <v>43696</v>
      </c>
    </row>
    <row r="1770" spans="1:22" x14ac:dyDescent="0.2">
      <c r="A1770" t="str">
        <f>"370.15 HAL"</f>
        <v>370.15 HAL</v>
      </c>
      <c r="B1770" t="str">
        <f>"Social skills for kids: over 75 fun game"</f>
        <v>Social skills for kids: over 75 fun game</v>
      </c>
      <c r="C1770">
        <v>351555</v>
      </c>
      <c r="D1770" t="str">
        <f>"Halloran, Janine."</f>
        <v>Halloran, Janine.</v>
      </c>
      <c r="F1770" t="str">
        <f>"187 p."</f>
        <v>187 p.</v>
      </c>
      <c r="G1770" s="1">
        <v>18</v>
      </c>
      <c r="H1770">
        <v>2018</v>
      </c>
      <c r="I1770" t="str">
        <f t="shared" si="65"/>
        <v>9: 300 - 399</v>
      </c>
      <c r="K1770" t="str">
        <f>"LL - Out"</f>
        <v>LL - Out</v>
      </c>
      <c r="L1770" s="1">
        <v>30</v>
      </c>
      <c r="M1770" t="s">
        <v>1663</v>
      </c>
      <c r="O1770" t="s">
        <v>28</v>
      </c>
      <c r="P1770">
        <v>3</v>
      </c>
      <c r="Q1770">
        <v>0</v>
      </c>
      <c r="R1770">
        <v>3</v>
      </c>
      <c r="S1770" s="2">
        <v>43431</v>
      </c>
      <c r="T1770" s="2">
        <v>43446</v>
      </c>
      <c r="U1770" s="2">
        <v>43754</v>
      </c>
    </row>
    <row r="1771" spans="1:22" x14ac:dyDescent="0.2">
      <c r="A1771" t="str">
        <f>"370.15 HOL"</f>
        <v>370.15 HOL</v>
      </c>
      <c r="B1771" t="str">
        <f>"How children learn"</f>
        <v>How children learn</v>
      </c>
      <c r="C1771">
        <v>346803</v>
      </c>
      <c r="D1771" t="str">
        <f>"Holt, John Caldwell,"</f>
        <v>Holt, John Caldwell,</v>
      </c>
      <c r="F1771" t="str">
        <f>"xvi, 303 pages, 21 cm"</f>
        <v>xvi, 303 pages, 21 cm</v>
      </c>
      <c r="G1771" s="1">
        <v>18</v>
      </c>
      <c r="H1771">
        <v>2017</v>
      </c>
      <c r="I1771" t="str">
        <f t="shared" si="65"/>
        <v>9: 300 - 399</v>
      </c>
      <c r="K1771" t="str">
        <f>"WB - In"</f>
        <v>WB - In</v>
      </c>
      <c r="L1771" s="1">
        <v>22</v>
      </c>
      <c r="M1771" t="s">
        <v>1664</v>
      </c>
      <c r="O1771" t="s">
        <v>28</v>
      </c>
      <c r="P1771">
        <v>2</v>
      </c>
      <c r="Q1771">
        <v>0</v>
      </c>
      <c r="R1771">
        <v>2</v>
      </c>
      <c r="S1771" s="2">
        <v>43179</v>
      </c>
      <c r="T1771" s="2">
        <v>43188</v>
      </c>
      <c r="U1771" s="2">
        <v>43351</v>
      </c>
    </row>
    <row r="1772" spans="1:22" x14ac:dyDescent="0.2">
      <c r="A1772" t="str">
        <f>"370.15 JAM"</f>
        <v>370.15 JAM</v>
      </c>
      <c r="B1772" t="str">
        <f>"Talks to teachers on psychology and to s"</f>
        <v>Talks to teachers on psychology and to s</v>
      </c>
      <c r="C1772">
        <v>356735</v>
      </c>
      <c r="D1772" t="str">
        <f>"James, William"</f>
        <v>James, William</v>
      </c>
      <c r="F1772" t="str">
        <f>"146 p."</f>
        <v>146 p.</v>
      </c>
      <c r="G1772" s="1">
        <v>19</v>
      </c>
      <c r="H1772">
        <v>2008</v>
      </c>
      <c r="I1772" t="str">
        <f t="shared" si="65"/>
        <v>9: 300 - 399</v>
      </c>
      <c r="K1772" t="str">
        <f>"LL - In"</f>
        <v>LL - In</v>
      </c>
      <c r="L1772" s="1">
        <v>22</v>
      </c>
      <c r="M1772" t="s">
        <v>1665</v>
      </c>
      <c r="O1772" t="s">
        <v>28</v>
      </c>
      <c r="P1772">
        <v>0</v>
      </c>
      <c r="Q1772">
        <v>0</v>
      </c>
      <c r="R1772">
        <v>0</v>
      </c>
      <c r="S1772" s="2">
        <v>43683</v>
      </c>
      <c r="T1772" s="2">
        <v>43685</v>
      </c>
    </row>
    <row r="1773" spans="1:22" x14ac:dyDescent="0.2">
      <c r="A1773" t="str">
        <f>"370.15 JOH"</f>
        <v>370.15 JOH</v>
      </c>
      <c r="B1773" t="str">
        <f>"Choice words: how our language affects c"</f>
        <v>Choice words: how our language affects c</v>
      </c>
      <c r="C1773">
        <v>319750</v>
      </c>
      <c r="D1773" t="str">
        <f>"Johnston, Peter H."</f>
        <v>Johnston, Peter H.</v>
      </c>
      <c r="F1773" t="str">
        <f>"xii, 106 p., 23 cm"</f>
        <v>xii, 106 p., 23 cm</v>
      </c>
      <c r="G1773" s="1">
        <v>14</v>
      </c>
      <c r="H1773">
        <v>2004</v>
      </c>
      <c r="I1773" t="str">
        <f t="shared" si="65"/>
        <v>9: 300 - 399</v>
      </c>
      <c r="K1773" t="str">
        <f>"WB - In"</f>
        <v>WB - In</v>
      </c>
      <c r="L1773" s="1">
        <v>18</v>
      </c>
      <c r="M1773" t="s">
        <v>1666</v>
      </c>
      <c r="O1773" t="s">
        <v>28</v>
      </c>
      <c r="P1773">
        <v>5</v>
      </c>
      <c r="Q1773">
        <v>0</v>
      </c>
      <c r="R1773">
        <v>6</v>
      </c>
      <c r="S1773" s="2">
        <v>41688</v>
      </c>
      <c r="T1773" s="2">
        <v>41698</v>
      </c>
      <c r="U1773" s="2">
        <v>43688</v>
      </c>
    </row>
    <row r="1774" spans="1:22" x14ac:dyDescent="0.2">
      <c r="A1774" t="str">
        <f>"370.15 KRA"</f>
        <v>370.15 KRA</v>
      </c>
      <c r="B1774" t="str">
        <f>"Mindful by design: practical lessons for"</f>
        <v>Mindful by design: practical lessons for</v>
      </c>
      <c r="C1774">
        <v>356396</v>
      </c>
      <c r="D1774" t="str">
        <f>"Krause, Caitlin"</f>
        <v>Krause, Caitlin</v>
      </c>
      <c r="F1774" t="str">
        <f>"xi, 209 pages, 25 cm, illustrations"</f>
        <v>xi, 209 pages, 25 cm, illustrations</v>
      </c>
      <c r="G1774" s="1">
        <v>19</v>
      </c>
      <c r="H1774">
        <v>2019</v>
      </c>
      <c r="I1774" t="str">
        <f t="shared" si="65"/>
        <v>9: 300 - 399</v>
      </c>
      <c r="K1774" t="str">
        <f>"WB - In"</f>
        <v>WB - In</v>
      </c>
      <c r="L1774" s="1">
        <v>40</v>
      </c>
      <c r="M1774" t="s">
        <v>1667</v>
      </c>
      <c r="O1774" t="s">
        <v>28</v>
      </c>
      <c r="P1774">
        <v>0</v>
      </c>
      <c r="Q1774">
        <v>0</v>
      </c>
      <c r="R1774">
        <v>0</v>
      </c>
      <c r="S1774" s="2">
        <v>43671</v>
      </c>
      <c r="T1774" s="2">
        <v>43683</v>
      </c>
    </row>
    <row r="1775" spans="1:22" x14ac:dyDescent="0.2">
      <c r="A1775" t="str">
        <f>"370.15 LAN"</f>
        <v>370.15 LAN</v>
      </c>
      <c r="B1775" t="str">
        <f>"Small teaching: everyday lessons from th"</f>
        <v>Small teaching: everyday lessons from th</v>
      </c>
      <c r="C1775">
        <v>343775</v>
      </c>
      <c r="D1775" t="str">
        <f>"Lang, James M."</f>
        <v>Lang, James M.</v>
      </c>
      <c r="F1775" t="str">
        <f>"xi, 259 pages, 24 cm"</f>
        <v>xi, 259 pages, 24 cm</v>
      </c>
      <c r="G1775" s="1">
        <v>17</v>
      </c>
      <c r="H1775">
        <v>2016</v>
      </c>
      <c r="I1775" t="str">
        <f t="shared" si="65"/>
        <v>9: 300 - 399</v>
      </c>
      <c r="K1775" t="str">
        <f>"WB - In"</f>
        <v>WB - In</v>
      </c>
      <c r="L1775" s="1">
        <v>33</v>
      </c>
      <c r="M1775" t="s">
        <v>1668</v>
      </c>
      <c r="O1775" t="s">
        <v>28</v>
      </c>
      <c r="P1775">
        <v>5</v>
      </c>
      <c r="Q1775">
        <v>0</v>
      </c>
      <c r="R1775">
        <v>5</v>
      </c>
      <c r="S1775" s="2">
        <v>43005</v>
      </c>
      <c r="T1775" s="2">
        <v>43012</v>
      </c>
      <c r="U1775" s="2">
        <v>43816</v>
      </c>
    </row>
    <row r="1776" spans="1:22" x14ac:dyDescent="0.2">
      <c r="A1776" t="str">
        <f>"370.15 MCG"</f>
        <v>370.15 MCG</v>
      </c>
      <c r="B1776" t="str">
        <f>"Teach yourself how to learn: strategies "</f>
        <v xml:space="preserve">Teach yourself how to learn: strategies </v>
      </c>
      <c r="C1776">
        <v>359575</v>
      </c>
      <c r="D1776" t="str">
        <f>"McGuire, Saundra Yancy"</f>
        <v>McGuire, Saundra Yancy</v>
      </c>
      <c r="F1776" t="str">
        <f>"xvi, 141 pages, 21 cm"</f>
        <v>xvi, 141 pages, 21 cm</v>
      </c>
      <c r="G1776" s="1">
        <v>19</v>
      </c>
      <c r="H1776">
        <v>2018</v>
      </c>
      <c r="I1776" t="str">
        <f t="shared" si="65"/>
        <v>9: 300 - 399</v>
      </c>
      <c r="K1776" t="str">
        <f>"LL - In"</f>
        <v>LL - In</v>
      </c>
      <c r="L1776" s="1">
        <v>25</v>
      </c>
      <c r="M1776" t="s">
        <v>1669</v>
      </c>
      <c r="O1776" t="s">
        <v>28</v>
      </c>
      <c r="P1776">
        <v>1</v>
      </c>
      <c r="Q1776">
        <v>0</v>
      </c>
      <c r="R1776">
        <v>1</v>
      </c>
      <c r="S1776" s="2">
        <v>43802</v>
      </c>
      <c r="T1776" s="2">
        <v>43812</v>
      </c>
      <c r="U1776" s="2">
        <v>43815</v>
      </c>
    </row>
    <row r="1777" spans="1:22" x14ac:dyDescent="0.2">
      <c r="A1777" t="str">
        <f>"370.15 RES"</f>
        <v>370.15 RES</v>
      </c>
      <c r="B1777" t="str">
        <f>"Lifelong kindergarten: cultivating creat"</f>
        <v>Lifelong kindergarten: cultivating creat</v>
      </c>
      <c r="C1777">
        <v>351288</v>
      </c>
      <c r="D1777" t="str">
        <f>"Resnick, Mitchel."</f>
        <v>Resnick, Mitchel.</v>
      </c>
      <c r="F1777" t="str">
        <f>"182 p."</f>
        <v>182 p.</v>
      </c>
      <c r="G1777" s="1">
        <v>18</v>
      </c>
      <c r="H1777">
        <v>2018</v>
      </c>
      <c r="I1777" t="str">
        <f t="shared" si="65"/>
        <v>9: 300 - 399</v>
      </c>
      <c r="K1777" t="str">
        <f>"LL - In"</f>
        <v>LL - In</v>
      </c>
      <c r="L1777" s="1">
        <v>22</v>
      </c>
      <c r="M1777" t="s">
        <v>1670</v>
      </c>
      <c r="O1777" t="s">
        <v>28</v>
      </c>
      <c r="P1777">
        <v>5</v>
      </c>
      <c r="Q1777">
        <v>0</v>
      </c>
      <c r="R1777">
        <v>5</v>
      </c>
      <c r="S1777" s="2">
        <v>43418</v>
      </c>
      <c r="T1777" s="2">
        <v>43437</v>
      </c>
      <c r="U1777" s="2">
        <v>43722</v>
      </c>
    </row>
    <row r="1778" spans="1:22" x14ac:dyDescent="0.2">
      <c r="A1778" t="str">
        <f>"370.15 RIC"</f>
        <v>370.15 RIC</v>
      </c>
      <c r="B1778" t="str">
        <f>"Mindsets for parents: strategies to enco"</f>
        <v>Mindsets for parents: strategies to enco</v>
      </c>
      <c r="C1778">
        <v>339358</v>
      </c>
      <c r="D1778" t="str">
        <f>"Ricci, Mary Cay,"</f>
        <v>Ricci, Mary Cay,</v>
      </c>
      <c r="F1778" t="str">
        <f>"ix, 168 pages, 23 cm, illustrations"</f>
        <v>ix, 168 pages, 23 cm, illustrations</v>
      </c>
      <c r="G1778" s="1">
        <v>17</v>
      </c>
      <c r="H1778">
        <v>2016</v>
      </c>
      <c r="I1778" t="str">
        <f t="shared" si="65"/>
        <v>9: 300 - 399</v>
      </c>
      <c r="K1778" t="str">
        <f>"LL - In"</f>
        <v>LL - In</v>
      </c>
      <c r="L1778" s="1">
        <v>22</v>
      </c>
      <c r="M1778" t="s">
        <v>1671</v>
      </c>
      <c r="O1778" t="s">
        <v>28</v>
      </c>
      <c r="P1778">
        <v>10</v>
      </c>
      <c r="Q1778">
        <v>3</v>
      </c>
      <c r="R1778">
        <v>13</v>
      </c>
      <c r="S1778" s="2">
        <v>42765</v>
      </c>
      <c r="T1778" s="2">
        <v>42773</v>
      </c>
      <c r="U1778" s="2">
        <v>43700</v>
      </c>
      <c r="V1778" s="2">
        <v>43740</v>
      </c>
    </row>
    <row r="1779" spans="1:22" x14ac:dyDescent="0.2">
      <c r="A1779" t="str">
        <f>"370.15 SCH"</f>
        <v>370.15 SCH</v>
      </c>
      <c r="B1779" t="str">
        <f>"ABCs of how we learn: 26 scientifically "</f>
        <v xml:space="preserve">ABCs of how we learn: 26 scientifically </v>
      </c>
      <c r="C1779">
        <v>338948</v>
      </c>
      <c r="D1779" t="str">
        <f>"Schwartz, Daniel L."</f>
        <v>Schwartz, Daniel L.</v>
      </c>
      <c r="F1779" t="str">
        <f>"xvi, 367 pages, 24 cm, illustrations"</f>
        <v>xvi, 367 pages, 24 cm, illustrations</v>
      </c>
      <c r="G1779" s="1">
        <v>16</v>
      </c>
      <c r="H1779">
        <v>2016</v>
      </c>
      <c r="I1779" t="str">
        <f t="shared" si="65"/>
        <v>9: 300 - 399</v>
      </c>
      <c r="K1779" t="str">
        <f>"WB - In"</f>
        <v>WB - In</v>
      </c>
      <c r="L1779" s="1">
        <v>30</v>
      </c>
      <c r="M1779" t="s">
        <v>1672</v>
      </c>
      <c r="O1779" t="s">
        <v>28</v>
      </c>
      <c r="P1779">
        <v>1</v>
      </c>
      <c r="Q1779">
        <v>0</v>
      </c>
      <c r="R1779">
        <v>2</v>
      </c>
      <c r="S1779" s="2">
        <v>42738</v>
      </c>
      <c r="T1779" s="2">
        <v>42741</v>
      </c>
      <c r="U1779" s="2">
        <v>42821</v>
      </c>
    </row>
    <row r="1780" spans="1:22" x14ac:dyDescent="0.2">
      <c r="A1780" t="str">
        <f>"370.15 SMI"</f>
        <v>370.15 SMI</v>
      </c>
      <c r="B1780" t="str">
        <f>"book of learning and forgetting"</f>
        <v>book of learning and forgetting</v>
      </c>
      <c r="C1780">
        <v>345213</v>
      </c>
      <c r="D1780" t="str">
        <f>"Smith, Frank,"</f>
        <v>Smith, Frank,</v>
      </c>
      <c r="F1780" t="str">
        <f>"viii, 133 p., 23 cm, ill."</f>
        <v>viii, 133 p., 23 cm, ill.</v>
      </c>
      <c r="G1780" s="1">
        <v>17</v>
      </c>
      <c r="H1780">
        <v>1998</v>
      </c>
      <c r="I1780" t="str">
        <f t="shared" si="65"/>
        <v>9: 300 - 399</v>
      </c>
      <c r="K1780" t="str">
        <f>"LL - In"</f>
        <v>LL - In</v>
      </c>
      <c r="L1780" s="1">
        <v>33</v>
      </c>
      <c r="M1780" t="s">
        <v>1673</v>
      </c>
      <c r="O1780" t="s">
        <v>28</v>
      </c>
      <c r="P1780">
        <v>4</v>
      </c>
      <c r="Q1780">
        <v>8</v>
      </c>
      <c r="R1780">
        <v>12</v>
      </c>
      <c r="S1780" s="2">
        <v>43089</v>
      </c>
      <c r="T1780" s="2">
        <v>43108</v>
      </c>
      <c r="U1780" s="2">
        <v>43512</v>
      </c>
      <c r="V1780" s="2">
        <v>43740</v>
      </c>
    </row>
    <row r="1781" spans="1:22" x14ac:dyDescent="0.2">
      <c r="A1781" t="str">
        <f>"370.15 SOU"</f>
        <v>370.15 SOU</v>
      </c>
      <c r="B1781" t="str">
        <f>"How the brain learns"</f>
        <v>How the brain learns</v>
      </c>
      <c r="C1781">
        <v>347040</v>
      </c>
      <c r="D1781" t="str">
        <f>"Sousa, David A."</f>
        <v>Sousa, David A.</v>
      </c>
      <c r="F1781" t="str">
        <f>"xv, 377 pages, 28 cm, illustrations"</f>
        <v>xv, 377 pages, 28 cm, illustrations</v>
      </c>
      <c r="G1781" s="1">
        <v>18</v>
      </c>
      <c r="H1781">
        <v>2017</v>
      </c>
      <c r="I1781" t="str">
        <f t="shared" si="65"/>
        <v>9: 300 - 399</v>
      </c>
      <c r="K1781" t="str">
        <f>"WB - In"</f>
        <v>WB - In</v>
      </c>
      <c r="L1781" s="1">
        <v>45</v>
      </c>
      <c r="M1781" t="s">
        <v>1674</v>
      </c>
      <c r="O1781" t="s">
        <v>28</v>
      </c>
      <c r="P1781">
        <v>4</v>
      </c>
      <c r="Q1781">
        <v>0</v>
      </c>
      <c r="R1781">
        <v>4</v>
      </c>
      <c r="S1781" s="2">
        <v>43192</v>
      </c>
      <c r="T1781" s="2">
        <v>43257</v>
      </c>
      <c r="U1781" s="2">
        <v>43575</v>
      </c>
    </row>
    <row r="1782" spans="1:22" x14ac:dyDescent="0.2">
      <c r="A1782" t="str">
        <f>"370.15 SOU"</f>
        <v>370.15 SOU</v>
      </c>
      <c r="B1782" t="str">
        <f>"How the special needs brain learns"</f>
        <v>How the special needs brain learns</v>
      </c>
      <c r="C1782">
        <v>331136</v>
      </c>
      <c r="D1782" t="str">
        <f>"Sousa, David A."</f>
        <v>Sousa, David A.</v>
      </c>
      <c r="F1782" t="str">
        <f>"xiv, 232 p., 28 cm, ill."</f>
        <v>xiv, 232 p., 28 cm, ill.</v>
      </c>
      <c r="G1782" s="1">
        <v>15</v>
      </c>
      <c r="H1782">
        <v>2007</v>
      </c>
      <c r="I1782" t="str">
        <f t="shared" si="65"/>
        <v>9: 300 - 399</v>
      </c>
      <c r="K1782" t="str">
        <f>"WB - In"</f>
        <v>WB - In</v>
      </c>
      <c r="L1782" s="1">
        <v>44</v>
      </c>
      <c r="M1782" t="s">
        <v>1675</v>
      </c>
      <c r="O1782" t="s">
        <v>28</v>
      </c>
      <c r="P1782">
        <v>4</v>
      </c>
      <c r="Q1782">
        <v>2</v>
      </c>
      <c r="R1782">
        <v>11</v>
      </c>
      <c r="S1782" s="2">
        <v>42303</v>
      </c>
      <c r="T1782" s="2">
        <v>42311</v>
      </c>
      <c r="U1782" s="2">
        <v>43489</v>
      </c>
      <c r="V1782" s="2">
        <v>43219</v>
      </c>
    </row>
    <row r="1783" spans="1:22" x14ac:dyDescent="0.2">
      <c r="A1783" t="str">
        <f>"370.15 STA"</f>
        <v>370.15 STA</v>
      </c>
      <c r="B1783" t="str">
        <f>"Never stop learning: stay relevant, rein"</f>
        <v>Never stop learning: stay relevant, rein</v>
      </c>
      <c r="C1783">
        <v>354084</v>
      </c>
      <c r="D1783" t="str">
        <f>"Staats, Bradley R."</f>
        <v>Staats, Bradley R.</v>
      </c>
      <c r="F1783" t="str">
        <f>"220 pages, 25 cm, illustrations"</f>
        <v>220 pages, 25 cm, illustrations</v>
      </c>
      <c r="G1783" s="1">
        <v>19</v>
      </c>
      <c r="H1783">
        <v>2018</v>
      </c>
      <c r="I1783" t="str">
        <f t="shared" si="65"/>
        <v>9: 300 - 399</v>
      </c>
      <c r="K1783" t="str">
        <f>"LL - In"</f>
        <v>LL - In</v>
      </c>
      <c r="L1783" s="1">
        <v>35</v>
      </c>
      <c r="M1783" t="s">
        <v>1676</v>
      </c>
      <c r="O1783" t="s">
        <v>28</v>
      </c>
      <c r="P1783">
        <v>5</v>
      </c>
      <c r="Q1783">
        <v>0</v>
      </c>
      <c r="R1783">
        <v>5</v>
      </c>
      <c r="S1783" s="2">
        <v>43564</v>
      </c>
      <c r="T1783" s="2">
        <v>43745</v>
      </c>
      <c r="U1783" s="2">
        <v>43708</v>
      </c>
    </row>
    <row r="1784" spans="1:22" x14ac:dyDescent="0.2">
      <c r="A1784" t="str">
        <f>"370.15 WAL"</f>
        <v>370.15 WAL</v>
      </c>
      <c r="B1784" t="str">
        <f>"Teach like Finland: 33 simple strategies"</f>
        <v>Teach like Finland: 33 simple strategies</v>
      </c>
      <c r="C1784">
        <v>343254</v>
      </c>
      <c r="D1784" t="str">
        <f>"Walker, Timothy D."</f>
        <v>Walker, Timothy D.</v>
      </c>
      <c r="F1784" t="str">
        <f>"xxix, 210 pages, 25 cm"</f>
        <v>xxix, 210 pages, 25 cm</v>
      </c>
      <c r="G1784" s="1">
        <v>17</v>
      </c>
      <c r="H1784">
        <v>2017</v>
      </c>
      <c r="I1784" t="str">
        <f t="shared" si="65"/>
        <v>9: 300 - 399</v>
      </c>
      <c r="K1784" t="str">
        <f>"LL - In"</f>
        <v>LL - In</v>
      </c>
      <c r="L1784" s="1">
        <v>31</v>
      </c>
      <c r="M1784" t="s">
        <v>1677</v>
      </c>
      <c r="O1784" t="s">
        <v>28</v>
      </c>
      <c r="P1784">
        <v>9</v>
      </c>
      <c r="Q1784">
        <v>0</v>
      </c>
      <c r="R1784">
        <v>9</v>
      </c>
      <c r="S1784" s="2">
        <v>42970</v>
      </c>
      <c r="T1784" s="2">
        <v>43201</v>
      </c>
      <c r="U1784" s="2">
        <v>43669</v>
      </c>
    </row>
    <row r="1785" spans="1:22" x14ac:dyDescent="0.2">
      <c r="A1785" t="str">
        <f>"370.15 WIL"</f>
        <v>370.15 WIL</v>
      </c>
      <c r="B1785" t="str">
        <f>"Why don't students like school?: a cogni"</f>
        <v>Why don't students like school?: a cogni</v>
      </c>
      <c r="C1785">
        <v>292716</v>
      </c>
      <c r="D1785" t="str">
        <f>"Willingham, Daniel T."</f>
        <v>Willingham, Daniel T.</v>
      </c>
      <c r="F1785" t="str">
        <f>"iv, 228 p., 24 cm, ill."</f>
        <v>iv, 228 p., 24 cm, ill.</v>
      </c>
      <c r="G1785" s="1">
        <v>16</v>
      </c>
      <c r="H1785">
        <v>2009</v>
      </c>
      <c r="I1785" t="str">
        <f t="shared" si="65"/>
        <v>9: 300 - 399</v>
      </c>
      <c r="K1785" t="str">
        <f>"LL - In"</f>
        <v>LL - In</v>
      </c>
      <c r="L1785" s="1">
        <v>25</v>
      </c>
      <c r="M1785" t="s">
        <v>1678</v>
      </c>
      <c r="O1785" t="s">
        <v>28</v>
      </c>
      <c r="P1785">
        <v>2</v>
      </c>
      <c r="Q1785">
        <v>13</v>
      </c>
      <c r="R1785">
        <v>16</v>
      </c>
      <c r="S1785" s="2">
        <v>42740</v>
      </c>
      <c r="T1785" s="2">
        <v>42754</v>
      </c>
      <c r="U1785" s="2">
        <v>43246</v>
      </c>
      <c r="V1785" s="2">
        <v>43740</v>
      </c>
    </row>
    <row r="1786" spans="1:22" x14ac:dyDescent="0.2">
      <c r="A1786" t="str">
        <f>"370.15 WIL"</f>
        <v>370.15 WIL</v>
      </c>
      <c r="B1786" t="str">
        <f>"Why don't students like school?: a cogni"</f>
        <v>Why don't students like school?: a cogni</v>
      </c>
      <c r="C1786">
        <v>292717</v>
      </c>
      <c r="D1786" t="str">
        <f>"Willingham, Daniel T."</f>
        <v>Willingham, Daniel T.</v>
      </c>
      <c r="F1786" t="str">
        <f>"iv, 228 p., 24 cm, ill."</f>
        <v>iv, 228 p., 24 cm, ill.</v>
      </c>
      <c r="G1786" s="1">
        <v>16</v>
      </c>
      <c r="H1786">
        <v>2009</v>
      </c>
      <c r="I1786" t="str">
        <f t="shared" si="65"/>
        <v>9: 300 - 399</v>
      </c>
      <c r="K1786" t="str">
        <f>"WB - In"</f>
        <v>WB - In</v>
      </c>
      <c r="L1786" s="1">
        <v>25</v>
      </c>
      <c r="M1786" t="s">
        <v>1678</v>
      </c>
      <c r="O1786" t="s">
        <v>28</v>
      </c>
      <c r="P1786">
        <v>2</v>
      </c>
      <c r="Q1786">
        <v>2</v>
      </c>
      <c r="R1786">
        <v>6</v>
      </c>
      <c r="S1786" s="2">
        <v>42740</v>
      </c>
      <c r="T1786" s="2">
        <v>42754</v>
      </c>
      <c r="U1786" s="2">
        <v>43548</v>
      </c>
      <c r="V1786" s="2">
        <v>42866</v>
      </c>
    </row>
    <row r="1787" spans="1:22" x14ac:dyDescent="0.2">
      <c r="A1787" t="str">
        <f>"370.9 ABB"</f>
        <v>370.9 ABB</v>
      </c>
      <c r="B1787" t="str">
        <f>"Overschooled but undereducated: how the "</f>
        <v xml:space="preserve">Overschooled but undereducated: how the </v>
      </c>
      <c r="C1787">
        <v>293079</v>
      </c>
      <c r="D1787" t="str">
        <f>"Abbott, John"</f>
        <v>Abbott, John</v>
      </c>
      <c r="F1787" t="str">
        <f>"xxiv, 310 p., 21 cm"</f>
        <v>xxiv, 310 p., 21 cm</v>
      </c>
      <c r="G1787" s="1">
        <v>17</v>
      </c>
      <c r="H1787">
        <v>2010</v>
      </c>
      <c r="I1787" t="str">
        <f t="shared" si="65"/>
        <v>9: 300 - 399</v>
      </c>
      <c r="K1787" t="str">
        <f>"WB - In"</f>
        <v>WB - In</v>
      </c>
      <c r="L1787" s="1">
        <v>39</v>
      </c>
      <c r="M1787" t="s">
        <v>1679</v>
      </c>
      <c r="O1787" t="s">
        <v>28</v>
      </c>
      <c r="P1787">
        <v>6</v>
      </c>
      <c r="Q1787">
        <v>0</v>
      </c>
      <c r="R1787">
        <v>6</v>
      </c>
      <c r="S1787" s="2">
        <v>42774</v>
      </c>
      <c r="T1787" s="2">
        <v>42782</v>
      </c>
      <c r="U1787" s="2">
        <v>43548</v>
      </c>
    </row>
    <row r="1788" spans="1:22" x14ac:dyDescent="0.2">
      <c r="A1788" t="str">
        <f>"370.9 ABE"</f>
        <v>370.9 ABE</v>
      </c>
      <c r="B1788" t="str">
        <f>"Beyond measure: rescuing an overschedule"</f>
        <v>Beyond measure: rescuing an overschedule</v>
      </c>
      <c r="C1788">
        <v>356555</v>
      </c>
      <c r="D1788" t="str">
        <f>"Abeles, Vicki."</f>
        <v>Abeles, Vicki.</v>
      </c>
      <c r="F1788" t="str">
        <f>"xvi, 287 pages, 24 cm"</f>
        <v>xvi, 287 pages, 24 cm</v>
      </c>
      <c r="G1788" s="1">
        <v>19</v>
      </c>
      <c r="H1788">
        <v>2015</v>
      </c>
      <c r="I1788" t="str">
        <f t="shared" si="65"/>
        <v>9: 300 - 399</v>
      </c>
      <c r="K1788" t="str">
        <f>"WB - In"</f>
        <v>WB - In</v>
      </c>
      <c r="L1788" s="1">
        <v>21</v>
      </c>
      <c r="M1788" t="s">
        <v>1680</v>
      </c>
      <c r="O1788" t="s">
        <v>28</v>
      </c>
      <c r="P1788">
        <v>0</v>
      </c>
      <c r="Q1788">
        <v>0</v>
      </c>
      <c r="R1788">
        <v>0</v>
      </c>
      <c r="S1788" s="2">
        <v>43675</v>
      </c>
      <c r="T1788" s="2">
        <v>43819</v>
      </c>
    </row>
    <row r="1789" spans="1:22" x14ac:dyDescent="0.2">
      <c r="A1789" t="str">
        <f>"370.9 CHU"</f>
        <v>370.9 CHU</v>
      </c>
      <c r="B1789" t="str">
        <f>"Little soldiers: an American boy, a Chin"</f>
        <v>Little soldiers: an American boy, a Chin</v>
      </c>
      <c r="C1789">
        <v>349189</v>
      </c>
      <c r="D1789" t="str">
        <f>"Chu, Lenora"</f>
        <v>Chu, Lenora</v>
      </c>
      <c r="F1789" t="str">
        <f>"x, 347 pages, 24 cm, map"</f>
        <v>x, 347 pages, 24 cm, map</v>
      </c>
      <c r="G1789" s="1">
        <v>18</v>
      </c>
      <c r="H1789">
        <v>2017</v>
      </c>
      <c r="I1789" t="str">
        <f t="shared" si="65"/>
        <v>9: 300 - 399</v>
      </c>
      <c r="K1789" t="str">
        <f>"WB - In"</f>
        <v>WB - In</v>
      </c>
      <c r="L1789" s="1">
        <v>33</v>
      </c>
      <c r="M1789" t="s">
        <v>1681</v>
      </c>
      <c r="O1789" t="s">
        <v>28</v>
      </c>
      <c r="P1789">
        <v>10</v>
      </c>
      <c r="Q1789">
        <v>0</v>
      </c>
      <c r="R1789">
        <v>10</v>
      </c>
      <c r="S1789" s="2">
        <v>43320</v>
      </c>
      <c r="T1789" s="2">
        <v>43488</v>
      </c>
      <c r="U1789" s="2">
        <v>43730</v>
      </c>
    </row>
    <row r="1790" spans="1:22" x14ac:dyDescent="0.2">
      <c r="A1790" t="str">
        <f>"370.9 GAB"</f>
        <v>370.9 GAB</v>
      </c>
      <c r="B1790" t="str">
        <f>"After the education wars: how smart scho"</f>
        <v>After the education wars: how smart scho</v>
      </c>
      <c r="C1790">
        <v>353848</v>
      </c>
      <c r="D1790" t="str">
        <f>"Gabor, Andrea"</f>
        <v>Gabor, Andrea</v>
      </c>
      <c r="F1790" t="str">
        <f>"pages cm"</f>
        <v>pages cm</v>
      </c>
      <c r="G1790" s="1">
        <v>19</v>
      </c>
      <c r="H1790">
        <v>2018</v>
      </c>
      <c r="I1790" t="str">
        <f t="shared" si="65"/>
        <v>9: 300 - 399</v>
      </c>
      <c r="K1790" t="str">
        <f>"LL - In"</f>
        <v>LL - In</v>
      </c>
      <c r="L1790" s="1">
        <v>33</v>
      </c>
      <c r="M1790" t="s">
        <v>1682</v>
      </c>
      <c r="O1790" t="s">
        <v>28</v>
      </c>
      <c r="P1790">
        <v>0</v>
      </c>
      <c r="Q1790">
        <v>0</v>
      </c>
      <c r="R1790">
        <v>0</v>
      </c>
      <c r="S1790" s="2">
        <v>43556</v>
      </c>
      <c r="T1790" s="2">
        <v>43570</v>
      </c>
    </row>
    <row r="1791" spans="1:22" x14ac:dyDescent="0.2">
      <c r="A1791" t="str">
        <f>"370.9 LET"</f>
        <v>370.9 LET</v>
      </c>
      <c r="B1791" t="str">
        <f>"Reversed: a memoir"</f>
        <v>Reversed: a memoir</v>
      </c>
      <c r="C1791">
        <v>356184</v>
      </c>
      <c r="D1791" t="str">
        <f>"Letchford, Lois E."</f>
        <v>Letchford, Lois E.</v>
      </c>
      <c r="F1791" t="str">
        <f>"276 p."</f>
        <v>276 p.</v>
      </c>
      <c r="G1791" s="1">
        <v>19</v>
      </c>
      <c r="H1791">
        <v>2018</v>
      </c>
      <c r="I1791" t="str">
        <f t="shared" si="65"/>
        <v>9: 300 - 399</v>
      </c>
      <c r="K1791" t="str">
        <f>"LL - In"</f>
        <v>LL - In</v>
      </c>
      <c r="L1791" s="1">
        <v>30</v>
      </c>
      <c r="M1791" t="s">
        <v>1683</v>
      </c>
      <c r="O1791" t="s">
        <v>28</v>
      </c>
      <c r="P1791">
        <v>5</v>
      </c>
      <c r="Q1791">
        <v>1</v>
      </c>
      <c r="R1791">
        <v>6</v>
      </c>
      <c r="S1791" s="2">
        <v>43655</v>
      </c>
      <c r="T1791" s="2">
        <v>43816</v>
      </c>
      <c r="U1791" s="2">
        <v>43788</v>
      </c>
      <c r="V1791" s="2">
        <v>43816</v>
      </c>
    </row>
    <row r="1792" spans="1:22" x14ac:dyDescent="0.2">
      <c r="A1792" t="str">
        <f>"370.9 RIP"</f>
        <v>370.9 RIP</v>
      </c>
      <c r="B1792" t="str">
        <f>"smartest kids in the world: and how they"</f>
        <v>smartest kids in the world: and how they</v>
      </c>
      <c r="C1792">
        <v>316225</v>
      </c>
      <c r="D1792" t="str">
        <f>"Ripley, Amanda"</f>
        <v>Ripley, Amanda</v>
      </c>
      <c r="F1792" t="str">
        <f>"306 pages, 24 cm, map"</f>
        <v>306 pages, 24 cm, map</v>
      </c>
      <c r="G1792" s="1">
        <v>13</v>
      </c>
      <c r="H1792">
        <v>2013</v>
      </c>
      <c r="I1792" t="str">
        <f t="shared" si="65"/>
        <v>9: 300 - 399</v>
      </c>
      <c r="K1792" t="str">
        <f>"WB - In"</f>
        <v>WB - In</v>
      </c>
      <c r="L1792" s="1">
        <v>33</v>
      </c>
      <c r="M1792" t="s">
        <v>1684</v>
      </c>
      <c r="O1792" t="s">
        <v>28</v>
      </c>
      <c r="P1792">
        <v>12</v>
      </c>
      <c r="Q1792">
        <v>1</v>
      </c>
      <c r="R1792">
        <v>50</v>
      </c>
      <c r="S1792" s="2">
        <v>41505</v>
      </c>
      <c r="T1792" s="2">
        <v>41828</v>
      </c>
      <c r="U1792" s="2">
        <v>43695</v>
      </c>
      <c r="V1792" s="2">
        <v>43670</v>
      </c>
    </row>
    <row r="1793" spans="1:22" x14ac:dyDescent="0.2">
      <c r="A1793" t="str">
        <f>"371 BEN"</f>
        <v>371 BEN</v>
      </c>
      <c r="B1793" t="str">
        <f>"F in exams pop quiz: all new awesomely w"</f>
        <v>F in exams pop quiz: all new awesomely w</v>
      </c>
      <c r="C1793">
        <v>332626</v>
      </c>
      <c r="D1793" t="str">
        <f>"Benson, Richard."</f>
        <v>Benson, Richard.</v>
      </c>
      <c r="F1793" t="str">
        <f>"127 p., 18 cm, ill."</f>
        <v>127 p., 18 cm, ill.</v>
      </c>
      <c r="G1793" s="1">
        <v>16</v>
      </c>
      <c r="H1793">
        <v>2015</v>
      </c>
      <c r="I1793" t="str">
        <f t="shared" si="65"/>
        <v>9: 300 - 399</v>
      </c>
      <c r="K1793" t="str">
        <f>"WB - In"</f>
        <v>WB - In</v>
      </c>
      <c r="L1793" s="1">
        <v>15</v>
      </c>
      <c r="M1793" t="s">
        <v>1685</v>
      </c>
      <c r="O1793" t="s">
        <v>28</v>
      </c>
      <c r="P1793">
        <v>2</v>
      </c>
      <c r="Q1793">
        <v>2</v>
      </c>
      <c r="R1793">
        <v>8</v>
      </c>
      <c r="S1793" s="2">
        <v>42397</v>
      </c>
      <c r="T1793" s="2">
        <v>42409</v>
      </c>
      <c r="U1793" s="2">
        <v>42990</v>
      </c>
      <c r="V1793" s="2">
        <v>43109</v>
      </c>
    </row>
    <row r="1794" spans="1:22" x14ac:dyDescent="0.2">
      <c r="A1794" t="str">
        <f>"371 CUL"</f>
        <v>371 CUL</v>
      </c>
      <c r="B1794" t="str">
        <f>"Parkland: birth of a movement"</f>
        <v>Parkland: birth of a movement</v>
      </c>
      <c r="C1794">
        <v>352801</v>
      </c>
      <c r="D1794" t="str">
        <f>"Cullen, Dave"</f>
        <v>Cullen, Dave</v>
      </c>
      <c r="F1794" t="str">
        <f>"400 p."</f>
        <v>400 p.</v>
      </c>
      <c r="G1794" s="1">
        <v>19</v>
      </c>
      <c r="H1794">
        <v>2019</v>
      </c>
      <c r="I1794" t="str">
        <f t="shared" si="65"/>
        <v>9: 300 - 399</v>
      </c>
      <c r="K1794" t="str">
        <f>"LL - In"</f>
        <v>LL - In</v>
      </c>
      <c r="L1794" s="1">
        <v>33</v>
      </c>
      <c r="M1794" t="s">
        <v>1686</v>
      </c>
      <c r="O1794" t="s">
        <v>28</v>
      </c>
      <c r="P1794">
        <v>4</v>
      </c>
      <c r="Q1794">
        <v>0</v>
      </c>
      <c r="R1794">
        <v>4</v>
      </c>
      <c r="S1794" s="2">
        <v>43507</v>
      </c>
      <c r="T1794" s="2">
        <v>43675</v>
      </c>
      <c r="U1794" s="2">
        <v>43639</v>
      </c>
    </row>
    <row r="1795" spans="1:22" x14ac:dyDescent="0.2">
      <c r="A1795" t="str">
        <f>"371 DOM"</f>
        <v>371 DOM</v>
      </c>
      <c r="B1795" t="str">
        <f>"How to teach your baby to read: the gent"</f>
        <v>How to teach your baby to read: the gent</v>
      </c>
      <c r="C1795">
        <v>357899</v>
      </c>
      <c r="D1795" t="str">
        <f>"Doman, Glenn"</f>
        <v>Doman, Glenn</v>
      </c>
      <c r="F1795" t="str">
        <f>"xxiv, 262 p., 21 cm"</f>
        <v>xxiv, 262 p., 21 cm</v>
      </c>
      <c r="G1795" s="1">
        <v>19</v>
      </c>
      <c r="H1795">
        <v>2006</v>
      </c>
      <c r="I1795" t="str">
        <f t="shared" si="65"/>
        <v>9: 300 - 399</v>
      </c>
      <c r="K1795" t="str">
        <f>"WB - Out"</f>
        <v>WB - Out</v>
      </c>
      <c r="L1795" s="1">
        <v>19</v>
      </c>
      <c r="M1795" t="s">
        <v>1687</v>
      </c>
      <c r="O1795" t="s">
        <v>28</v>
      </c>
      <c r="P1795">
        <v>2</v>
      </c>
      <c r="Q1795">
        <v>0</v>
      </c>
      <c r="R1795">
        <v>2</v>
      </c>
      <c r="S1795" s="2">
        <v>43733</v>
      </c>
      <c r="T1795" s="2">
        <v>43748</v>
      </c>
      <c r="U1795" s="2">
        <v>43846</v>
      </c>
    </row>
    <row r="1796" spans="1:22" x14ac:dyDescent="0.2">
      <c r="A1796" t="str">
        <f>"371.01 CAP"</f>
        <v>371.01 CAP</v>
      </c>
      <c r="B1796" t="str">
        <f>"case against education: why our educatio"</f>
        <v>case against education: why our educatio</v>
      </c>
      <c r="C1796">
        <v>346638</v>
      </c>
      <c r="D1796" t="str">
        <f>"Caplan, Bryan Douglas,"</f>
        <v>Caplan, Bryan Douglas,</v>
      </c>
      <c r="F1796" t="str">
        <f>"xiv, 395 pages, 25 cm, illustrations"</f>
        <v>xiv, 395 pages, 25 cm, illustrations</v>
      </c>
      <c r="G1796" s="1">
        <v>18</v>
      </c>
      <c r="H1796">
        <v>2018</v>
      </c>
      <c r="I1796" t="str">
        <f t="shared" si="65"/>
        <v>9: 300 - 399</v>
      </c>
      <c r="K1796" t="str">
        <f>"WB - In"</f>
        <v>WB - In</v>
      </c>
      <c r="L1796" s="1">
        <v>35</v>
      </c>
      <c r="M1796" t="s">
        <v>1688</v>
      </c>
      <c r="O1796" t="s">
        <v>28</v>
      </c>
      <c r="P1796">
        <v>6</v>
      </c>
      <c r="Q1796">
        <v>0</v>
      </c>
      <c r="R1796">
        <v>6</v>
      </c>
      <c r="S1796" s="2">
        <v>43172</v>
      </c>
      <c r="T1796" s="2">
        <v>43376</v>
      </c>
      <c r="U1796" s="2">
        <v>43548</v>
      </c>
    </row>
    <row r="1797" spans="1:22" x14ac:dyDescent="0.2">
      <c r="A1797" t="str">
        <f>"371.01 OLS"</f>
        <v>371.01 OLS</v>
      </c>
      <c r="B1797" t="str">
        <f>"Wounded by school: recapturing the joy i"</f>
        <v>Wounded by school: recapturing the joy i</v>
      </c>
      <c r="C1797">
        <v>293080</v>
      </c>
      <c r="D1797" t="str">
        <f>"Olson, Kirsten"</f>
        <v>Olson, Kirsten</v>
      </c>
      <c r="F1797" t="str">
        <f>"xviii, 222 pages, 24 cm"</f>
        <v>xviii, 222 pages, 24 cm</v>
      </c>
      <c r="G1797" s="1">
        <v>17</v>
      </c>
      <c r="H1797">
        <v>2009</v>
      </c>
      <c r="I1797" t="str">
        <f t="shared" si="65"/>
        <v>9: 300 - 399</v>
      </c>
      <c r="K1797" t="str">
        <f>"WB - In"</f>
        <v>WB - In</v>
      </c>
      <c r="L1797" s="1">
        <v>30</v>
      </c>
      <c r="M1797" t="s">
        <v>1689</v>
      </c>
      <c r="O1797" t="s">
        <v>28</v>
      </c>
      <c r="P1797">
        <v>4</v>
      </c>
      <c r="Q1797">
        <v>6</v>
      </c>
      <c r="R1797">
        <v>10</v>
      </c>
      <c r="S1797" s="2">
        <v>42774</v>
      </c>
      <c r="T1797" s="2">
        <v>42780</v>
      </c>
      <c r="U1797" s="2">
        <v>43548</v>
      </c>
      <c r="V1797" s="2">
        <v>42979</v>
      </c>
    </row>
    <row r="1798" spans="1:22" x14ac:dyDescent="0.2">
      <c r="A1798" t="str">
        <f>"371.01 OLS"</f>
        <v>371.01 OLS</v>
      </c>
      <c r="B1798" t="str">
        <f>"Wounded by school: recapturing the joy i"</f>
        <v>Wounded by school: recapturing the joy i</v>
      </c>
      <c r="C1798">
        <v>293081</v>
      </c>
      <c r="D1798" t="str">
        <f>"Olson, Kirsten"</f>
        <v>Olson, Kirsten</v>
      </c>
      <c r="F1798" t="str">
        <f>"xviii, 222 pages, 24 cm"</f>
        <v>xviii, 222 pages, 24 cm</v>
      </c>
      <c r="G1798" s="1">
        <v>17</v>
      </c>
      <c r="H1798">
        <v>2009</v>
      </c>
      <c r="I1798" t="str">
        <f t="shared" si="65"/>
        <v>9: 300 - 399</v>
      </c>
      <c r="K1798" t="str">
        <f>"LL - In"</f>
        <v>LL - In</v>
      </c>
      <c r="L1798" s="1">
        <v>30</v>
      </c>
      <c r="M1798" t="s">
        <v>1689</v>
      </c>
      <c r="O1798" t="s">
        <v>28</v>
      </c>
      <c r="P1798">
        <v>5</v>
      </c>
      <c r="Q1798">
        <v>6</v>
      </c>
      <c r="R1798">
        <v>11</v>
      </c>
      <c r="S1798" s="2">
        <v>42774</v>
      </c>
      <c r="T1798" s="2">
        <v>42780</v>
      </c>
      <c r="U1798" s="2">
        <v>42861</v>
      </c>
      <c r="V1798" s="2">
        <v>43558</v>
      </c>
    </row>
    <row r="1799" spans="1:22" x14ac:dyDescent="0.2">
      <c r="A1799" t="str">
        <f>"371.01 ROB"</f>
        <v>371.01 ROB</v>
      </c>
      <c r="B1799" t="str">
        <f>"Creative schools: the grassroots revolut"</f>
        <v>Creative schools: the grassroots revolut</v>
      </c>
      <c r="C1799">
        <v>328179</v>
      </c>
      <c r="D1799" t="str">
        <f>"Robinson, Ken,"</f>
        <v>Robinson, Ken,</v>
      </c>
      <c r="F1799" t="str">
        <f>"xxviii, 292 pages, 22 cm"</f>
        <v>xxviii, 292 pages, 22 cm</v>
      </c>
      <c r="G1799" s="1">
        <v>15</v>
      </c>
      <c r="H1799">
        <v>2015</v>
      </c>
      <c r="I1799" t="str">
        <f t="shared" si="65"/>
        <v>9: 300 - 399</v>
      </c>
      <c r="K1799" t="str">
        <f>"WB - In"</f>
        <v>WB - In</v>
      </c>
      <c r="L1799" s="1">
        <v>33</v>
      </c>
      <c r="M1799" t="s">
        <v>1690</v>
      </c>
      <c r="O1799" t="s">
        <v>28</v>
      </c>
      <c r="P1799">
        <v>8</v>
      </c>
      <c r="Q1799">
        <v>2</v>
      </c>
      <c r="R1799">
        <v>19</v>
      </c>
      <c r="S1799" s="2">
        <v>42180</v>
      </c>
      <c r="T1799" s="2">
        <v>42482</v>
      </c>
      <c r="U1799" s="2">
        <v>43162</v>
      </c>
      <c r="V1799" s="2">
        <v>43194</v>
      </c>
    </row>
    <row r="1800" spans="1:22" x14ac:dyDescent="0.2">
      <c r="A1800" t="str">
        <f>"371.02 WAG"</f>
        <v>371.02 WAG</v>
      </c>
      <c r="B1800" t="str">
        <f>"Most likely to succeed: preparing our ki"</f>
        <v>Most likely to succeed: preparing our ki</v>
      </c>
      <c r="C1800">
        <v>299124</v>
      </c>
      <c r="D1800" t="str">
        <f>"Wagner, Tony."</f>
        <v>Wagner, Tony.</v>
      </c>
      <c r="F1800" t="str">
        <f>"vii, 296 pages, 24 cm, illustrations"</f>
        <v>vii, 296 pages, 24 cm, illustrations</v>
      </c>
      <c r="G1800" s="1">
        <v>17</v>
      </c>
      <c r="H1800">
        <v>2015</v>
      </c>
      <c r="I1800" t="str">
        <f t="shared" ref="I1800:I1863" si="66">"9: 300 - 399"</f>
        <v>9: 300 - 399</v>
      </c>
      <c r="K1800" t="str">
        <f>"LL - In"</f>
        <v>LL - In</v>
      </c>
      <c r="L1800" s="1">
        <v>22</v>
      </c>
      <c r="M1800" t="s">
        <v>1691</v>
      </c>
      <c r="O1800" t="s">
        <v>28</v>
      </c>
      <c r="P1800">
        <v>6</v>
      </c>
      <c r="Q1800">
        <v>3</v>
      </c>
      <c r="R1800">
        <v>9</v>
      </c>
      <c r="S1800" s="2">
        <v>43090</v>
      </c>
      <c r="T1800" s="2">
        <v>43108</v>
      </c>
      <c r="U1800" s="2">
        <v>43750</v>
      </c>
      <c r="V1800" s="2">
        <v>43308</v>
      </c>
    </row>
    <row r="1801" spans="1:22" x14ac:dyDescent="0.2">
      <c r="A1801" t="str">
        <f>"371.03 SAN"</f>
        <v>371.03 SAN</v>
      </c>
      <c r="B1801" t="str">
        <f>"Courage to grow: how Acton Academy turns"</f>
        <v>Courage to grow: how Acton Academy turns</v>
      </c>
      <c r="C1801">
        <v>400886</v>
      </c>
      <c r="D1801" t="str">
        <f>"Sandefer, Laura"</f>
        <v>Sandefer, Laura</v>
      </c>
      <c r="G1801" s="1">
        <v>18</v>
      </c>
      <c r="H1801">
        <v>2018</v>
      </c>
      <c r="I1801" t="str">
        <f t="shared" si="66"/>
        <v>9: 300 - 399</v>
      </c>
      <c r="K1801" t="str">
        <f>"WB - In"</f>
        <v>WB - In</v>
      </c>
      <c r="L1801" s="1">
        <v>20</v>
      </c>
      <c r="M1801" t="s">
        <v>1692</v>
      </c>
      <c r="O1801" t="s">
        <v>28</v>
      </c>
      <c r="P1801">
        <v>1</v>
      </c>
      <c r="Q1801">
        <v>1</v>
      </c>
      <c r="R1801">
        <v>2</v>
      </c>
      <c r="S1801" s="2">
        <v>43228</v>
      </c>
      <c r="T1801" s="2">
        <v>43235</v>
      </c>
      <c r="U1801" s="2">
        <v>43267</v>
      </c>
      <c r="V1801" s="2">
        <v>43676</v>
      </c>
    </row>
    <row r="1802" spans="1:22" x14ac:dyDescent="0.2">
      <c r="A1802" t="str">
        <f>"371.04 ARN"</f>
        <v>371.04 ARN</v>
      </c>
      <c r="B1802" t="str">
        <f>"Homeschooling 101: a guide to getting st"</f>
        <v>Homeschooling 101: a guide to getting st</v>
      </c>
      <c r="C1802">
        <v>276585</v>
      </c>
      <c r="D1802" t="str">
        <f>"Arndt, Erica"</f>
        <v>Arndt, Erica</v>
      </c>
      <c r="F1802" t="str">
        <f>"xiii, 249 p., 21 cm."</f>
        <v>xiii, 249 p., 21 cm.</v>
      </c>
      <c r="G1802" s="1">
        <v>14</v>
      </c>
      <c r="H1802">
        <v>2014</v>
      </c>
      <c r="I1802" t="str">
        <f t="shared" si="66"/>
        <v>9: 300 - 399</v>
      </c>
      <c r="K1802" t="str">
        <f t="shared" ref="K1802:K1807" si="67">"LL - In"</f>
        <v>LL - In</v>
      </c>
      <c r="L1802" s="1">
        <v>20</v>
      </c>
      <c r="M1802" t="s">
        <v>1693</v>
      </c>
      <c r="O1802" t="s">
        <v>28</v>
      </c>
      <c r="P1802">
        <v>3</v>
      </c>
      <c r="Q1802">
        <v>5</v>
      </c>
      <c r="R1802">
        <v>14</v>
      </c>
      <c r="S1802" s="2">
        <v>41910</v>
      </c>
      <c r="T1802" s="2">
        <v>41919</v>
      </c>
      <c r="U1802" s="2">
        <v>43244</v>
      </c>
      <c r="V1802" s="2">
        <v>43558</v>
      </c>
    </row>
    <row r="1803" spans="1:22" x14ac:dyDescent="0.2">
      <c r="A1803" t="str">
        <f>"371.04 BOG"</f>
        <v>371.04 BOG</v>
      </c>
      <c r="B1803" t="str">
        <f>"brave learner: finding everyday magic in"</f>
        <v>brave learner: finding everyday magic in</v>
      </c>
      <c r="C1803">
        <v>353114</v>
      </c>
      <c r="D1803" t="str">
        <f>"Bogart, Julie,"</f>
        <v>Bogart, Julie,</v>
      </c>
      <c r="F1803" t="str">
        <f>"294 pages, 23 cm"</f>
        <v>294 pages, 23 cm</v>
      </c>
      <c r="G1803" s="1">
        <v>19</v>
      </c>
      <c r="H1803">
        <v>2019</v>
      </c>
      <c r="I1803" t="str">
        <f t="shared" si="66"/>
        <v>9: 300 - 399</v>
      </c>
      <c r="K1803" t="str">
        <f t="shared" si="67"/>
        <v>LL - In</v>
      </c>
      <c r="L1803" s="1">
        <v>22</v>
      </c>
      <c r="M1803" t="s">
        <v>1694</v>
      </c>
      <c r="O1803" t="s">
        <v>28</v>
      </c>
      <c r="P1803">
        <v>2</v>
      </c>
      <c r="Q1803">
        <v>1</v>
      </c>
      <c r="R1803">
        <v>3</v>
      </c>
      <c r="S1803" s="2">
        <v>43522</v>
      </c>
      <c r="T1803" s="2">
        <v>43532</v>
      </c>
      <c r="U1803" s="2">
        <v>43742</v>
      </c>
      <c r="V1803" s="2">
        <v>43558</v>
      </c>
    </row>
    <row r="1804" spans="1:22" x14ac:dyDescent="0.2">
      <c r="A1804" t="str">
        <f>"371.04 DUF"</f>
        <v>371.04 DUF</v>
      </c>
      <c r="B1804" t="str">
        <f>"102 top picks for homeschool curriculum:"</f>
        <v>102 top picks for homeschool curriculum:</v>
      </c>
      <c r="C1804">
        <v>280428</v>
      </c>
      <c r="D1804" t="str">
        <f>"Duffy, Cathy"</f>
        <v>Duffy, Cathy</v>
      </c>
      <c r="F1804" t="str">
        <f>"347 p."</f>
        <v>347 p.</v>
      </c>
      <c r="G1804" s="1">
        <v>15</v>
      </c>
      <c r="H1804">
        <v>2015</v>
      </c>
      <c r="I1804" t="str">
        <f t="shared" si="66"/>
        <v>9: 300 - 399</v>
      </c>
      <c r="K1804" t="str">
        <f t="shared" si="67"/>
        <v>LL - In</v>
      </c>
      <c r="L1804" s="1">
        <v>29</v>
      </c>
      <c r="M1804" t="s">
        <v>1695</v>
      </c>
      <c r="O1804" t="s">
        <v>28</v>
      </c>
      <c r="P1804">
        <v>2</v>
      </c>
      <c r="Q1804">
        <v>0</v>
      </c>
      <c r="R1804">
        <v>7</v>
      </c>
      <c r="S1804" s="2">
        <v>42117</v>
      </c>
      <c r="T1804" s="2">
        <v>42124</v>
      </c>
      <c r="U1804" s="2">
        <v>43524</v>
      </c>
      <c r="V1804" s="2">
        <v>42584</v>
      </c>
    </row>
    <row r="1805" spans="1:22" x14ac:dyDescent="0.2">
      <c r="A1805" t="str">
        <f>"371.04 HEW"</f>
        <v>371.04 HEW</v>
      </c>
      <c r="B1805" t="str">
        <f>"Home grown: adventures in parenting off "</f>
        <v xml:space="preserve">Home grown: adventures in parenting off </v>
      </c>
      <c r="C1805">
        <v>334713</v>
      </c>
      <c r="D1805" t="str">
        <f>"Hewitt, Ben,"</f>
        <v>Hewitt, Ben,</v>
      </c>
      <c r="F1805" t="str">
        <f>"vii, 166 pages, 22 cm"</f>
        <v>vii, 166 pages, 22 cm</v>
      </c>
      <c r="G1805" s="1">
        <v>16</v>
      </c>
      <c r="H1805">
        <v>2014</v>
      </c>
      <c r="I1805" t="str">
        <f t="shared" si="66"/>
        <v>9: 300 - 399</v>
      </c>
      <c r="K1805" t="str">
        <f t="shared" si="67"/>
        <v>LL - In</v>
      </c>
      <c r="L1805" s="1">
        <v>20</v>
      </c>
      <c r="M1805" t="s">
        <v>1696</v>
      </c>
      <c r="O1805" t="s">
        <v>28</v>
      </c>
      <c r="P1805">
        <v>1</v>
      </c>
      <c r="Q1805">
        <v>0</v>
      </c>
      <c r="R1805">
        <v>4</v>
      </c>
      <c r="S1805" s="2">
        <v>42486</v>
      </c>
      <c r="T1805" s="2">
        <v>42493</v>
      </c>
      <c r="U1805" s="2">
        <v>42977</v>
      </c>
    </row>
    <row r="1806" spans="1:22" x14ac:dyDescent="0.2">
      <c r="A1806" t="str">
        <f>"371.04 MAC"</f>
        <v>371.04 MAC</v>
      </c>
      <c r="B1806" t="str">
        <f>"Teaching from rest: a homeschooler's gui"</f>
        <v>Teaching from rest: a homeschooler's gui</v>
      </c>
      <c r="C1806">
        <v>291969</v>
      </c>
      <c r="D1806" t="str">
        <f>"Mackenzie, Sarah"</f>
        <v>Mackenzie, Sarah</v>
      </c>
      <c r="F1806" t="str">
        <f>"xix, 89 pages, 22 cm, illustrations"</f>
        <v>xix, 89 pages, 22 cm, illustrations</v>
      </c>
      <c r="G1806" s="1">
        <v>16</v>
      </c>
      <c r="H1806">
        <v>2015</v>
      </c>
      <c r="I1806" t="str">
        <f t="shared" si="66"/>
        <v>9: 300 - 399</v>
      </c>
      <c r="K1806" t="str">
        <f t="shared" si="67"/>
        <v>LL - In</v>
      </c>
      <c r="L1806" s="1">
        <v>18</v>
      </c>
      <c r="M1806" t="s">
        <v>1697</v>
      </c>
      <c r="O1806" t="s">
        <v>28</v>
      </c>
      <c r="P1806">
        <v>6</v>
      </c>
      <c r="Q1806">
        <v>0</v>
      </c>
      <c r="R1806">
        <v>8</v>
      </c>
      <c r="S1806" s="2">
        <v>42710</v>
      </c>
      <c r="T1806" s="2">
        <v>42717</v>
      </c>
      <c r="U1806" s="2">
        <v>43619</v>
      </c>
    </row>
    <row r="1807" spans="1:22" x14ac:dyDescent="0.2">
      <c r="A1807" t="str">
        <f>"371.04 ROC"</f>
        <v>371.04 ROC</v>
      </c>
      <c r="B1807" t="str">
        <f>"Home schooling at the speed of life: bal"</f>
        <v>Home schooling at the speed of life: bal</v>
      </c>
      <c r="C1807">
        <v>305184</v>
      </c>
      <c r="D1807" t="str">
        <f>"Rockett, Marilyn"</f>
        <v>Rockett, Marilyn</v>
      </c>
      <c r="F1807" t="str">
        <f>"xii, 176 p., 28 cm., ill."</f>
        <v>xii, 176 p., 28 cm., ill.</v>
      </c>
      <c r="G1807" s="1">
        <v>12</v>
      </c>
      <c r="H1807">
        <v>2007</v>
      </c>
      <c r="I1807" t="str">
        <f t="shared" si="66"/>
        <v>9: 300 - 399</v>
      </c>
      <c r="K1807" t="str">
        <f t="shared" si="67"/>
        <v>LL - In</v>
      </c>
      <c r="L1807" s="1">
        <v>23</v>
      </c>
      <c r="M1807" t="s">
        <v>1698</v>
      </c>
      <c r="O1807" t="s">
        <v>28</v>
      </c>
      <c r="P1807">
        <v>2</v>
      </c>
      <c r="Q1807">
        <v>0</v>
      </c>
      <c r="R1807">
        <v>16</v>
      </c>
      <c r="S1807" s="2">
        <v>40925</v>
      </c>
      <c r="T1807" s="2">
        <v>41053</v>
      </c>
      <c r="U1807" s="2">
        <v>43669</v>
      </c>
      <c r="V1807" s="2">
        <v>42712</v>
      </c>
    </row>
    <row r="1808" spans="1:22" x14ac:dyDescent="0.2">
      <c r="A1808" t="str">
        <f>"371.04 SIM"</f>
        <v>371.04 SIM</v>
      </c>
      <c r="B1808" t="str">
        <f>"Homeschooling for life: a practical guid"</f>
        <v>Homeschooling for life: a practical guid</v>
      </c>
      <c r="C1808">
        <v>356875</v>
      </c>
      <c r="D1808" t="str">
        <f>"Simpson, Dale."</f>
        <v>Simpson, Dale.</v>
      </c>
      <c r="F1808" t="str">
        <f>"221 p."</f>
        <v>221 p.</v>
      </c>
      <c r="G1808" s="1">
        <v>19</v>
      </c>
      <c r="H1808">
        <v>2018</v>
      </c>
      <c r="I1808" t="str">
        <f t="shared" si="66"/>
        <v>9: 300 - 399</v>
      </c>
      <c r="K1808" t="str">
        <f>"WB - In"</f>
        <v>WB - In</v>
      </c>
      <c r="L1808" s="1">
        <v>22</v>
      </c>
      <c r="M1808" t="s">
        <v>1699</v>
      </c>
      <c r="O1808" t="s">
        <v>28</v>
      </c>
      <c r="P1808">
        <v>2</v>
      </c>
      <c r="Q1808">
        <v>0</v>
      </c>
      <c r="R1808">
        <v>2</v>
      </c>
      <c r="S1808" s="2">
        <v>43691</v>
      </c>
      <c r="T1808" s="2">
        <v>43859</v>
      </c>
      <c r="U1808" s="2">
        <v>43810</v>
      </c>
    </row>
    <row r="1809" spans="1:22" x14ac:dyDescent="0.2">
      <c r="A1809" t="str">
        <f>"371.1 AGA"</f>
        <v>371.1 AGA</v>
      </c>
      <c r="B1809" t="str">
        <f>"Powerful teaching: unleash the science o"</f>
        <v>Powerful teaching: unleash the science o</v>
      </c>
      <c r="C1809">
        <v>359383</v>
      </c>
      <c r="D1809" t="str">
        <f>"Agarwal, Pooja K."</f>
        <v>Agarwal, Pooja K.</v>
      </c>
      <c r="F1809" t="str">
        <f>"xii, 340 pages, 24 cm, illustrations"</f>
        <v>xii, 340 pages, 24 cm, illustrations</v>
      </c>
      <c r="G1809" s="1">
        <v>19</v>
      </c>
      <c r="H1809">
        <v>2019</v>
      </c>
      <c r="I1809" t="str">
        <f t="shared" si="66"/>
        <v>9: 300 - 399</v>
      </c>
      <c r="K1809" t="str">
        <f>"LL - In"</f>
        <v>LL - In</v>
      </c>
      <c r="L1809" s="1">
        <v>38</v>
      </c>
      <c r="M1809" t="s">
        <v>1700</v>
      </c>
      <c r="O1809" t="s">
        <v>28</v>
      </c>
      <c r="P1809">
        <v>1</v>
      </c>
      <c r="Q1809">
        <v>0</v>
      </c>
      <c r="R1809">
        <v>1</v>
      </c>
      <c r="S1809" s="2">
        <v>43788</v>
      </c>
      <c r="T1809" s="2">
        <v>43805</v>
      </c>
      <c r="U1809" s="2">
        <v>43808</v>
      </c>
    </row>
    <row r="1810" spans="1:22" x14ac:dyDescent="0.2">
      <c r="A1810" t="str">
        <f>"371.1 ALL"</f>
        <v>371.1 ALL</v>
      </c>
      <c r="B1810" t="str">
        <f>"art of teaching: best practices from a m"</f>
        <v>art of teaching: best practices from a m</v>
      </c>
      <c r="C1810">
        <v>238547</v>
      </c>
      <c r="D1810" t="str">
        <f>"Allitt, Patrick N."</f>
        <v>Allitt, Patrick N.</v>
      </c>
      <c r="E1810" t="str">
        <f>"Great Courses series"</f>
        <v>Great Courses series</v>
      </c>
      <c r="F1810" t="str">
        <f>"95 p."</f>
        <v>95 p.</v>
      </c>
      <c r="G1810" s="1">
        <v>10</v>
      </c>
      <c r="H1810">
        <v>2010</v>
      </c>
      <c r="I1810" t="str">
        <f t="shared" si="66"/>
        <v>9: 300 - 399</v>
      </c>
      <c r="K1810" t="str">
        <f>"WB - In"</f>
        <v>WB - In</v>
      </c>
      <c r="L1810" s="1">
        <v>15</v>
      </c>
      <c r="O1810" t="s">
        <v>28</v>
      </c>
      <c r="P1810">
        <v>4</v>
      </c>
      <c r="Q1810">
        <v>2</v>
      </c>
      <c r="R1810">
        <v>17</v>
      </c>
      <c r="S1810" s="2">
        <v>40365</v>
      </c>
      <c r="T1810" s="2">
        <v>41053</v>
      </c>
      <c r="U1810" s="2">
        <v>43800</v>
      </c>
      <c r="V1810" s="2">
        <v>43314</v>
      </c>
    </row>
    <row r="1811" spans="1:22" x14ac:dyDescent="0.2">
      <c r="A1811" t="str">
        <f>"371.1 ASH"</f>
        <v>371.1 ASH</v>
      </c>
      <c r="B1811" t="str">
        <f>"truth about teaching: an evidence-inform"</f>
        <v>truth about teaching: an evidence-inform</v>
      </c>
      <c r="C1811">
        <v>402401</v>
      </c>
      <c r="D1811" t="str">
        <f>"Ashman, Greg"</f>
        <v>Ashman, Greg</v>
      </c>
      <c r="F1811" t="str">
        <f>"186 p."</f>
        <v>186 p.</v>
      </c>
      <c r="G1811" s="1">
        <v>18</v>
      </c>
      <c r="H1811">
        <v>2018</v>
      </c>
      <c r="I1811" t="str">
        <f t="shared" si="66"/>
        <v>9: 300 - 399</v>
      </c>
      <c r="K1811" t="str">
        <f>"LL - In"</f>
        <v>LL - In</v>
      </c>
      <c r="L1811" s="1">
        <v>30</v>
      </c>
      <c r="M1811" t="s">
        <v>1701</v>
      </c>
      <c r="O1811" t="s">
        <v>28</v>
      </c>
      <c r="P1811">
        <v>2</v>
      </c>
      <c r="Q1811">
        <v>0</v>
      </c>
      <c r="R1811">
        <v>2</v>
      </c>
      <c r="S1811" s="2">
        <v>43430</v>
      </c>
      <c r="T1811" s="2">
        <v>43437</v>
      </c>
      <c r="U1811" s="2">
        <v>43524</v>
      </c>
    </row>
    <row r="1812" spans="1:22" x14ac:dyDescent="0.2">
      <c r="A1812" t="str">
        <f>"371.1 ASH"</f>
        <v>371.1 ASH</v>
      </c>
      <c r="B1812" t="str">
        <f>"truth about teaching: an evidence-inform"</f>
        <v>truth about teaching: an evidence-inform</v>
      </c>
      <c r="C1812">
        <v>352302</v>
      </c>
      <c r="D1812" t="str">
        <f>"Ashman, Greg"</f>
        <v>Ashman, Greg</v>
      </c>
      <c r="F1812" t="str">
        <f>"186 p."</f>
        <v>186 p.</v>
      </c>
      <c r="G1812" s="1">
        <v>19</v>
      </c>
      <c r="H1812">
        <v>2018</v>
      </c>
      <c r="I1812" t="str">
        <f t="shared" si="66"/>
        <v>9: 300 - 399</v>
      </c>
      <c r="K1812" t="str">
        <f>"WB - In"</f>
        <v>WB - In</v>
      </c>
      <c r="L1812" s="1">
        <v>30</v>
      </c>
      <c r="M1812" t="s">
        <v>1701</v>
      </c>
      <c r="O1812" t="s">
        <v>28</v>
      </c>
      <c r="P1812">
        <v>0</v>
      </c>
      <c r="Q1812">
        <v>0</v>
      </c>
      <c r="R1812">
        <v>0</v>
      </c>
      <c r="S1812" s="2">
        <v>43479</v>
      </c>
      <c r="T1812" s="2">
        <v>43497</v>
      </c>
    </row>
    <row r="1813" spans="1:22" x14ac:dyDescent="0.2">
      <c r="A1813" t="str">
        <f>"371.1 CHR"</f>
        <v>371.1 CHR</v>
      </c>
      <c r="B1813" t="str">
        <f>"seven myths about education"</f>
        <v>seven myths about education</v>
      </c>
      <c r="C1813">
        <v>351588</v>
      </c>
      <c r="D1813" t="str">
        <f>"Christodoulou, Daisy."</f>
        <v>Christodoulou, Daisy.</v>
      </c>
      <c r="F1813" t="str">
        <f>"xii, 133 pages, 24 cm"</f>
        <v>xii, 133 pages, 24 cm</v>
      </c>
      <c r="G1813" s="1">
        <v>18</v>
      </c>
      <c r="H1813">
        <v>2014</v>
      </c>
      <c r="I1813" t="str">
        <f t="shared" si="66"/>
        <v>9: 300 - 399</v>
      </c>
      <c r="K1813" t="str">
        <f>"LL - In"</f>
        <v>LL - In</v>
      </c>
      <c r="L1813" s="1">
        <v>40</v>
      </c>
      <c r="M1813" t="s">
        <v>1702</v>
      </c>
      <c r="O1813" t="s">
        <v>28</v>
      </c>
      <c r="P1813">
        <v>1</v>
      </c>
      <c r="Q1813">
        <v>0</v>
      </c>
      <c r="R1813">
        <v>1</v>
      </c>
      <c r="S1813" s="2">
        <v>43431</v>
      </c>
      <c r="T1813" s="2">
        <v>43446</v>
      </c>
      <c r="U1813" s="2">
        <v>43504</v>
      </c>
    </row>
    <row r="1814" spans="1:22" x14ac:dyDescent="0.2">
      <c r="A1814" t="str">
        <f>"371.1 GLA"</f>
        <v>371.1 GLA</v>
      </c>
      <c r="B1814" t="str">
        <f>"Notching up: the nurtured heart approach"</f>
        <v>Notching up: the nurtured heart approach</v>
      </c>
      <c r="C1814">
        <v>284694</v>
      </c>
      <c r="D1814" t="str">
        <f>"Glasser, Howard"</f>
        <v>Glasser, Howard</v>
      </c>
      <c r="F1814" t="str">
        <f>"160 p., 23 cm"</f>
        <v>160 p., 23 cm</v>
      </c>
      <c r="G1814" s="1">
        <v>15</v>
      </c>
      <c r="H1814">
        <v>2011</v>
      </c>
      <c r="I1814" t="str">
        <f t="shared" si="66"/>
        <v>9: 300 - 399</v>
      </c>
      <c r="K1814" t="str">
        <f>"WB - Out"</f>
        <v>WB - Out</v>
      </c>
      <c r="L1814" s="1">
        <v>30</v>
      </c>
      <c r="M1814" t="s">
        <v>1703</v>
      </c>
      <c r="O1814" t="s">
        <v>28</v>
      </c>
      <c r="P1814">
        <v>8</v>
      </c>
      <c r="Q1814">
        <v>2</v>
      </c>
      <c r="R1814">
        <v>12</v>
      </c>
      <c r="S1814" s="2">
        <v>42339</v>
      </c>
      <c r="T1814" s="2">
        <v>42354</v>
      </c>
      <c r="U1814" s="2">
        <v>43827</v>
      </c>
      <c r="V1814" s="2">
        <v>43767</v>
      </c>
    </row>
    <row r="1815" spans="1:22" x14ac:dyDescent="0.2">
      <c r="A1815" t="str">
        <f>"371.1 HAM"</f>
        <v>371.1 HAM</v>
      </c>
      <c r="B1815" t="str">
        <f>"teacher liberation handbook: how to leav"</f>
        <v>teacher liberation handbook: how to leav</v>
      </c>
      <c r="C1815">
        <v>351350</v>
      </c>
      <c r="D1815" t="str">
        <f>"Hammon, Joel."</f>
        <v>Hammon, Joel.</v>
      </c>
      <c r="F1815" t="str">
        <f>"162 p."</f>
        <v>162 p.</v>
      </c>
      <c r="G1815" s="1">
        <v>18</v>
      </c>
      <c r="H1815">
        <v>2016</v>
      </c>
      <c r="I1815" t="str">
        <f t="shared" si="66"/>
        <v>9: 300 - 399</v>
      </c>
      <c r="K1815" t="str">
        <f>"LL - In"</f>
        <v>LL - In</v>
      </c>
      <c r="L1815" s="1">
        <v>17</v>
      </c>
      <c r="M1815" t="s">
        <v>1704</v>
      </c>
      <c r="O1815" t="s">
        <v>28</v>
      </c>
      <c r="P1815">
        <v>1</v>
      </c>
      <c r="Q1815">
        <v>0</v>
      </c>
      <c r="R1815">
        <v>1</v>
      </c>
      <c r="S1815" s="2">
        <v>43418</v>
      </c>
      <c r="T1815" s="2">
        <v>43437</v>
      </c>
      <c r="U1815" s="2">
        <v>43794</v>
      </c>
    </row>
    <row r="1816" spans="1:22" x14ac:dyDescent="0.2">
      <c r="A1816" t="str">
        <f>"371.1 KNI"</f>
        <v>371.1 KNI</v>
      </c>
      <c r="B1816" t="str">
        <f>"Better conversations: coaching ourselves"</f>
        <v>Better conversations: coaching ourselves</v>
      </c>
      <c r="C1816">
        <v>354448</v>
      </c>
      <c r="D1816" t="str">
        <f>"Knight, Jim."</f>
        <v>Knight, Jim.</v>
      </c>
      <c r="F1816" t="str">
        <f>"xvii, 236 pages, 26 cm, some illustrations"</f>
        <v>xvii, 236 pages, 26 cm, some illustrations</v>
      </c>
      <c r="G1816" s="1">
        <v>19</v>
      </c>
      <c r="H1816">
        <v>2016</v>
      </c>
      <c r="I1816" t="str">
        <f t="shared" si="66"/>
        <v>9: 300 - 399</v>
      </c>
      <c r="K1816" t="str">
        <f>"WB - In"</f>
        <v>WB - In</v>
      </c>
      <c r="L1816" s="1">
        <v>33</v>
      </c>
      <c r="M1816" t="s">
        <v>1705</v>
      </c>
      <c r="O1816" t="s">
        <v>28</v>
      </c>
      <c r="P1816">
        <v>0</v>
      </c>
      <c r="Q1816">
        <v>0</v>
      </c>
      <c r="R1816">
        <v>0</v>
      </c>
      <c r="S1816" s="2">
        <v>43583</v>
      </c>
      <c r="T1816" s="2">
        <v>43700</v>
      </c>
    </row>
    <row r="1817" spans="1:22" x14ac:dyDescent="0.2">
      <c r="A1817" t="str">
        <f>"371.1 LEM"</f>
        <v>371.1 LEM</v>
      </c>
      <c r="B1817" t="str">
        <f>"Teach like a champion: 49 techniques tha"</f>
        <v>Teach like a champion: 49 techniques tha</v>
      </c>
      <c r="C1817">
        <v>236224</v>
      </c>
      <c r="D1817" t="str">
        <f>"Lemov, Doug"</f>
        <v>Lemov, Doug</v>
      </c>
      <c r="F1817" t="str">
        <f>"xiii, 332 p., includes DVD"</f>
        <v>xiii, 332 p., includes DVD</v>
      </c>
      <c r="G1817" s="1">
        <v>10</v>
      </c>
      <c r="H1817">
        <v>2010</v>
      </c>
      <c r="I1817" t="str">
        <f t="shared" si="66"/>
        <v>9: 300 - 399</v>
      </c>
      <c r="K1817" t="str">
        <f>"WB - In"</f>
        <v>WB - In</v>
      </c>
      <c r="L1817" s="1">
        <v>33</v>
      </c>
      <c r="M1817" t="s">
        <v>1706</v>
      </c>
      <c r="O1817" t="s">
        <v>28</v>
      </c>
      <c r="P1817">
        <v>2</v>
      </c>
      <c r="Q1817">
        <v>0</v>
      </c>
      <c r="R1817">
        <v>18</v>
      </c>
      <c r="S1817" s="2">
        <v>40289</v>
      </c>
      <c r="T1817" s="2">
        <v>41053</v>
      </c>
      <c r="U1817" s="2">
        <v>43733</v>
      </c>
      <c r="V1817" s="2">
        <v>40824</v>
      </c>
    </row>
    <row r="1818" spans="1:22" x14ac:dyDescent="0.2">
      <c r="A1818" t="str">
        <f>"371.1 MAL"</f>
        <v>371.1 MAL</v>
      </c>
      <c r="B1818" t="str">
        <f>"What teachers make: in praise of the gre"</f>
        <v>What teachers make: in praise of the gre</v>
      </c>
      <c r="C1818">
        <v>306441</v>
      </c>
      <c r="D1818" t="str">
        <f>"Mali, Taylor."</f>
        <v>Mali, Taylor.</v>
      </c>
      <c r="F1818" t="str">
        <f>"197 p."</f>
        <v>197 p.</v>
      </c>
      <c r="G1818" s="1">
        <v>12</v>
      </c>
      <c r="H1818">
        <v>2012</v>
      </c>
      <c r="I1818" t="str">
        <f t="shared" si="66"/>
        <v>9: 300 - 399</v>
      </c>
      <c r="K1818" t="str">
        <f>"WB - In"</f>
        <v>WB - In</v>
      </c>
      <c r="L1818" s="1">
        <v>25</v>
      </c>
      <c r="M1818" t="s">
        <v>1707</v>
      </c>
      <c r="O1818" t="s">
        <v>28</v>
      </c>
      <c r="P1818">
        <v>0</v>
      </c>
      <c r="Q1818">
        <v>0</v>
      </c>
      <c r="R1818">
        <v>13</v>
      </c>
      <c r="S1818" s="2">
        <v>41003</v>
      </c>
      <c r="T1818" s="2">
        <v>41311</v>
      </c>
      <c r="U1818" s="2">
        <v>41577</v>
      </c>
    </row>
    <row r="1819" spans="1:22" x14ac:dyDescent="0.2">
      <c r="A1819" t="str">
        <f>"371.1 MAY"</f>
        <v>371.1 MAY</v>
      </c>
      <c r="B1819" t="str">
        <f>"Hacking school discipline: 9 ways to cre"</f>
        <v>Hacking school discipline: 9 ways to cre</v>
      </c>
      <c r="C1819">
        <v>358912</v>
      </c>
      <c r="D1819" t="str">
        <f>"Maynard, Nathan"</f>
        <v>Maynard, Nathan</v>
      </c>
      <c r="F1819" t="str">
        <f>"201 pages, 23 cm, illustrations"</f>
        <v>201 pages, 23 cm, illustrations</v>
      </c>
      <c r="G1819" s="1">
        <v>19</v>
      </c>
      <c r="H1819">
        <v>2019</v>
      </c>
      <c r="I1819" t="str">
        <f t="shared" si="66"/>
        <v>9: 300 - 399</v>
      </c>
      <c r="K1819" t="str">
        <f>"LL - In"</f>
        <v>LL - In</v>
      </c>
      <c r="L1819" s="1">
        <v>29</v>
      </c>
      <c r="M1819" t="s">
        <v>1708</v>
      </c>
      <c r="O1819" t="s">
        <v>28</v>
      </c>
      <c r="P1819">
        <v>0</v>
      </c>
      <c r="Q1819">
        <v>0</v>
      </c>
      <c r="R1819">
        <v>0</v>
      </c>
      <c r="S1819" s="2">
        <v>43767</v>
      </c>
      <c r="T1819" s="2">
        <v>43781</v>
      </c>
    </row>
    <row r="1820" spans="1:22" x14ac:dyDescent="0.2">
      <c r="A1820" t="str">
        <f>"371.1 MAY"</f>
        <v>371.1 MAY</v>
      </c>
      <c r="B1820" t="str">
        <f>"Hacking school discipline: 9 ways to cre"</f>
        <v>Hacking school discipline: 9 ways to cre</v>
      </c>
      <c r="C1820">
        <v>358913</v>
      </c>
      <c r="D1820" t="str">
        <f>"Maynard, Nathan"</f>
        <v>Maynard, Nathan</v>
      </c>
      <c r="F1820" t="str">
        <f>"201 pages, 23 cm, illustrations"</f>
        <v>201 pages, 23 cm, illustrations</v>
      </c>
      <c r="G1820" s="1">
        <v>19</v>
      </c>
      <c r="H1820">
        <v>2019</v>
      </c>
      <c r="I1820" t="str">
        <f t="shared" si="66"/>
        <v>9: 300 - 399</v>
      </c>
      <c r="K1820" t="str">
        <f>"WB - In"</f>
        <v>WB - In</v>
      </c>
      <c r="L1820" s="1">
        <v>29</v>
      </c>
      <c r="M1820" t="s">
        <v>1708</v>
      </c>
      <c r="O1820" t="s">
        <v>28</v>
      </c>
      <c r="P1820">
        <v>0</v>
      </c>
      <c r="Q1820">
        <v>0</v>
      </c>
      <c r="R1820">
        <v>0</v>
      </c>
      <c r="S1820" s="2">
        <v>43767</v>
      </c>
      <c r="T1820" s="2">
        <v>43781</v>
      </c>
    </row>
    <row r="1821" spans="1:22" x14ac:dyDescent="0.2">
      <c r="A1821" t="str">
        <f>"371.1 WEI"</f>
        <v>371.1 WEI</v>
      </c>
      <c r="B1821" t="str">
        <f>"I want a teaching job: guide to getting "</f>
        <v xml:space="preserve">I want a teaching job: guide to getting </v>
      </c>
      <c r="C1821">
        <v>275869</v>
      </c>
      <c r="D1821" t="str">
        <f>"Wei, Tim"</f>
        <v>Wei, Tim</v>
      </c>
      <c r="F1821" t="str">
        <f>"127 p."</f>
        <v>127 p.</v>
      </c>
      <c r="G1821" s="1">
        <v>14</v>
      </c>
      <c r="H1821">
        <v>2010</v>
      </c>
      <c r="I1821" t="str">
        <f t="shared" si="66"/>
        <v>9: 300 - 399</v>
      </c>
      <c r="K1821" t="str">
        <f>"LL - In"</f>
        <v>LL - In</v>
      </c>
      <c r="L1821" s="1">
        <v>25</v>
      </c>
      <c r="M1821" t="s">
        <v>1709</v>
      </c>
      <c r="O1821" t="s">
        <v>28</v>
      </c>
      <c r="P1821">
        <v>1</v>
      </c>
      <c r="Q1821">
        <v>1</v>
      </c>
      <c r="R1821">
        <v>5</v>
      </c>
      <c r="S1821" s="2">
        <v>41868</v>
      </c>
      <c r="T1821" s="2">
        <v>41873</v>
      </c>
      <c r="U1821" s="2">
        <v>42853</v>
      </c>
      <c r="V1821" s="2">
        <v>43255</v>
      </c>
    </row>
    <row r="1822" spans="1:22" x14ac:dyDescent="0.2">
      <c r="A1822" t="str">
        <f>"371.1 WON"</f>
        <v>371.1 WON</v>
      </c>
      <c r="B1822" t="str">
        <f>"first days of school: how to be an effec"</f>
        <v>first days of school: how to be an effec</v>
      </c>
      <c r="C1822">
        <v>325153</v>
      </c>
      <c r="D1822" t="str">
        <f>"Wong, Harry K.,"</f>
        <v>Wong, Harry K.,</v>
      </c>
      <c r="F1822" t="str">
        <f>"vi, 346 p., 21 x 26 cm., ill., 1 DVD (4 3/4 in.)"</f>
        <v>vi, 346 p., 21 x 26 cm., ill., 1 DVD (4 3/4 in.)</v>
      </c>
      <c r="G1822" s="1">
        <v>14</v>
      </c>
      <c r="H1822">
        <v>2009</v>
      </c>
      <c r="I1822" t="str">
        <f t="shared" si="66"/>
        <v>9: 300 - 399</v>
      </c>
      <c r="K1822" t="str">
        <f>"WB - In"</f>
        <v>WB - In</v>
      </c>
      <c r="L1822" s="1">
        <v>40</v>
      </c>
      <c r="M1822" t="s">
        <v>1710</v>
      </c>
      <c r="O1822" t="s">
        <v>28</v>
      </c>
      <c r="P1822">
        <v>2</v>
      </c>
      <c r="Q1822">
        <v>0</v>
      </c>
      <c r="R1822">
        <v>6</v>
      </c>
      <c r="S1822" s="2">
        <v>41995</v>
      </c>
      <c r="T1822" s="2">
        <v>42003</v>
      </c>
      <c r="U1822" s="2">
        <v>43297</v>
      </c>
    </row>
    <row r="1823" spans="1:22" x14ac:dyDescent="0.2">
      <c r="A1823" t="str">
        <f>"371.19 HAR"</f>
        <v>371.19 HAR</v>
      </c>
      <c r="B1823" t="str">
        <f>"brainy bunch: the Harding family's metho"</f>
        <v>brainy bunch: the Harding family's metho</v>
      </c>
      <c r="C1823">
        <v>321431</v>
      </c>
      <c r="D1823" t="str">
        <f>"Harding, Kip."</f>
        <v>Harding, Kip.</v>
      </c>
      <c r="F1823" t="str">
        <f>"xviii, 222 pages, 24 cm, illustrations"</f>
        <v>xviii, 222 pages, 24 cm, illustrations</v>
      </c>
      <c r="G1823" s="1">
        <v>14</v>
      </c>
      <c r="H1823">
        <v>2014</v>
      </c>
      <c r="I1823" t="str">
        <f t="shared" si="66"/>
        <v>9: 300 - 399</v>
      </c>
      <c r="K1823" t="str">
        <f>"WB - In"</f>
        <v>WB - In</v>
      </c>
      <c r="L1823" s="1">
        <v>27</v>
      </c>
      <c r="M1823" t="s">
        <v>1711</v>
      </c>
      <c r="O1823" t="s">
        <v>28</v>
      </c>
      <c r="P1823">
        <v>1</v>
      </c>
      <c r="Q1823">
        <v>1</v>
      </c>
      <c r="R1823">
        <v>21</v>
      </c>
      <c r="S1823" s="2">
        <v>41780</v>
      </c>
      <c r="T1823" s="2">
        <v>42155</v>
      </c>
      <c r="U1823" s="2">
        <v>43504</v>
      </c>
      <c r="V1823" s="2">
        <v>42788</v>
      </c>
    </row>
    <row r="1824" spans="1:22" x14ac:dyDescent="0.2">
      <c r="A1824" t="str">
        <f>"371.2 DIN"</f>
        <v>371.2 DIN</v>
      </c>
      <c r="B1824" t="str">
        <f>"What school could be: insights and inspi"</f>
        <v>What school could be: insights and inspi</v>
      </c>
      <c r="C1824">
        <v>347693</v>
      </c>
      <c r="D1824" t="str">
        <f>"Dintersmith, Ted"</f>
        <v>Dintersmith, Ted</v>
      </c>
      <c r="F1824" t="str">
        <f>"xxii, 234 pages, 23 cm, map"</f>
        <v>xxii, 234 pages, 23 cm, map</v>
      </c>
      <c r="G1824" s="1">
        <v>18</v>
      </c>
      <c r="H1824">
        <v>2018</v>
      </c>
      <c r="I1824" t="str">
        <f t="shared" si="66"/>
        <v>9: 300 - 399</v>
      </c>
      <c r="K1824" t="str">
        <f>"LL - In"</f>
        <v>LL - In</v>
      </c>
      <c r="L1824" s="1">
        <v>30</v>
      </c>
      <c r="M1824" t="s">
        <v>1712</v>
      </c>
      <c r="O1824" t="s">
        <v>28</v>
      </c>
      <c r="P1824">
        <v>7</v>
      </c>
      <c r="Q1824">
        <v>1</v>
      </c>
      <c r="R1824">
        <v>8</v>
      </c>
      <c r="S1824" s="2">
        <v>43235</v>
      </c>
      <c r="T1824" s="2">
        <v>43395</v>
      </c>
      <c r="U1824" s="2">
        <v>43363</v>
      </c>
      <c r="V1824" s="2">
        <v>43473</v>
      </c>
    </row>
    <row r="1825" spans="1:22" x14ac:dyDescent="0.2">
      <c r="A1825" t="str">
        <f>"371.2 HEL"</f>
        <v>371.2 HEL</v>
      </c>
      <c r="B1825" t="str">
        <f>"Help your kids with language arts: a ste"</f>
        <v>Help your kids with language arts: a ste</v>
      </c>
      <c r="C1825">
        <v>266322</v>
      </c>
      <c r="F1825" t="str">
        <f>"256 p., 24 cm., col. ill."</f>
        <v>256 p., 24 cm., col. ill.</v>
      </c>
      <c r="G1825" s="1">
        <v>13</v>
      </c>
      <c r="H1825">
        <v>2013</v>
      </c>
      <c r="I1825" t="str">
        <f t="shared" si="66"/>
        <v>9: 300 - 399</v>
      </c>
      <c r="K1825" t="str">
        <f>"WB - In"</f>
        <v>WB - In</v>
      </c>
      <c r="L1825" s="1">
        <v>25</v>
      </c>
      <c r="M1825" t="s">
        <v>1713</v>
      </c>
      <c r="O1825" t="s">
        <v>28</v>
      </c>
      <c r="P1825">
        <v>2</v>
      </c>
      <c r="Q1825">
        <v>0</v>
      </c>
      <c r="R1825">
        <v>8</v>
      </c>
      <c r="S1825" s="2">
        <v>41422</v>
      </c>
      <c r="T1825" s="2">
        <v>41436</v>
      </c>
      <c r="U1825" s="2">
        <v>43444</v>
      </c>
    </row>
    <row r="1826" spans="1:22" x14ac:dyDescent="0.2">
      <c r="A1826" t="str">
        <f>"371.2 HEL"</f>
        <v>371.2 HEL</v>
      </c>
      <c r="B1826" t="str">
        <f>"Help your kids with language arts: a ste"</f>
        <v>Help your kids with language arts: a ste</v>
      </c>
      <c r="C1826">
        <v>266323</v>
      </c>
      <c r="F1826" t="str">
        <f>"256 p., 24 cm., col. ill."</f>
        <v>256 p., 24 cm., col. ill.</v>
      </c>
      <c r="G1826" s="1">
        <v>13</v>
      </c>
      <c r="H1826">
        <v>2013</v>
      </c>
      <c r="I1826" t="str">
        <f t="shared" si="66"/>
        <v>9: 300 - 399</v>
      </c>
      <c r="K1826" t="str">
        <f>"LL - In"</f>
        <v>LL - In</v>
      </c>
      <c r="L1826" s="1">
        <v>25</v>
      </c>
      <c r="M1826" t="s">
        <v>1713</v>
      </c>
      <c r="O1826" t="s">
        <v>28</v>
      </c>
      <c r="P1826">
        <v>4</v>
      </c>
      <c r="Q1826">
        <v>0</v>
      </c>
      <c r="R1826">
        <v>11</v>
      </c>
      <c r="S1826" s="2">
        <v>41422</v>
      </c>
      <c r="T1826" s="2">
        <v>41444</v>
      </c>
      <c r="U1826" s="2">
        <v>43340</v>
      </c>
      <c r="V1826" s="2">
        <v>41843</v>
      </c>
    </row>
    <row r="1827" spans="1:22" x14ac:dyDescent="0.2">
      <c r="A1827" t="str">
        <f>"371.2 KAM"</f>
        <v>371.2 KAM</v>
      </c>
      <c r="B1827" t="str">
        <f>"test: why our schools are obsessed with "</f>
        <v xml:space="preserve">test: why our schools are obsessed with </v>
      </c>
      <c r="C1827">
        <v>326253</v>
      </c>
      <c r="D1827" t="str">
        <f>"Kamenetz, Anya,"</f>
        <v>Kamenetz, Anya,</v>
      </c>
      <c r="F1827" t="str">
        <f>"262 p."</f>
        <v>262 p.</v>
      </c>
      <c r="G1827" s="1">
        <v>15</v>
      </c>
      <c r="H1827">
        <v>2015</v>
      </c>
      <c r="I1827" t="str">
        <f t="shared" si="66"/>
        <v>9: 300 - 399</v>
      </c>
      <c r="K1827" t="str">
        <f>"LL - In"</f>
        <v>LL - In</v>
      </c>
      <c r="L1827" s="1">
        <v>0</v>
      </c>
      <c r="M1827" t="s">
        <v>1714</v>
      </c>
      <c r="O1827" t="s">
        <v>28</v>
      </c>
      <c r="P1827">
        <v>0</v>
      </c>
      <c r="Q1827">
        <v>1</v>
      </c>
      <c r="R1827">
        <v>5</v>
      </c>
      <c r="S1827" s="2">
        <v>42068</v>
      </c>
      <c r="T1827" s="2">
        <v>42580</v>
      </c>
      <c r="U1827" s="2">
        <v>42180</v>
      </c>
      <c r="V1827" s="2">
        <v>42984</v>
      </c>
    </row>
    <row r="1828" spans="1:22" x14ac:dyDescent="0.2">
      <c r="A1828" t="str">
        <f>"371.2 KEN"</f>
        <v>371.2 KEN</v>
      </c>
      <c r="B1828" t="str">
        <f>"word whiz's guide to Texas elementary sc"</f>
        <v>word whiz's guide to Texas elementary sc</v>
      </c>
      <c r="C1828">
        <v>248674</v>
      </c>
      <c r="D1828" t="str">
        <f>"Kensler, Chris"</f>
        <v>Kensler, Chris</v>
      </c>
      <c r="F1828" t="str">
        <f>"95 p., 24 cm., ill."</f>
        <v>95 p., 24 cm., ill.</v>
      </c>
      <c r="G1828" s="1">
        <v>11</v>
      </c>
      <c r="H1828">
        <v>2001</v>
      </c>
      <c r="I1828" t="str">
        <f t="shared" si="66"/>
        <v>9: 300 - 399</v>
      </c>
      <c r="K1828" t="str">
        <f>"LL - In"</f>
        <v>LL - In</v>
      </c>
      <c r="L1828" s="1">
        <v>13</v>
      </c>
      <c r="M1828" t="s">
        <v>1715</v>
      </c>
      <c r="O1828" t="s">
        <v>28</v>
      </c>
      <c r="P1828">
        <v>6</v>
      </c>
      <c r="Q1828">
        <v>4</v>
      </c>
      <c r="R1828">
        <v>26</v>
      </c>
      <c r="S1828" s="2">
        <v>40723</v>
      </c>
      <c r="T1828" s="2">
        <v>41053</v>
      </c>
      <c r="U1828" s="2">
        <v>43795</v>
      </c>
      <c r="V1828" s="2">
        <v>43712</v>
      </c>
    </row>
    <row r="1829" spans="1:22" x14ac:dyDescent="0.2">
      <c r="A1829" t="str">
        <f>"371.2 KEN"</f>
        <v>371.2 KEN</v>
      </c>
      <c r="B1829" t="str">
        <f>"word whiz's guide to Texas middle school"</f>
        <v>word whiz's guide to Texas middle school</v>
      </c>
      <c r="C1829">
        <v>262075</v>
      </c>
      <c r="D1829" t="str">
        <f>"Kensler, Chris"</f>
        <v>Kensler, Chris</v>
      </c>
      <c r="F1829" t="str">
        <f>"95 p., 24 cm., ill."</f>
        <v>95 p., 24 cm., ill.</v>
      </c>
      <c r="G1829" s="1">
        <v>12</v>
      </c>
      <c r="H1829">
        <v>2001</v>
      </c>
      <c r="I1829" t="str">
        <f t="shared" si="66"/>
        <v>9: 300 - 399</v>
      </c>
      <c r="K1829" t="str">
        <f>"WB - In"</f>
        <v>WB - In</v>
      </c>
      <c r="L1829" s="1">
        <v>13</v>
      </c>
      <c r="M1829" t="s">
        <v>1716</v>
      </c>
      <c r="O1829" t="s">
        <v>28</v>
      </c>
      <c r="P1829">
        <v>2</v>
      </c>
      <c r="Q1829">
        <v>0</v>
      </c>
      <c r="R1829">
        <v>13</v>
      </c>
      <c r="S1829" s="2">
        <v>41249</v>
      </c>
      <c r="T1829" s="2">
        <v>41255</v>
      </c>
      <c r="U1829" s="2">
        <v>43298</v>
      </c>
      <c r="V1829" s="2">
        <v>41547</v>
      </c>
    </row>
    <row r="1830" spans="1:22" x14ac:dyDescent="0.2">
      <c r="A1830" t="str">
        <f>"371.2 KOH"</f>
        <v>371.2 KOH</v>
      </c>
      <c r="B1830" t="str">
        <f>"schools our children deserve: moving bey"</f>
        <v>schools our children deserve: moving bey</v>
      </c>
      <c r="C1830">
        <v>345215</v>
      </c>
      <c r="D1830" t="str">
        <f>"Kohn, Alfie"</f>
        <v>Kohn, Alfie</v>
      </c>
      <c r="F1830" t="str">
        <f>"vi, 344 p., 23 cm"</f>
        <v>vi, 344 p., 23 cm</v>
      </c>
      <c r="G1830" s="1">
        <v>17</v>
      </c>
      <c r="H1830">
        <v>2000</v>
      </c>
      <c r="I1830" t="str">
        <f t="shared" si="66"/>
        <v>9: 300 - 399</v>
      </c>
      <c r="K1830" t="str">
        <f>"LL - In"</f>
        <v>LL - In</v>
      </c>
      <c r="L1830" s="1">
        <v>21</v>
      </c>
      <c r="M1830" t="s">
        <v>1717</v>
      </c>
      <c r="O1830" t="s">
        <v>28</v>
      </c>
      <c r="P1830">
        <v>1</v>
      </c>
      <c r="Q1830">
        <v>9</v>
      </c>
      <c r="R1830">
        <v>10</v>
      </c>
      <c r="S1830" s="2">
        <v>43089</v>
      </c>
      <c r="T1830" s="2">
        <v>43123</v>
      </c>
      <c r="U1830" s="2">
        <v>43416</v>
      </c>
      <c r="V1830" s="2">
        <v>43712</v>
      </c>
    </row>
    <row r="1831" spans="1:22" x14ac:dyDescent="0.2">
      <c r="A1831" t="str">
        <f>"371.2 MAR"</f>
        <v>371.2 MAR</v>
      </c>
      <c r="B1831" t="str">
        <f>"Invent to learn: making, tinkering, and "</f>
        <v xml:space="preserve">Invent to learn: making, tinkering, and </v>
      </c>
      <c r="C1831">
        <v>354956</v>
      </c>
      <c r="D1831" t="str">
        <f>"Martinez, Sylvia Libow."</f>
        <v>Martinez, Sylvia Libow.</v>
      </c>
      <c r="G1831" s="1">
        <v>19</v>
      </c>
      <c r="H1831">
        <v>2019</v>
      </c>
      <c r="I1831" t="str">
        <f t="shared" si="66"/>
        <v>9: 300 - 399</v>
      </c>
      <c r="K1831" t="str">
        <f>"LL - In"</f>
        <v>LL - In</v>
      </c>
      <c r="L1831" s="1">
        <v>40</v>
      </c>
      <c r="M1831" t="s">
        <v>1718</v>
      </c>
      <c r="O1831" t="s">
        <v>28</v>
      </c>
      <c r="P1831">
        <v>0</v>
      </c>
      <c r="Q1831">
        <v>1</v>
      </c>
      <c r="R1831">
        <v>1</v>
      </c>
      <c r="S1831" s="2">
        <v>43606</v>
      </c>
      <c r="T1831" s="2">
        <v>43630</v>
      </c>
      <c r="V1831" s="2">
        <v>43635</v>
      </c>
    </row>
    <row r="1832" spans="1:22" x14ac:dyDescent="0.2">
      <c r="A1832" t="str">
        <f t="shared" ref="A1832:A1839" si="68">"371.2 MAT"</f>
        <v>371.2 MAT</v>
      </c>
      <c r="B1832" t="str">
        <f>"STAAR EOC Algebra I assessment secrets: "</f>
        <v xml:space="preserve">STAAR EOC Algebra I assessment secrets: </v>
      </c>
      <c r="C1832">
        <v>279272</v>
      </c>
      <c r="F1832" t="str">
        <f>"90 p."</f>
        <v>90 p.</v>
      </c>
      <c r="G1832" s="1">
        <v>15</v>
      </c>
      <c r="H1832">
        <v>2014</v>
      </c>
      <c r="I1832" t="str">
        <f t="shared" si="66"/>
        <v>9: 300 - 399</v>
      </c>
      <c r="K1832" t="str">
        <f>"WB - In"</f>
        <v>WB - In</v>
      </c>
      <c r="L1832" s="1">
        <v>21</v>
      </c>
      <c r="M1832" t="s">
        <v>1719</v>
      </c>
      <c r="O1832" t="s">
        <v>28</v>
      </c>
      <c r="P1832">
        <v>5</v>
      </c>
      <c r="Q1832">
        <v>0</v>
      </c>
      <c r="R1832">
        <v>12</v>
      </c>
      <c r="S1832" s="2">
        <v>42032</v>
      </c>
      <c r="T1832" s="2">
        <v>42041</v>
      </c>
      <c r="U1832" s="2">
        <v>43716</v>
      </c>
      <c r="V1832" s="2">
        <v>42110</v>
      </c>
    </row>
    <row r="1833" spans="1:22" x14ac:dyDescent="0.2">
      <c r="A1833" t="str">
        <f t="shared" si="68"/>
        <v>371.2 MAT</v>
      </c>
      <c r="B1833" t="str">
        <f>"STAAR grade 7 mathematics assessment sec"</f>
        <v>STAAR grade 7 mathematics assessment sec</v>
      </c>
      <c r="C1833">
        <v>278797</v>
      </c>
      <c r="F1833" t="str">
        <f>"94 p."</f>
        <v>94 p.</v>
      </c>
      <c r="G1833" s="1">
        <v>15</v>
      </c>
      <c r="H1833">
        <v>2014</v>
      </c>
      <c r="I1833" t="str">
        <f t="shared" si="66"/>
        <v>9: 300 - 399</v>
      </c>
      <c r="K1833" t="str">
        <f>"WB - Out"</f>
        <v>WB - Out</v>
      </c>
      <c r="L1833" s="1">
        <v>21</v>
      </c>
      <c r="M1833" t="s">
        <v>1720</v>
      </c>
      <c r="O1833" t="s">
        <v>28</v>
      </c>
      <c r="P1833">
        <v>8</v>
      </c>
      <c r="Q1833">
        <v>1</v>
      </c>
      <c r="R1833">
        <v>15</v>
      </c>
      <c r="S1833" s="2">
        <v>42002</v>
      </c>
      <c r="T1833" s="2">
        <v>42032</v>
      </c>
      <c r="U1833" s="2">
        <v>43851</v>
      </c>
      <c r="V1833" s="2">
        <v>43029</v>
      </c>
    </row>
    <row r="1834" spans="1:22" x14ac:dyDescent="0.2">
      <c r="A1834" t="str">
        <f t="shared" si="68"/>
        <v>371.2 MAT</v>
      </c>
      <c r="B1834" t="str">
        <f t="shared" ref="B1834:B1839" si="69">"Texas test prep practice test book: STAA"</f>
        <v>Texas test prep practice test book: STAA</v>
      </c>
      <c r="C1834">
        <v>255668</v>
      </c>
      <c r="F1834" t="str">
        <f>"129 p."</f>
        <v>129 p.</v>
      </c>
      <c r="G1834" s="1">
        <v>12</v>
      </c>
      <c r="H1834">
        <v>2011</v>
      </c>
      <c r="I1834" t="str">
        <f t="shared" si="66"/>
        <v>9: 300 - 399</v>
      </c>
      <c r="K1834" t="str">
        <f>"LL - Out"</f>
        <v>LL - Out</v>
      </c>
      <c r="L1834" s="1">
        <v>21</v>
      </c>
      <c r="M1834" t="s">
        <v>1721</v>
      </c>
      <c r="O1834" t="s">
        <v>28</v>
      </c>
      <c r="P1834">
        <v>7</v>
      </c>
      <c r="Q1834">
        <v>0</v>
      </c>
      <c r="R1834">
        <v>26</v>
      </c>
      <c r="S1834" s="2">
        <v>40990</v>
      </c>
      <c r="T1834" s="2">
        <v>41060</v>
      </c>
      <c r="U1834" s="2">
        <v>43848</v>
      </c>
      <c r="V1834" s="2">
        <v>42110</v>
      </c>
    </row>
    <row r="1835" spans="1:22" x14ac:dyDescent="0.2">
      <c r="A1835" t="str">
        <f t="shared" si="68"/>
        <v>371.2 MAT</v>
      </c>
      <c r="B1835" t="str">
        <f t="shared" si="69"/>
        <v>Texas test prep practice test book: STAA</v>
      </c>
      <c r="C1835">
        <v>260298</v>
      </c>
      <c r="F1835" t="str">
        <f>"129 p."</f>
        <v>129 p.</v>
      </c>
      <c r="G1835" s="1">
        <v>12</v>
      </c>
      <c r="H1835">
        <v>2011</v>
      </c>
      <c r="I1835" t="str">
        <f t="shared" si="66"/>
        <v>9: 300 - 399</v>
      </c>
      <c r="K1835" t="str">
        <f>"WB - Out"</f>
        <v>WB - Out</v>
      </c>
      <c r="L1835" s="1">
        <v>21</v>
      </c>
      <c r="M1835" t="s">
        <v>1722</v>
      </c>
      <c r="O1835" t="s">
        <v>28</v>
      </c>
      <c r="P1835">
        <v>9</v>
      </c>
      <c r="Q1835">
        <v>1</v>
      </c>
      <c r="R1835">
        <v>26</v>
      </c>
      <c r="S1835" s="2">
        <v>41165</v>
      </c>
      <c r="T1835" s="2">
        <v>41170</v>
      </c>
      <c r="U1835" s="2">
        <v>43851</v>
      </c>
      <c r="V1835" s="2">
        <v>43242</v>
      </c>
    </row>
    <row r="1836" spans="1:22" x14ac:dyDescent="0.2">
      <c r="A1836" t="str">
        <f t="shared" si="68"/>
        <v>371.2 MAT</v>
      </c>
      <c r="B1836" t="str">
        <f t="shared" si="69"/>
        <v>Texas test prep practice test book: STAA</v>
      </c>
      <c r="C1836">
        <v>264443</v>
      </c>
      <c r="F1836" t="str">
        <f>"115 p."</f>
        <v>115 p.</v>
      </c>
      <c r="G1836" s="1">
        <v>13</v>
      </c>
      <c r="H1836">
        <v>2011</v>
      </c>
      <c r="I1836" t="str">
        <f t="shared" si="66"/>
        <v>9: 300 - 399</v>
      </c>
      <c r="K1836" t="str">
        <f>"WB - In"</f>
        <v>WB - In</v>
      </c>
      <c r="L1836" s="1">
        <v>21</v>
      </c>
      <c r="M1836" t="s">
        <v>1723</v>
      </c>
      <c r="O1836" t="s">
        <v>28</v>
      </c>
      <c r="P1836">
        <v>6</v>
      </c>
      <c r="Q1836">
        <v>0</v>
      </c>
      <c r="R1836">
        <v>25</v>
      </c>
      <c r="S1836" s="2">
        <v>41354</v>
      </c>
      <c r="T1836" s="2">
        <v>41359</v>
      </c>
      <c r="U1836" s="2">
        <v>43564</v>
      </c>
      <c r="V1836" s="2">
        <v>42110</v>
      </c>
    </row>
    <row r="1837" spans="1:22" x14ac:dyDescent="0.2">
      <c r="A1837" t="str">
        <f t="shared" si="68"/>
        <v>371.2 MAT</v>
      </c>
      <c r="B1837" t="str">
        <f t="shared" si="69"/>
        <v>Texas test prep practice test book: STAA</v>
      </c>
      <c r="C1837">
        <v>315688</v>
      </c>
      <c r="F1837" t="str">
        <f>"115 p."</f>
        <v>115 p.</v>
      </c>
      <c r="G1837" s="1">
        <v>13</v>
      </c>
      <c r="H1837">
        <v>2011</v>
      </c>
      <c r="I1837" t="str">
        <f t="shared" si="66"/>
        <v>9: 300 - 399</v>
      </c>
      <c r="K1837" t="str">
        <f>"WB - Out"</f>
        <v>WB - Out</v>
      </c>
      <c r="L1837" s="1">
        <v>21</v>
      </c>
      <c r="M1837" t="s">
        <v>1723</v>
      </c>
      <c r="O1837" t="s">
        <v>28</v>
      </c>
      <c r="P1837">
        <v>1</v>
      </c>
      <c r="Q1837">
        <v>1</v>
      </c>
      <c r="R1837">
        <v>13</v>
      </c>
      <c r="S1837" s="2">
        <v>41467</v>
      </c>
      <c r="T1837" s="2">
        <v>41514</v>
      </c>
      <c r="U1837" s="2">
        <v>43853</v>
      </c>
      <c r="V1837" s="2">
        <v>43183</v>
      </c>
    </row>
    <row r="1838" spans="1:22" x14ac:dyDescent="0.2">
      <c r="A1838" t="str">
        <f t="shared" si="68"/>
        <v>371.2 MAT</v>
      </c>
      <c r="B1838" t="str">
        <f t="shared" si="69"/>
        <v>Texas test prep practice test book: STAA</v>
      </c>
      <c r="C1838">
        <v>278226</v>
      </c>
      <c r="F1838" t="str">
        <f>"106 p."</f>
        <v>106 p.</v>
      </c>
      <c r="G1838" s="1">
        <v>14</v>
      </c>
      <c r="H1838">
        <v>2011</v>
      </c>
      <c r="I1838" t="str">
        <f t="shared" si="66"/>
        <v>9: 300 - 399</v>
      </c>
      <c r="K1838" t="str">
        <f>"LL - In"</f>
        <v>LL - In</v>
      </c>
      <c r="L1838" s="1">
        <v>21</v>
      </c>
      <c r="M1838" t="s">
        <v>1724</v>
      </c>
      <c r="O1838" t="s">
        <v>28</v>
      </c>
      <c r="P1838">
        <v>7</v>
      </c>
      <c r="Q1838">
        <v>0</v>
      </c>
      <c r="R1838">
        <v>12</v>
      </c>
      <c r="S1838" s="2">
        <v>41968</v>
      </c>
      <c r="T1838" s="2">
        <v>41975</v>
      </c>
      <c r="U1838" s="2">
        <v>43772</v>
      </c>
      <c r="V1838" s="2">
        <v>42069</v>
      </c>
    </row>
    <row r="1839" spans="1:22" x14ac:dyDescent="0.2">
      <c r="A1839" t="str">
        <f t="shared" si="68"/>
        <v>371.2 MAT</v>
      </c>
      <c r="B1839" t="str">
        <f t="shared" si="69"/>
        <v>Texas test prep practice test book: STAA</v>
      </c>
      <c r="C1839">
        <v>296539</v>
      </c>
      <c r="F1839" t="str">
        <f>"106 p."</f>
        <v>106 p.</v>
      </c>
      <c r="G1839" s="1">
        <v>17</v>
      </c>
      <c r="H1839">
        <v>2011</v>
      </c>
      <c r="I1839" t="str">
        <f t="shared" si="66"/>
        <v>9: 300 - 399</v>
      </c>
      <c r="K1839" t="str">
        <f>"WB - In"</f>
        <v>WB - In</v>
      </c>
      <c r="L1839" s="1">
        <v>21</v>
      </c>
      <c r="M1839" t="s">
        <v>1724</v>
      </c>
      <c r="O1839" t="s">
        <v>28</v>
      </c>
      <c r="P1839">
        <v>6</v>
      </c>
      <c r="Q1839">
        <v>2</v>
      </c>
      <c r="R1839">
        <v>8</v>
      </c>
      <c r="S1839" s="2">
        <v>42955</v>
      </c>
      <c r="T1839" s="2">
        <v>42961</v>
      </c>
      <c r="U1839" s="2">
        <v>43534</v>
      </c>
      <c r="V1839" s="2">
        <v>43396</v>
      </c>
    </row>
    <row r="1840" spans="1:22" x14ac:dyDescent="0.2">
      <c r="A1840" t="str">
        <f>"371.2 POP"</f>
        <v>371.2 POP</v>
      </c>
      <c r="B1840" t="str">
        <f>"Overloaded and underprepared: strategies"</f>
        <v>Overloaded and underprepared: strategies</v>
      </c>
      <c r="C1840">
        <v>331907</v>
      </c>
      <c r="D1840" t="str">
        <f>"Pope, Denise Clark,"</f>
        <v>Pope, Denise Clark,</v>
      </c>
      <c r="F1840" t="str">
        <f>"xii, 244 pages, 24 cm, illustrations"</f>
        <v>xii, 244 pages, 24 cm, illustrations</v>
      </c>
      <c r="G1840" s="1">
        <v>15</v>
      </c>
      <c r="H1840">
        <v>2015</v>
      </c>
      <c r="I1840" t="str">
        <f t="shared" si="66"/>
        <v>9: 300 - 399</v>
      </c>
      <c r="K1840" t="str">
        <f>"WB - In"</f>
        <v>WB - In</v>
      </c>
      <c r="L1840" s="1">
        <v>35</v>
      </c>
      <c r="M1840" t="s">
        <v>1725</v>
      </c>
      <c r="O1840" t="s">
        <v>28</v>
      </c>
      <c r="P1840">
        <v>2</v>
      </c>
      <c r="Q1840">
        <v>2</v>
      </c>
      <c r="R1840">
        <v>9</v>
      </c>
      <c r="S1840" s="2">
        <v>42351</v>
      </c>
      <c r="T1840" s="2">
        <v>42374</v>
      </c>
      <c r="U1840" s="2">
        <v>43048</v>
      </c>
      <c r="V1840" s="2">
        <v>43040</v>
      </c>
    </row>
    <row r="1841" spans="1:22" x14ac:dyDescent="0.2">
      <c r="A1841" t="str">
        <f>"371.2 RIS"</f>
        <v>371.2 RIS</v>
      </c>
      <c r="B1841" t="str">
        <f>"Rise &amp; Shine STAAR prep reading comprehe"</f>
        <v>Rise &amp; Shine STAAR prep reading comprehe</v>
      </c>
      <c r="C1841">
        <v>273498</v>
      </c>
      <c r="F1841" t="str">
        <f>"161 p."</f>
        <v>161 p.</v>
      </c>
      <c r="G1841" s="1">
        <v>14</v>
      </c>
      <c r="H1841">
        <v>2014</v>
      </c>
      <c r="I1841" t="str">
        <f t="shared" si="66"/>
        <v>9: 300 - 399</v>
      </c>
      <c r="K1841" t="str">
        <f>"WB - In"</f>
        <v>WB - In</v>
      </c>
      <c r="L1841" s="1">
        <v>18</v>
      </c>
      <c r="M1841" t="s">
        <v>1726</v>
      </c>
      <c r="O1841" t="s">
        <v>28</v>
      </c>
      <c r="P1841">
        <v>3</v>
      </c>
      <c r="Q1841">
        <v>1</v>
      </c>
      <c r="R1841">
        <v>14</v>
      </c>
      <c r="S1841" s="2">
        <v>41765</v>
      </c>
      <c r="T1841" s="2">
        <v>41767</v>
      </c>
      <c r="U1841" s="2">
        <v>43211</v>
      </c>
      <c r="V1841" s="2">
        <v>43513</v>
      </c>
    </row>
    <row r="1842" spans="1:22" x14ac:dyDescent="0.2">
      <c r="A1842" t="str">
        <f>"371.2 RIS"</f>
        <v>371.2 RIS</v>
      </c>
      <c r="B1842" t="str">
        <f>"Rise &amp; Shine STAAR prep reading comprehe"</f>
        <v>Rise &amp; Shine STAAR prep reading comprehe</v>
      </c>
      <c r="C1842">
        <v>273497</v>
      </c>
      <c r="F1842" t="str">
        <f>"161 p."</f>
        <v>161 p.</v>
      </c>
      <c r="G1842" s="1">
        <v>14</v>
      </c>
      <c r="H1842">
        <v>2014</v>
      </c>
      <c r="I1842" t="str">
        <f t="shared" si="66"/>
        <v>9: 300 - 399</v>
      </c>
      <c r="K1842" t="str">
        <f>"WB - In"</f>
        <v>WB - In</v>
      </c>
      <c r="L1842" s="1">
        <v>18</v>
      </c>
      <c r="M1842" t="s">
        <v>1727</v>
      </c>
      <c r="O1842" t="s">
        <v>28</v>
      </c>
      <c r="P1842">
        <v>5</v>
      </c>
      <c r="Q1842">
        <v>0</v>
      </c>
      <c r="R1842">
        <v>14</v>
      </c>
      <c r="S1842" s="2">
        <v>41765</v>
      </c>
      <c r="T1842" s="2">
        <v>41767</v>
      </c>
      <c r="U1842" s="2">
        <v>43541</v>
      </c>
    </row>
    <row r="1843" spans="1:22" x14ac:dyDescent="0.2">
      <c r="A1843" t="str">
        <f>"371.2 RUS"</f>
        <v>371.2 RUS</v>
      </c>
      <c r="B1843" t="str">
        <f>"prize: who's in charge of America's scho"</f>
        <v>prize: who's in charge of America's scho</v>
      </c>
      <c r="C1843">
        <v>330279</v>
      </c>
      <c r="D1843" t="str">
        <f>"Russakoff, Dale"</f>
        <v>Russakoff, Dale</v>
      </c>
      <c r="F1843" t="str">
        <f>"246 pages, 24 cm, illustrations"</f>
        <v>246 pages, 24 cm, illustrations</v>
      </c>
      <c r="G1843" s="1">
        <v>15</v>
      </c>
      <c r="H1843">
        <v>2015</v>
      </c>
      <c r="I1843" t="str">
        <f t="shared" si="66"/>
        <v>9: 300 - 399</v>
      </c>
      <c r="K1843" t="str">
        <f>"WB - In"</f>
        <v>WB - In</v>
      </c>
      <c r="L1843" s="1">
        <v>32</v>
      </c>
      <c r="M1843" t="s">
        <v>1728</v>
      </c>
      <c r="O1843" t="s">
        <v>28</v>
      </c>
      <c r="P1843">
        <v>0</v>
      </c>
      <c r="Q1843">
        <v>0</v>
      </c>
      <c r="R1843">
        <v>11</v>
      </c>
      <c r="S1843" s="2">
        <v>42279</v>
      </c>
      <c r="T1843" s="2">
        <v>42437</v>
      </c>
      <c r="U1843" s="2">
        <v>42737</v>
      </c>
      <c r="V1843" s="2">
        <v>42437</v>
      </c>
    </row>
    <row r="1844" spans="1:22" x14ac:dyDescent="0.2">
      <c r="A1844" t="str">
        <f>"371.2 SIL"</f>
        <v>371.2 SIL</v>
      </c>
      <c r="B1844" t="str">
        <f>"official guide to the middle level SSAT"</f>
        <v>official guide to the middle level SSAT</v>
      </c>
      <c r="C1844">
        <v>292510</v>
      </c>
      <c r="D1844" t="str">
        <f>"Enrollment Management Association"</f>
        <v>Enrollment Management Association</v>
      </c>
      <c r="F1844" t="str">
        <f>"142 p."</f>
        <v>142 p.</v>
      </c>
      <c r="G1844" s="1">
        <v>16</v>
      </c>
      <c r="H1844">
        <v>2016</v>
      </c>
      <c r="I1844" t="str">
        <f t="shared" si="66"/>
        <v>9: 300 - 399</v>
      </c>
      <c r="K1844" t="str">
        <f>"WB - Out"</f>
        <v>WB - Out</v>
      </c>
      <c r="L1844" s="1">
        <v>25</v>
      </c>
      <c r="M1844" t="s">
        <v>1729</v>
      </c>
      <c r="O1844" t="s">
        <v>28</v>
      </c>
      <c r="P1844">
        <v>10</v>
      </c>
      <c r="Q1844">
        <v>1</v>
      </c>
      <c r="R1844">
        <v>11</v>
      </c>
      <c r="S1844" s="2">
        <v>42724</v>
      </c>
      <c r="T1844" s="2">
        <v>42734</v>
      </c>
      <c r="U1844" s="2">
        <v>43842</v>
      </c>
      <c r="V1844" s="2">
        <v>43410</v>
      </c>
    </row>
    <row r="1845" spans="1:22" x14ac:dyDescent="0.2">
      <c r="A1845" t="str">
        <f>"371.2 STA"</f>
        <v>371.2 STA</v>
      </c>
      <c r="B1845" t="str">
        <f>"STAAR grade 8 mathematics assessment sec"</f>
        <v>STAAR grade 8 mathematics assessment sec</v>
      </c>
      <c r="C1845">
        <v>335528</v>
      </c>
      <c r="F1845" t="str">
        <f>"iv, 104 p., 28 cm, ill."</f>
        <v>iv, 104 p., 28 cm, ill.</v>
      </c>
      <c r="G1845" s="1">
        <v>16</v>
      </c>
      <c r="H1845">
        <v>2014</v>
      </c>
      <c r="I1845" t="str">
        <f t="shared" si="66"/>
        <v>9: 300 - 399</v>
      </c>
      <c r="K1845" t="str">
        <f>"LL - In"</f>
        <v>LL - In</v>
      </c>
      <c r="L1845" s="1">
        <v>33</v>
      </c>
      <c r="M1845" t="s">
        <v>1730</v>
      </c>
      <c r="O1845" t="s">
        <v>28</v>
      </c>
      <c r="P1845">
        <v>2</v>
      </c>
      <c r="Q1845">
        <v>0</v>
      </c>
      <c r="R1845">
        <v>4</v>
      </c>
      <c r="S1845" s="2">
        <v>42528</v>
      </c>
      <c r="T1845" s="2">
        <v>42538</v>
      </c>
      <c r="U1845" s="2">
        <v>42911</v>
      </c>
      <c r="V1845" s="2">
        <v>42541</v>
      </c>
    </row>
    <row r="1846" spans="1:22" x14ac:dyDescent="0.2">
      <c r="A1846" t="str">
        <f t="shared" ref="A1846:A1855" si="70">"371.2 TEX"</f>
        <v>371.2 TEX</v>
      </c>
      <c r="B1846" t="str">
        <f>"TEKS math test prep for STAAR : 3rd grad"</f>
        <v>TEKS math test prep for STAAR : 3rd grad</v>
      </c>
      <c r="C1846">
        <v>324862</v>
      </c>
      <c r="F1846" t="str">
        <f>"288 p."</f>
        <v>288 p.</v>
      </c>
      <c r="G1846" s="1">
        <v>14</v>
      </c>
      <c r="H1846">
        <v>2014</v>
      </c>
      <c r="I1846" t="str">
        <f t="shared" si="66"/>
        <v>9: 300 - 399</v>
      </c>
      <c r="K1846" t="str">
        <f>"WB - In"</f>
        <v>WB - In</v>
      </c>
      <c r="L1846" s="1">
        <v>21</v>
      </c>
      <c r="M1846" t="s">
        <v>1731</v>
      </c>
      <c r="O1846" t="s">
        <v>28</v>
      </c>
      <c r="P1846">
        <v>12</v>
      </c>
      <c r="Q1846">
        <v>1</v>
      </c>
      <c r="R1846">
        <v>15</v>
      </c>
      <c r="S1846" s="2">
        <v>41967</v>
      </c>
      <c r="T1846" s="2">
        <v>41975</v>
      </c>
      <c r="U1846" s="2">
        <v>43665</v>
      </c>
      <c r="V1846" s="2">
        <v>42798</v>
      </c>
    </row>
    <row r="1847" spans="1:22" x14ac:dyDescent="0.2">
      <c r="A1847" t="str">
        <f t="shared" si="70"/>
        <v>371.2 TEX</v>
      </c>
      <c r="B1847" t="str">
        <f>"Texas test prep practice test book: STAA"</f>
        <v>Texas test prep practice test book: STAA</v>
      </c>
      <c r="C1847">
        <v>256381</v>
      </c>
      <c r="F1847" t="str">
        <f>"132 p."</f>
        <v>132 p.</v>
      </c>
      <c r="G1847" s="1">
        <v>12</v>
      </c>
      <c r="H1847">
        <v>2014</v>
      </c>
      <c r="I1847" t="str">
        <f t="shared" si="66"/>
        <v>9: 300 - 399</v>
      </c>
      <c r="K1847" t="str">
        <f>"WB - In"</f>
        <v>WB - In</v>
      </c>
      <c r="L1847" s="1">
        <v>21</v>
      </c>
      <c r="M1847" t="s">
        <v>1732</v>
      </c>
      <c r="O1847" t="s">
        <v>28</v>
      </c>
      <c r="P1847">
        <v>7</v>
      </c>
      <c r="Q1847">
        <v>3</v>
      </c>
      <c r="R1847">
        <v>29</v>
      </c>
      <c r="S1847" s="2">
        <v>41018</v>
      </c>
      <c r="T1847" s="2">
        <v>42907</v>
      </c>
      <c r="U1847" s="2">
        <v>43621</v>
      </c>
      <c r="V1847" s="2">
        <v>43242</v>
      </c>
    </row>
    <row r="1848" spans="1:22" x14ac:dyDescent="0.2">
      <c r="A1848" t="str">
        <f t="shared" si="70"/>
        <v>371.2 TEX</v>
      </c>
      <c r="B1848" t="str">
        <f>"Texas test prep practice test book: STAA"</f>
        <v>Texas test prep practice test book: STAA</v>
      </c>
      <c r="C1848">
        <v>260421</v>
      </c>
      <c r="F1848" t="str">
        <f>"127 p."</f>
        <v>127 p.</v>
      </c>
      <c r="G1848" s="1">
        <v>12</v>
      </c>
      <c r="H1848">
        <v>2011</v>
      </c>
      <c r="I1848" t="str">
        <f t="shared" si="66"/>
        <v>9: 300 - 399</v>
      </c>
      <c r="K1848" t="str">
        <f>"WB - Out"</f>
        <v>WB - Out</v>
      </c>
      <c r="L1848" s="1">
        <v>21</v>
      </c>
      <c r="M1848" t="s">
        <v>1733</v>
      </c>
      <c r="O1848" t="s">
        <v>28</v>
      </c>
      <c r="P1848">
        <v>6</v>
      </c>
      <c r="Q1848">
        <v>1</v>
      </c>
      <c r="R1848">
        <v>18</v>
      </c>
      <c r="S1848" s="2">
        <v>41176</v>
      </c>
      <c r="T1848" s="2">
        <v>41184</v>
      </c>
      <c r="U1848" s="2">
        <v>43851</v>
      </c>
      <c r="V1848" s="2">
        <v>43513</v>
      </c>
    </row>
    <row r="1849" spans="1:22" x14ac:dyDescent="0.2">
      <c r="A1849" t="str">
        <f t="shared" si="70"/>
        <v>371.2 TEX</v>
      </c>
      <c r="B1849" t="str">
        <f>"Texas test prep practice test book: STAA"</f>
        <v>Texas test prep practice test book: STAA</v>
      </c>
      <c r="C1849">
        <v>260568</v>
      </c>
      <c r="F1849" t="str">
        <f>"127 p."</f>
        <v>127 p.</v>
      </c>
      <c r="G1849" s="1">
        <v>12</v>
      </c>
      <c r="H1849">
        <v>2011</v>
      </c>
      <c r="I1849" t="str">
        <f t="shared" si="66"/>
        <v>9: 300 - 399</v>
      </c>
      <c r="K1849" t="str">
        <f>"LL - Out"</f>
        <v>LL - Out</v>
      </c>
      <c r="L1849" s="1">
        <v>21</v>
      </c>
      <c r="M1849" t="s">
        <v>1733</v>
      </c>
      <c r="O1849" t="s">
        <v>28</v>
      </c>
      <c r="P1849">
        <v>2</v>
      </c>
      <c r="Q1849">
        <v>0</v>
      </c>
      <c r="R1849">
        <v>13</v>
      </c>
      <c r="S1849" s="2">
        <v>41185</v>
      </c>
      <c r="T1849" s="2">
        <v>41191</v>
      </c>
      <c r="U1849" s="2">
        <v>43855</v>
      </c>
    </row>
    <row r="1850" spans="1:22" x14ac:dyDescent="0.2">
      <c r="A1850" t="str">
        <f t="shared" si="70"/>
        <v>371.2 TEX</v>
      </c>
      <c r="B1850" t="str">
        <f>"Texas test prep practice test book: STAA"</f>
        <v>Texas test prep practice test book: STAA</v>
      </c>
      <c r="C1850">
        <v>295638</v>
      </c>
      <c r="F1850" t="str">
        <f>"132 p."</f>
        <v>132 p.</v>
      </c>
      <c r="G1850" s="1">
        <v>17</v>
      </c>
      <c r="H1850">
        <v>2014</v>
      </c>
      <c r="I1850" t="str">
        <f t="shared" si="66"/>
        <v>9: 300 - 399</v>
      </c>
      <c r="K1850" t="str">
        <f>"WB - In"</f>
        <v>WB - In</v>
      </c>
      <c r="L1850" s="1">
        <v>23</v>
      </c>
      <c r="M1850" t="s">
        <v>1732</v>
      </c>
      <c r="O1850" t="s">
        <v>28</v>
      </c>
      <c r="P1850">
        <v>5</v>
      </c>
      <c r="Q1850">
        <v>0</v>
      </c>
      <c r="R1850">
        <v>5</v>
      </c>
      <c r="S1850" s="2">
        <v>42907</v>
      </c>
      <c r="T1850" s="2">
        <v>42913</v>
      </c>
      <c r="U1850" s="2">
        <v>43718</v>
      </c>
    </row>
    <row r="1851" spans="1:22" x14ac:dyDescent="0.2">
      <c r="A1851" t="str">
        <f t="shared" si="70"/>
        <v>371.2 TEX</v>
      </c>
      <c r="B1851" t="str">
        <f>"Texas test prep reading workbook: STAAR "</f>
        <v xml:space="preserve">Texas test prep reading workbook: STAAR </v>
      </c>
      <c r="C1851">
        <v>256147</v>
      </c>
      <c r="F1851" t="str">
        <f>"116 p."</f>
        <v>116 p.</v>
      </c>
      <c r="G1851" s="1">
        <v>12</v>
      </c>
      <c r="H1851">
        <v>2011</v>
      </c>
      <c r="I1851" t="str">
        <f t="shared" si="66"/>
        <v>9: 300 - 399</v>
      </c>
      <c r="K1851" t="str">
        <f>"LL - In"</f>
        <v>LL - In</v>
      </c>
      <c r="L1851" s="1">
        <v>21</v>
      </c>
      <c r="M1851" t="s">
        <v>1734</v>
      </c>
      <c r="O1851" t="s">
        <v>28</v>
      </c>
      <c r="P1851">
        <v>4</v>
      </c>
      <c r="Q1851">
        <v>0</v>
      </c>
      <c r="R1851">
        <v>19</v>
      </c>
      <c r="S1851" s="2">
        <v>41009</v>
      </c>
      <c r="T1851" s="2">
        <v>41053</v>
      </c>
      <c r="U1851" s="2">
        <v>43752</v>
      </c>
      <c r="V1851" s="2">
        <v>42630</v>
      </c>
    </row>
    <row r="1852" spans="1:22" x14ac:dyDescent="0.2">
      <c r="A1852" t="str">
        <f t="shared" si="70"/>
        <v>371.2 TEX</v>
      </c>
      <c r="B1852" t="str">
        <f>"Texas test prep reading workbook: STAAR "</f>
        <v xml:space="preserve">Texas test prep reading workbook: STAAR </v>
      </c>
      <c r="C1852">
        <v>256148</v>
      </c>
      <c r="F1852" t="str">
        <f>"122 p."</f>
        <v>122 p.</v>
      </c>
      <c r="H1852">
        <v>2011</v>
      </c>
      <c r="I1852" t="str">
        <f t="shared" si="66"/>
        <v>9: 300 - 399</v>
      </c>
      <c r="K1852" t="str">
        <f>"LL - Out"</f>
        <v>LL - Out</v>
      </c>
      <c r="L1852" s="1">
        <v>21</v>
      </c>
      <c r="M1852" t="s">
        <v>1735</v>
      </c>
      <c r="O1852" t="s">
        <v>28</v>
      </c>
      <c r="P1852">
        <v>6</v>
      </c>
      <c r="Q1852">
        <v>0</v>
      </c>
      <c r="R1852">
        <v>22</v>
      </c>
      <c r="S1852" s="2">
        <v>41009</v>
      </c>
      <c r="T1852" s="2">
        <v>41053</v>
      </c>
      <c r="U1852" s="2">
        <v>43855</v>
      </c>
    </row>
    <row r="1853" spans="1:22" x14ac:dyDescent="0.2">
      <c r="A1853" t="str">
        <f t="shared" si="70"/>
        <v>371.2 TEX</v>
      </c>
      <c r="B1853" t="str">
        <f>"Texas test prep reading workbook: STAAR "</f>
        <v xml:space="preserve">Texas test prep reading workbook: STAAR </v>
      </c>
      <c r="C1853">
        <v>256149</v>
      </c>
      <c r="F1853" t="str">
        <f>"123 p."</f>
        <v>123 p.</v>
      </c>
      <c r="H1853">
        <v>2011</v>
      </c>
      <c r="I1853" t="str">
        <f t="shared" si="66"/>
        <v>9: 300 - 399</v>
      </c>
      <c r="K1853" t="str">
        <f>"WB - Out"</f>
        <v>WB - Out</v>
      </c>
      <c r="L1853" s="1">
        <v>21</v>
      </c>
      <c r="M1853" t="s">
        <v>1736</v>
      </c>
      <c r="O1853" t="s">
        <v>28</v>
      </c>
      <c r="P1853">
        <v>4</v>
      </c>
      <c r="Q1853">
        <v>0</v>
      </c>
      <c r="R1853">
        <v>23</v>
      </c>
      <c r="S1853" s="2">
        <v>41009</v>
      </c>
      <c r="T1853" s="2">
        <v>41053</v>
      </c>
      <c r="U1853" s="2">
        <v>43851</v>
      </c>
    </row>
    <row r="1854" spans="1:22" x14ac:dyDescent="0.2">
      <c r="A1854" t="str">
        <f t="shared" si="70"/>
        <v>371.2 TEX</v>
      </c>
      <c r="B1854" t="str">
        <f>"Texas test prep reading workbook: STAAR "</f>
        <v xml:space="preserve">Texas test prep reading workbook: STAAR </v>
      </c>
      <c r="C1854">
        <v>295639</v>
      </c>
      <c r="F1854" t="str">
        <f>"132 p."</f>
        <v>132 p.</v>
      </c>
      <c r="G1854" s="1">
        <v>17</v>
      </c>
      <c r="H1854">
        <v>2014</v>
      </c>
      <c r="I1854" t="str">
        <f t="shared" si="66"/>
        <v>9: 300 - 399</v>
      </c>
      <c r="K1854" t="str">
        <f>"WB - In"</f>
        <v>WB - In</v>
      </c>
      <c r="L1854" s="1">
        <v>23</v>
      </c>
      <c r="M1854" t="s">
        <v>1737</v>
      </c>
      <c r="O1854" t="s">
        <v>28</v>
      </c>
      <c r="P1854">
        <v>6</v>
      </c>
      <c r="Q1854">
        <v>2</v>
      </c>
      <c r="R1854">
        <v>8</v>
      </c>
      <c r="S1854" s="2">
        <v>42907</v>
      </c>
      <c r="T1854" s="2">
        <v>42928</v>
      </c>
      <c r="U1854" s="2">
        <v>43563</v>
      </c>
      <c r="V1854" s="2">
        <v>43396</v>
      </c>
    </row>
    <row r="1855" spans="1:22" x14ac:dyDescent="0.2">
      <c r="A1855" t="str">
        <f t="shared" si="70"/>
        <v>371.2 TEX</v>
      </c>
      <c r="B1855" t="str">
        <f>"Texas test prep writing workbook: STAAR "</f>
        <v xml:space="preserve">Texas test prep writing workbook: STAAR </v>
      </c>
      <c r="C1855">
        <v>273352</v>
      </c>
      <c r="F1855" t="str">
        <f>"141 p."</f>
        <v>141 p.</v>
      </c>
      <c r="G1855" s="1">
        <v>14</v>
      </c>
      <c r="H1855">
        <v>2012</v>
      </c>
      <c r="I1855" t="str">
        <f t="shared" si="66"/>
        <v>9: 300 - 399</v>
      </c>
      <c r="K1855" t="str">
        <f>"WB - In"</f>
        <v>WB - In</v>
      </c>
      <c r="L1855" s="1">
        <v>21</v>
      </c>
      <c r="M1855" t="s">
        <v>1738</v>
      </c>
      <c r="O1855" t="s">
        <v>28</v>
      </c>
      <c r="P1855">
        <v>5</v>
      </c>
      <c r="Q1855">
        <v>0</v>
      </c>
      <c r="R1855">
        <v>20</v>
      </c>
      <c r="S1855" s="2">
        <v>41757</v>
      </c>
      <c r="T1855" s="2">
        <v>41765</v>
      </c>
      <c r="U1855" s="2">
        <v>43541</v>
      </c>
      <c r="V1855" s="2">
        <v>42716</v>
      </c>
    </row>
    <row r="1856" spans="1:22" x14ac:dyDescent="0.2">
      <c r="A1856" t="str">
        <f>"371.26 MAH"</f>
        <v>371.26 MAH</v>
      </c>
      <c r="B1856" t="str">
        <f>"TExES ESL supplemental (154)"</f>
        <v>TExES ESL supplemental (154)</v>
      </c>
      <c r="C1856">
        <v>318880</v>
      </c>
      <c r="D1856" t="str">
        <f>"Mahler, Jacalyn."</f>
        <v>Mahler, Jacalyn.</v>
      </c>
      <c r="F1856" t="str">
        <f>"xxi, 261 pages, 28 cm"</f>
        <v>xxi, 261 pages, 28 cm</v>
      </c>
      <c r="G1856" s="1">
        <v>14</v>
      </c>
      <c r="H1856">
        <v>2014</v>
      </c>
      <c r="I1856" t="str">
        <f t="shared" si="66"/>
        <v>9: 300 - 399</v>
      </c>
      <c r="K1856" t="str">
        <f>"WB - In"</f>
        <v>WB - In</v>
      </c>
      <c r="L1856" s="1">
        <v>45</v>
      </c>
      <c r="M1856" t="s">
        <v>1739</v>
      </c>
      <c r="O1856" t="s">
        <v>28</v>
      </c>
      <c r="P1856">
        <v>6</v>
      </c>
      <c r="Q1856">
        <v>0</v>
      </c>
      <c r="R1856">
        <v>7</v>
      </c>
      <c r="S1856" s="2">
        <v>41655</v>
      </c>
      <c r="T1856" s="2">
        <v>41675</v>
      </c>
      <c r="U1856" s="2">
        <v>43599</v>
      </c>
    </row>
    <row r="1857" spans="1:22" x14ac:dyDescent="0.2">
      <c r="A1857" t="str">
        <f>"371.26 MAH"</f>
        <v>371.26 MAH</v>
      </c>
      <c r="B1857" t="str">
        <f>"TExES ESL supplemental (154)"</f>
        <v>TExES ESL supplemental (154)</v>
      </c>
      <c r="C1857">
        <v>282454</v>
      </c>
      <c r="D1857" t="str">
        <f>"Mahler, Jacalyn."</f>
        <v>Mahler, Jacalyn.</v>
      </c>
      <c r="F1857" t="str">
        <f>"xxi, 261 pages, 28 cm"</f>
        <v>xxi, 261 pages, 28 cm</v>
      </c>
      <c r="G1857" s="1">
        <v>15</v>
      </c>
      <c r="H1857">
        <v>2014</v>
      </c>
      <c r="I1857" t="str">
        <f t="shared" si="66"/>
        <v>9: 300 - 399</v>
      </c>
      <c r="K1857" t="str">
        <f>"LL - In"</f>
        <v>LL - In</v>
      </c>
      <c r="L1857" s="1">
        <v>45</v>
      </c>
      <c r="M1857" t="s">
        <v>1739</v>
      </c>
      <c r="O1857" t="s">
        <v>28</v>
      </c>
      <c r="P1857">
        <v>3</v>
      </c>
      <c r="Q1857">
        <v>0</v>
      </c>
      <c r="R1857">
        <v>5</v>
      </c>
      <c r="S1857" s="2">
        <v>42236</v>
      </c>
      <c r="T1857" s="2">
        <v>42241</v>
      </c>
      <c r="U1857" s="2">
        <v>43378</v>
      </c>
    </row>
    <row r="1858" spans="1:22" x14ac:dyDescent="0.2">
      <c r="A1858" t="str">
        <f t="shared" ref="A1858:A1865" si="71">"371.26 TEX"</f>
        <v>371.26 TEX</v>
      </c>
      <c r="B1858" t="str">
        <f>"TExES (154) English as a Second Language"</f>
        <v>TExES (154) English as a Second Language</v>
      </c>
      <c r="C1858">
        <v>329241</v>
      </c>
      <c r="F1858" t="str">
        <f>"165 p., 28 cm, ill."</f>
        <v>165 p., 28 cm, ill.</v>
      </c>
      <c r="G1858" s="1">
        <v>15</v>
      </c>
      <c r="H1858">
        <v>2014</v>
      </c>
      <c r="I1858" t="str">
        <f t="shared" si="66"/>
        <v>9: 300 - 399</v>
      </c>
      <c r="K1858" t="str">
        <f>"LL - In"</f>
        <v>LL - In</v>
      </c>
      <c r="L1858" s="1">
        <v>68</v>
      </c>
      <c r="M1858" t="s">
        <v>1740</v>
      </c>
      <c r="O1858" t="s">
        <v>28</v>
      </c>
      <c r="P1858">
        <v>0</v>
      </c>
      <c r="Q1858">
        <v>0</v>
      </c>
      <c r="R1858">
        <v>3</v>
      </c>
      <c r="S1858" s="2">
        <v>42226</v>
      </c>
      <c r="T1858" s="2">
        <v>42230</v>
      </c>
      <c r="U1858" s="2">
        <v>42367</v>
      </c>
    </row>
    <row r="1859" spans="1:22" x14ac:dyDescent="0.2">
      <c r="A1859" t="str">
        <f t="shared" si="71"/>
        <v>371.26 TEX</v>
      </c>
      <c r="B1859" t="str">
        <f>"TExES (154) English as a Second Language"</f>
        <v>TExES (154) English as a Second Language</v>
      </c>
      <c r="C1859">
        <v>282490</v>
      </c>
      <c r="F1859" t="str">
        <f>"165 p., 28 cm, ill."</f>
        <v>165 p., 28 cm, ill.</v>
      </c>
      <c r="G1859" s="1">
        <v>15</v>
      </c>
      <c r="H1859">
        <v>2014</v>
      </c>
      <c r="I1859" t="str">
        <f t="shared" si="66"/>
        <v>9: 300 - 399</v>
      </c>
      <c r="K1859" t="str">
        <f>"WB - In"</f>
        <v>WB - In</v>
      </c>
      <c r="L1859" s="1">
        <v>68</v>
      </c>
      <c r="M1859" t="s">
        <v>1740</v>
      </c>
      <c r="O1859" t="s">
        <v>28</v>
      </c>
      <c r="P1859">
        <v>6</v>
      </c>
      <c r="Q1859">
        <v>0</v>
      </c>
      <c r="R1859">
        <v>7</v>
      </c>
      <c r="S1859" s="2">
        <v>42237</v>
      </c>
      <c r="T1859" s="2">
        <v>42290</v>
      </c>
      <c r="U1859" s="2">
        <v>43599</v>
      </c>
    </row>
    <row r="1860" spans="1:22" x14ac:dyDescent="0.2">
      <c r="A1860" t="str">
        <f t="shared" si="71"/>
        <v>371.26 TEX</v>
      </c>
      <c r="B1860" t="str">
        <f>"TExES (236) science grades 7-12 study gu"</f>
        <v>TExES (236) science grades 7-12 study gu</v>
      </c>
      <c r="C1860">
        <v>276005</v>
      </c>
      <c r="F1860" t="str">
        <f>"120 p."</f>
        <v>120 p.</v>
      </c>
      <c r="G1860" s="1">
        <v>14</v>
      </c>
      <c r="H1860">
        <v>2013</v>
      </c>
      <c r="I1860" t="str">
        <f t="shared" si="66"/>
        <v>9: 300 - 399</v>
      </c>
      <c r="K1860" t="str">
        <f>"LL - In"</f>
        <v>LL - In</v>
      </c>
      <c r="L1860" s="1">
        <v>38</v>
      </c>
      <c r="M1860" t="s">
        <v>1741</v>
      </c>
      <c r="O1860" t="s">
        <v>28</v>
      </c>
      <c r="P1860">
        <v>0</v>
      </c>
      <c r="Q1860">
        <v>0</v>
      </c>
      <c r="R1860">
        <v>6</v>
      </c>
      <c r="S1860" s="2">
        <v>41869</v>
      </c>
      <c r="T1860" s="2">
        <v>41873</v>
      </c>
      <c r="U1860" s="2">
        <v>42219</v>
      </c>
      <c r="V1860" s="2">
        <v>42173</v>
      </c>
    </row>
    <row r="1861" spans="1:22" x14ac:dyDescent="0.2">
      <c r="A1861" t="str">
        <f t="shared" si="71"/>
        <v>371.26 TEX</v>
      </c>
      <c r="B1861" t="str">
        <f>"TExES (256) Journalism 7-12 Exam Secrets"</f>
        <v>TExES (256) Journalism 7-12 Exam Secrets</v>
      </c>
      <c r="C1861">
        <v>296744</v>
      </c>
      <c r="F1861" t="str">
        <f>"107 p., 28 cm"</f>
        <v>107 p., 28 cm</v>
      </c>
      <c r="G1861" s="1">
        <v>17</v>
      </c>
      <c r="H1861">
        <v>2016</v>
      </c>
      <c r="I1861" t="str">
        <f t="shared" si="66"/>
        <v>9: 300 - 399</v>
      </c>
      <c r="K1861" t="str">
        <f>"LL - In"</f>
        <v>LL - In</v>
      </c>
      <c r="L1861" s="1">
        <v>78</v>
      </c>
      <c r="M1861" t="s">
        <v>1742</v>
      </c>
      <c r="O1861" t="s">
        <v>28</v>
      </c>
      <c r="P1861">
        <v>1</v>
      </c>
      <c r="Q1861">
        <v>0</v>
      </c>
      <c r="R1861">
        <v>1</v>
      </c>
      <c r="S1861" s="2">
        <v>42977</v>
      </c>
      <c r="T1861" s="2">
        <v>42983</v>
      </c>
      <c r="U1861" s="2">
        <v>42985</v>
      </c>
    </row>
    <row r="1862" spans="1:22" x14ac:dyDescent="0.2">
      <c r="A1862" t="str">
        <f t="shared" si="71"/>
        <v>371.26 TEX</v>
      </c>
      <c r="B1862" t="str">
        <f>"TExES PPR for EC-6, EC-12, 4-8 &amp; 8-12"</f>
        <v>TExES PPR for EC-6, EC-12, 4-8 &amp; 8-12</v>
      </c>
      <c r="C1862">
        <v>305437</v>
      </c>
      <c r="F1862" t="str">
        <f>"viii, 407 p., 26 cm."</f>
        <v>viii, 407 p., 26 cm.</v>
      </c>
      <c r="G1862" s="1">
        <v>12</v>
      </c>
      <c r="H1862">
        <v>2011</v>
      </c>
      <c r="I1862" t="str">
        <f t="shared" si="66"/>
        <v>9: 300 - 399</v>
      </c>
      <c r="K1862" t="str">
        <f>"WB - In"</f>
        <v>WB - In</v>
      </c>
      <c r="L1862" s="1">
        <v>34</v>
      </c>
      <c r="M1862" t="s">
        <v>1743</v>
      </c>
      <c r="O1862" t="s">
        <v>28</v>
      </c>
      <c r="P1862">
        <v>2</v>
      </c>
      <c r="Q1862">
        <v>1</v>
      </c>
      <c r="R1862">
        <v>16</v>
      </c>
      <c r="S1862" s="2">
        <v>40940</v>
      </c>
      <c r="T1862" s="2">
        <v>41053</v>
      </c>
      <c r="U1862" s="2">
        <v>43073</v>
      </c>
      <c r="V1862" s="2">
        <v>42968</v>
      </c>
    </row>
    <row r="1863" spans="1:22" x14ac:dyDescent="0.2">
      <c r="A1863" t="str">
        <f t="shared" si="71"/>
        <v>371.26 TEX</v>
      </c>
      <c r="B1863" t="str">
        <f>"TExES PPR for EC-6, EC-12, 4-8 &amp; 8-12"</f>
        <v>TExES PPR for EC-6, EC-12, 4-8 &amp; 8-12</v>
      </c>
      <c r="C1863">
        <v>273533</v>
      </c>
      <c r="F1863" t="str">
        <f>"viii, 407 p., 26 cm."</f>
        <v>viii, 407 p., 26 cm.</v>
      </c>
      <c r="G1863" s="1">
        <v>14</v>
      </c>
      <c r="H1863">
        <v>2011</v>
      </c>
      <c r="I1863" t="str">
        <f t="shared" si="66"/>
        <v>9: 300 - 399</v>
      </c>
      <c r="K1863" t="str">
        <f>"LL - In"</f>
        <v>LL - In</v>
      </c>
      <c r="L1863" s="1">
        <v>34</v>
      </c>
      <c r="M1863" t="s">
        <v>1743</v>
      </c>
      <c r="O1863" t="s">
        <v>28</v>
      </c>
      <c r="P1863">
        <v>1</v>
      </c>
      <c r="Q1863">
        <v>1</v>
      </c>
      <c r="R1863">
        <v>11</v>
      </c>
      <c r="S1863" s="2">
        <v>41768</v>
      </c>
      <c r="T1863" s="2">
        <v>41772</v>
      </c>
      <c r="U1863" s="2">
        <v>43505</v>
      </c>
      <c r="V1863" s="2">
        <v>42962</v>
      </c>
    </row>
    <row r="1864" spans="1:22" x14ac:dyDescent="0.2">
      <c r="A1864" t="str">
        <f t="shared" si="71"/>
        <v>371.26 TEX</v>
      </c>
      <c r="B1864" t="str">
        <f>"TExES (068) Principal exam secrets: stud"</f>
        <v>TExES (068) Principal exam secrets: stud</v>
      </c>
      <c r="C1864">
        <v>270420</v>
      </c>
      <c r="D1864" t="str">
        <f>"Mometrix Test Preparation"</f>
        <v>Mometrix Test Preparation</v>
      </c>
      <c r="G1864" s="1">
        <v>13</v>
      </c>
      <c r="I1864" t="str">
        <f t="shared" ref="I1864:I1927" si="72">"9: 300 - 399"</f>
        <v>9: 300 - 399</v>
      </c>
      <c r="K1864" t="str">
        <f>"LL - In"</f>
        <v>LL - In</v>
      </c>
      <c r="L1864" s="1">
        <v>62</v>
      </c>
      <c r="M1864" t="s">
        <v>1744</v>
      </c>
      <c r="O1864" t="s">
        <v>28</v>
      </c>
      <c r="P1864">
        <v>0</v>
      </c>
      <c r="Q1864">
        <v>1</v>
      </c>
      <c r="R1864">
        <v>4</v>
      </c>
      <c r="S1864" s="2">
        <v>41613</v>
      </c>
      <c r="T1864" s="2">
        <v>41620</v>
      </c>
      <c r="U1864" s="2">
        <v>41841</v>
      </c>
      <c r="V1864" s="2">
        <v>42962</v>
      </c>
    </row>
    <row r="1865" spans="1:22" x14ac:dyDescent="0.2">
      <c r="A1865" t="str">
        <f t="shared" si="71"/>
        <v>371.26 TEX</v>
      </c>
      <c r="B1865" t="str">
        <f>"TExES (068) Principal exam secrets: stud"</f>
        <v>TExES (068) Principal exam secrets: stud</v>
      </c>
      <c r="C1865">
        <v>275163</v>
      </c>
      <c r="D1865" t="str">
        <f>"Mometrix Test Preparation"</f>
        <v>Mometrix Test Preparation</v>
      </c>
      <c r="G1865" s="1">
        <v>14</v>
      </c>
      <c r="I1865" t="str">
        <f t="shared" si="72"/>
        <v>9: 300 - 399</v>
      </c>
      <c r="K1865" t="str">
        <f>"WB - In"</f>
        <v>WB - In</v>
      </c>
      <c r="L1865" s="1">
        <v>70</v>
      </c>
      <c r="M1865" t="s">
        <v>1744</v>
      </c>
      <c r="O1865" t="s">
        <v>28</v>
      </c>
      <c r="P1865">
        <v>2</v>
      </c>
      <c r="Q1865">
        <v>0</v>
      </c>
      <c r="R1865">
        <v>2</v>
      </c>
      <c r="S1865" s="2">
        <v>41859</v>
      </c>
      <c r="T1865" s="2">
        <v>41866</v>
      </c>
      <c r="U1865" s="2">
        <v>42947</v>
      </c>
    </row>
    <row r="1866" spans="1:22" x14ac:dyDescent="0.2">
      <c r="A1866" t="str">
        <f>"371.26 TEX v.1"</f>
        <v>371.26 TEX v.1</v>
      </c>
      <c r="B1866" t="str">
        <f>"TExES (193) English language as a second"</f>
        <v>TExES (193) English language as a second</v>
      </c>
      <c r="C1866">
        <v>271523</v>
      </c>
      <c r="D1866" t="str">
        <f>"Mometrix Test Preparation"</f>
        <v>Mometrix Test Preparation</v>
      </c>
      <c r="F1866" t="str">
        <f>"187 p."</f>
        <v>187 p.</v>
      </c>
      <c r="G1866" s="1">
        <v>14</v>
      </c>
      <c r="H1866">
        <v>2013</v>
      </c>
      <c r="I1866" t="str">
        <f t="shared" si="72"/>
        <v>9: 300 - 399</v>
      </c>
      <c r="K1866" t="str">
        <f>"WB - In"</f>
        <v>WB - In</v>
      </c>
      <c r="L1866" s="1">
        <v>31</v>
      </c>
      <c r="O1866" t="s">
        <v>28</v>
      </c>
      <c r="P1866">
        <v>1</v>
      </c>
      <c r="Q1866">
        <v>0</v>
      </c>
      <c r="R1866">
        <v>3</v>
      </c>
      <c r="S1866" s="2">
        <v>41669</v>
      </c>
      <c r="T1866" s="2">
        <v>41695</v>
      </c>
      <c r="U1866" s="2">
        <v>43273</v>
      </c>
    </row>
    <row r="1867" spans="1:22" x14ac:dyDescent="0.2">
      <c r="A1867" t="str">
        <f>"371.26 TEX v.2"</f>
        <v>371.26 TEX v.2</v>
      </c>
      <c r="B1867" t="str">
        <f>"TExES (193) English language as a second"</f>
        <v>TExES (193) English language as a second</v>
      </c>
      <c r="C1867">
        <v>271522</v>
      </c>
      <c r="D1867" t="str">
        <f>"Mometrix Test Preparation"</f>
        <v>Mometrix Test Preparation</v>
      </c>
      <c r="F1867" t="str">
        <f>"187 p."</f>
        <v>187 p.</v>
      </c>
      <c r="G1867" s="1">
        <v>14</v>
      </c>
      <c r="H1867">
        <v>2013</v>
      </c>
      <c r="I1867" t="str">
        <f t="shared" si="72"/>
        <v>9: 300 - 399</v>
      </c>
      <c r="K1867" t="str">
        <f>"LL - In"</f>
        <v>LL - In</v>
      </c>
      <c r="L1867" s="1">
        <v>31</v>
      </c>
      <c r="M1867" t="s">
        <v>1745</v>
      </c>
      <c r="O1867" t="s">
        <v>28</v>
      </c>
      <c r="P1867">
        <v>0</v>
      </c>
      <c r="Q1867">
        <v>0</v>
      </c>
      <c r="R1867">
        <v>5</v>
      </c>
      <c r="S1867" s="2">
        <v>41669</v>
      </c>
      <c r="T1867" s="2">
        <v>41695</v>
      </c>
      <c r="U1867" s="2">
        <v>42219</v>
      </c>
      <c r="V1867" s="2">
        <v>42503</v>
      </c>
    </row>
    <row r="1868" spans="1:22" x14ac:dyDescent="0.2">
      <c r="A1868" t="str">
        <f>"371.26 THI"</f>
        <v>371.26 THI</v>
      </c>
      <c r="B1868" t="str">
        <f>"Preparing for teacher certification in E"</f>
        <v>Preparing for teacher certification in E</v>
      </c>
      <c r="C1868">
        <v>273378</v>
      </c>
      <c r="D1868" t="str">
        <f>"Thielemann, Jane."</f>
        <v>Thielemann, Jane.</v>
      </c>
      <c r="F1868" t="str">
        <f>"xvi, 220 p., 26 cm, ill."</f>
        <v>xvi, 220 p., 26 cm, ill.</v>
      </c>
      <c r="G1868" s="1">
        <v>14</v>
      </c>
      <c r="H1868">
        <v>2010</v>
      </c>
      <c r="I1868" t="str">
        <f t="shared" si="72"/>
        <v>9: 300 - 399</v>
      </c>
      <c r="K1868" t="str">
        <f>"LL - In"</f>
        <v>LL - In</v>
      </c>
      <c r="L1868" s="1">
        <v>55</v>
      </c>
      <c r="M1868" t="s">
        <v>1746</v>
      </c>
      <c r="O1868" t="s">
        <v>28</v>
      </c>
      <c r="P1868">
        <v>0</v>
      </c>
      <c r="Q1868">
        <v>0</v>
      </c>
      <c r="R1868">
        <v>6</v>
      </c>
      <c r="S1868" s="2">
        <v>41758</v>
      </c>
      <c r="T1868" s="2">
        <v>41760</v>
      </c>
      <c r="U1868" s="2">
        <v>42446</v>
      </c>
    </row>
    <row r="1869" spans="1:22" x14ac:dyDescent="0.2">
      <c r="A1869" t="str">
        <f>"371.26 WIL"</f>
        <v>371.26 WIL</v>
      </c>
      <c r="B1869" t="str">
        <f>"Passing the Principal TExES Exam: keys t"</f>
        <v>Passing the Principal TExES Exam: keys t</v>
      </c>
      <c r="C1869">
        <v>318203</v>
      </c>
      <c r="D1869" t="str">
        <f>"Wilmore, Elaine L."</f>
        <v>Wilmore, Elaine L.</v>
      </c>
      <c r="F1869" t="str">
        <f>"xv, 127 p., 28 cm"</f>
        <v>xv, 127 p., 28 cm</v>
      </c>
      <c r="G1869" s="1">
        <v>13</v>
      </c>
      <c r="H1869">
        <v>2003</v>
      </c>
      <c r="I1869" t="str">
        <f t="shared" si="72"/>
        <v>9: 300 - 399</v>
      </c>
      <c r="K1869" t="str">
        <f>"WB - In"</f>
        <v>WB - In</v>
      </c>
      <c r="L1869" s="1">
        <v>46</v>
      </c>
      <c r="M1869" t="s">
        <v>1747</v>
      </c>
      <c r="O1869" t="s">
        <v>28</v>
      </c>
      <c r="P1869">
        <v>0</v>
      </c>
      <c r="Q1869">
        <v>0</v>
      </c>
      <c r="R1869">
        <v>2</v>
      </c>
      <c r="S1869" s="2">
        <v>41604</v>
      </c>
      <c r="T1869" s="2">
        <v>41625</v>
      </c>
      <c r="U1869" s="2">
        <v>41841</v>
      </c>
    </row>
    <row r="1870" spans="1:22" x14ac:dyDescent="0.2">
      <c r="A1870" t="str">
        <f>"371.26 WYN"</f>
        <v>371.26 WYN</v>
      </c>
      <c r="B1870" t="str">
        <f>"TExES 111: generalist 4-8 teacher certif"</f>
        <v>TExES 111: generalist 4-8 teacher certif</v>
      </c>
      <c r="C1870">
        <v>313272</v>
      </c>
      <c r="D1870" t="str">
        <f>"Wynne, Sharon A."</f>
        <v>Wynne, Sharon A.</v>
      </c>
      <c r="F1870" t="str">
        <f>"xlvi, 734 p., 28 cm., ill."</f>
        <v>xlvi, 734 p., 28 cm., ill.</v>
      </c>
      <c r="G1870" s="1">
        <v>13</v>
      </c>
      <c r="H1870">
        <v>2008</v>
      </c>
      <c r="I1870" t="str">
        <f t="shared" si="72"/>
        <v>9: 300 - 399</v>
      </c>
      <c r="K1870" t="str">
        <f>"WB - In"</f>
        <v>WB - In</v>
      </c>
      <c r="L1870" s="1">
        <v>70</v>
      </c>
      <c r="M1870" t="s">
        <v>1748</v>
      </c>
      <c r="O1870" t="s">
        <v>28</v>
      </c>
      <c r="P1870">
        <v>1</v>
      </c>
      <c r="Q1870">
        <v>0</v>
      </c>
      <c r="R1870">
        <v>12</v>
      </c>
      <c r="S1870" s="2">
        <v>41364</v>
      </c>
      <c r="T1870" s="2">
        <v>41367</v>
      </c>
      <c r="U1870" s="2">
        <v>42789</v>
      </c>
    </row>
    <row r="1871" spans="1:22" x14ac:dyDescent="0.2">
      <c r="A1871" t="str">
        <f>"371.26 WYN"</f>
        <v>371.26 WYN</v>
      </c>
      <c r="B1871" t="str">
        <f>"TExES english language arts and reading "</f>
        <v xml:space="preserve">TExES english language arts and reading </v>
      </c>
      <c r="C1871">
        <v>273377</v>
      </c>
      <c r="D1871" t="str">
        <f>"Wynne, Sharon A."</f>
        <v>Wynne, Sharon A.</v>
      </c>
      <c r="F1871" t="str">
        <f>"283 p."</f>
        <v>283 p.</v>
      </c>
      <c r="G1871" s="1">
        <v>14</v>
      </c>
      <c r="H1871">
        <v>2014</v>
      </c>
      <c r="I1871" t="str">
        <f t="shared" si="72"/>
        <v>9: 300 - 399</v>
      </c>
      <c r="K1871" t="str">
        <f>"LL - Out"</f>
        <v>LL - Out</v>
      </c>
      <c r="L1871" s="1">
        <v>70</v>
      </c>
      <c r="M1871" t="s">
        <v>1749</v>
      </c>
      <c r="O1871" t="s">
        <v>28</v>
      </c>
      <c r="P1871">
        <v>6</v>
      </c>
      <c r="Q1871">
        <v>0</v>
      </c>
      <c r="R1871">
        <v>10</v>
      </c>
      <c r="S1871" s="2">
        <v>41758</v>
      </c>
      <c r="T1871" s="2">
        <v>41760</v>
      </c>
      <c r="U1871" s="2">
        <v>43855</v>
      </c>
      <c r="V1871" s="2">
        <v>42086</v>
      </c>
    </row>
    <row r="1872" spans="1:22" x14ac:dyDescent="0.2">
      <c r="A1872" t="str">
        <f>"371.26 WYN"</f>
        <v>371.26 WYN</v>
      </c>
      <c r="B1872" t="str">
        <f>"TExES generalist EC-6 191 essentials edi"</f>
        <v>TExES generalist EC-6 191 essentials edi</v>
      </c>
      <c r="C1872">
        <v>314628</v>
      </c>
      <c r="D1872" t="str">
        <f>"Wynne, Sharon A."</f>
        <v>Wynne, Sharon A.</v>
      </c>
      <c r="F1872" t="str">
        <f>"viii, 374 p., 28 cm."</f>
        <v>viii, 374 p., 28 cm.</v>
      </c>
      <c r="G1872" s="1">
        <v>13</v>
      </c>
      <c r="H1872">
        <v>2013</v>
      </c>
      <c r="I1872" t="str">
        <f t="shared" si="72"/>
        <v>9: 300 - 399</v>
      </c>
      <c r="K1872" t="str">
        <f>"WB - In"</f>
        <v>WB - In</v>
      </c>
      <c r="L1872" s="1">
        <v>32</v>
      </c>
      <c r="M1872" t="s">
        <v>1750</v>
      </c>
      <c r="O1872" t="s">
        <v>28</v>
      </c>
      <c r="P1872">
        <v>3</v>
      </c>
      <c r="Q1872">
        <v>0</v>
      </c>
      <c r="R1872">
        <v>18</v>
      </c>
      <c r="S1872" s="2">
        <v>41424</v>
      </c>
      <c r="T1872" s="2">
        <v>41437</v>
      </c>
      <c r="U1872" s="2">
        <v>43490</v>
      </c>
      <c r="V1872" s="2">
        <v>42503</v>
      </c>
    </row>
    <row r="1873" spans="1:22" x14ac:dyDescent="0.2">
      <c r="A1873" t="str">
        <f>"371.26 WYN"</f>
        <v>371.26 WYN</v>
      </c>
      <c r="B1873" t="str">
        <f>"TeXes Social Studies 7-12 232: teacher c"</f>
        <v>TeXes Social Studies 7-12 232: teacher c</v>
      </c>
      <c r="C1873">
        <v>296299</v>
      </c>
      <c r="D1873" t="str">
        <f>"Wynne, Sharon A."</f>
        <v>Wynne, Sharon A.</v>
      </c>
      <c r="F1873" t="str">
        <f>"367 p."</f>
        <v>367 p.</v>
      </c>
      <c r="G1873" s="1">
        <v>17</v>
      </c>
      <c r="I1873" t="str">
        <f t="shared" si="72"/>
        <v>9: 300 - 399</v>
      </c>
      <c r="K1873" t="str">
        <f>"LL - In"</f>
        <v>LL - In</v>
      </c>
      <c r="L1873" s="1">
        <v>55</v>
      </c>
      <c r="M1873" t="s">
        <v>1751</v>
      </c>
      <c r="O1873" t="s">
        <v>28</v>
      </c>
      <c r="P1873">
        <v>3</v>
      </c>
      <c r="Q1873">
        <v>0</v>
      </c>
      <c r="R1873">
        <v>3</v>
      </c>
      <c r="S1873" s="2">
        <v>42936</v>
      </c>
      <c r="T1873" s="2">
        <v>42941</v>
      </c>
      <c r="U1873" s="2">
        <v>43687</v>
      </c>
    </row>
    <row r="1874" spans="1:22" x14ac:dyDescent="0.2">
      <c r="A1874" t="str">
        <f>"371.3 DAV"</f>
        <v>371.3 DAV</v>
      </c>
      <c r="B1874" t="str">
        <f>"Montessori toddler: a parent's guide to "</f>
        <v xml:space="preserve">Montessori toddler: a parent's guide to </v>
      </c>
      <c r="C1874">
        <v>353694</v>
      </c>
      <c r="D1874" t="str">
        <f>"Davies, Simone,"</f>
        <v>Davies, Simone,</v>
      </c>
      <c r="F1874" t="str">
        <f>"248 p., 24 cm, color illustrations"</f>
        <v>248 p., 24 cm, color illustrations</v>
      </c>
      <c r="G1874" s="1">
        <v>19</v>
      </c>
      <c r="H1874">
        <v>2019</v>
      </c>
      <c r="I1874" t="str">
        <f t="shared" si="72"/>
        <v>9: 300 - 399</v>
      </c>
      <c r="K1874" t="str">
        <f>"WB - Out"</f>
        <v>WB - Out</v>
      </c>
      <c r="L1874" s="1">
        <v>25</v>
      </c>
      <c r="M1874" t="s">
        <v>1752</v>
      </c>
      <c r="O1874" t="s">
        <v>28</v>
      </c>
      <c r="P1874">
        <v>2</v>
      </c>
      <c r="Q1874">
        <v>0</v>
      </c>
      <c r="R1874">
        <v>2</v>
      </c>
      <c r="S1874" s="2">
        <v>43549</v>
      </c>
      <c r="T1874" s="2">
        <v>43588</v>
      </c>
      <c r="U1874" s="2">
        <v>43708</v>
      </c>
    </row>
    <row r="1875" spans="1:22" x14ac:dyDescent="0.2">
      <c r="A1875" t="str">
        <f>"371.3 DAV"</f>
        <v>371.3 DAV</v>
      </c>
      <c r="B1875" t="str">
        <f>"Montessori toddler: a parent's guide to "</f>
        <v xml:space="preserve">Montessori toddler: a parent's guide to </v>
      </c>
      <c r="C1875">
        <v>359566</v>
      </c>
      <c r="D1875" t="str">
        <f>"Davies, Simone,"</f>
        <v>Davies, Simone,</v>
      </c>
      <c r="F1875" t="str">
        <f>"248 p., 24 cm, color illustrations"</f>
        <v>248 p., 24 cm, color illustrations</v>
      </c>
      <c r="G1875" s="1">
        <v>19</v>
      </c>
      <c r="H1875">
        <v>2019</v>
      </c>
      <c r="I1875" t="str">
        <f t="shared" si="72"/>
        <v>9: 300 - 399</v>
      </c>
      <c r="K1875" t="str">
        <f>"LL - In"</f>
        <v>LL - In</v>
      </c>
      <c r="L1875" s="1">
        <v>25</v>
      </c>
      <c r="M1875" t="s">
        <v>1752</v>
      </c>
      <c r="O1875" t="s">
        <v>28</v>
      </c>
      <c r="P1875">
        <v>0</v>
      </c>
      <c r="Q1875">
        <v>0</v>
      </c>
      <c r="R1875">
        <v>0</v>
      </c>
      <c r="S1875" s="2">
        <v>43802</v>
      </c>
      <c r="T1875" s="2">
        <v>43811</v>
      </c>
    </row>
    <row r="1876" spans="1:22" x14ac:dyDescent="0.2">
      <c r="A1876" t="str">
        <f>"371.3 DEM"</f>
        <v>371.3 DEM</v>
      </c>
      <c r="B1876" t="str">
        <f>"Turning education inside-out: confession"</f>
        <v>Turning education inside-out: confession</v>
      </c>
      <c r="C1876">
        <v>343204</v>
      </c>
      <c r="D1876" t="str">
        <f>"Dempsey, Judy,"</f>
        <v>Dempsey, Judy,</v>
      </c>
      <c r="F1876" t="str">
        <f>"xviii, 277 pages, 23 cm, illustrations"</f>
        <v>xviii, 277 pages, 23 cm, illustrations</v>
      </c>
      <c r="G1876" s="1">
        <v>17</v>
      </c>
      <c r="H1876">
        <v>2017</v>
      </c>
      <c r="I1876" t="str">
        <f t="shared" si="72"/>
        <v>9: 300 - 399</v>
      </c>
      <c r="K1876" t="str">
        <f>"LL - In"</f>
        <v>LL - In</v>
      </c>
      <c r="L1876" s="1">
        <v>25</v>
      </c>
      <c r="M1876" t="s">
        <v>1753</v>
      </c>
      <c r="O1876" t="s">
        <v>28</v>
      </c>
      <c r="P1876">
        <v>1</v>
      </c>
      <c r="Q1876">
        <v>0</v>
      </c>
      <c r="R1876">
        <v>1</v>
      </c>
      <c r="S1876" s="2">
        <v>42968</v>
      </c>
      <c r="T1876" s="2">
        <v>42983</v>
      </c>
      <c r="U1876" s="2">
        <v>43313</v>
      </c>
    </row>
    <row r="1877" spans="1:22" x14ac:dyDescent="0.2">
      <c r="A1877" t="str">
        <f>"371.3 LIL"</f>
        <v>371.3 LIL</v>
      </c>
      <c r="B1877" t="str">
        <f>"Montessori: the science behind the geniu"</f>
        <v>Montessori: the science behind the geniu</v>
      </c>
      <c r="C1877">
        <v>354756</v>
      </c>
      <c r="D1877" t="str">
        <f>"Lillard, Angeline Stoll"</f>
        <v>Lillard, Angeline Stoll</v>
      </c>
      <c r="F1877" t="str">
        <f>"xv, 474 pages, 24 cm, illustrations"</f>
        <v>xv, 474 pages, 24 cm, illustrations</v>
      </c>
      <c r="G1877" s="1">
        <v>19</v>
      </c>
      <c r="H1877">
        <v>2017</v>
      </c>
      <c r="I1877" t="str">
        <f t="shared" si="72"/>
        <v>9: 300 - 399</v>
      </c>
      <c r="K1877" t="str">
        <f>"LL - Out"</f>
        <v>LL - Out</v>
      </c>
      <c r="L1877" s="1">
        <v>35</v>
      </c>
      <c r="M1877" t="s">
        <v>1754</v>
      </c>
      <c r="O1877" t="s">
        <v>28</v>
      </c>
      <c r="P1877">
        <v>2</v>
      </c>
      <c r="Q1877">
        <v>0</v>
      </c>
      <c r="R1877">
        <v>2</v>
      </c>
      <c r="S1877" s="2">
        <v>43602</v>
      </c>
      <c r="T1877" s="2">
        <v>43626</v>
      </c>
      <c r="U1877" s="2">
        <v>43829</v>
      </c>
    </row>
    <row r="1878" spans="1:22" x14ac:dyDescent="0.2">
      <c r="A1878" t="str">
        <f>"371.3 LIL"</f>
        <v>371.3 LIL</v>
      </c>
      <c r="B1878" t="str">
        <f>"Montessori from the start: the child at "</f>
        <v xml:space="preserve">Montessori from the start: the child at </v>
      </c>
      <c r="C1878">
        <v>112699</v>
      </c>
      <c r="D1878" t="str">
        <f>"Lillard, Paula Polk"</f>
        <v>Lillard, Paula Polk</v>
      </c>
      <c r="F1878" t="str">
        <f>"259 p., 21 cm., ill."</f>
        <v>259 p., 21 cm., ill.</v>
      </c>
      <c r="G1878" s="1">
        <v>3</v>
      </c>
      <c r="H1878">
        <v>2003</v>
      </c>
      <c r="I1878" t="str">
        <f t="shared" si="72"/>
        <v>9: 300 - 399</v>
      </c>
      <c r="K1878" t="str">
        <f>"WB - In"</f>
        <v>WB - In</v>
      </c>
      <c r="L1878" s="1">
        <v>18</v>
      </c>
      <c r="M1878" t="s">
        <v>1755</v>
      </c>
      <c r="O1878" t="s">
        <v>28</v>
      </c>
      <c r="P1878">
        <v>6</v>
      </c>
      <c r="Q1878">
        <v>0</v>
      </c>
      <c r="R1878">
        <v>52</v>
      </c>
      <c r="S1878" s="2">
        <v>37938</v>
      </c>
      <c r="T1878" s="2">
        <v>41053</v>
      </c>
      <c r="U1878" s="2">
        <v>43817</v>
      </c>
      <c r="V1878" s="2">
        <v>41547</v>
      </c>
    </row>
    <row r="1879" spans="1:22" x14ac:dyDescent="0.2">
      <c r="A1879" t="str">
        <f>"371.3 LIL"</f>
        <v>371.3 LIL</v>
      </c>
      <c r="B1879" t="str">
        <f>"Montessori from the start: the child at "</f>
        <v xml:space="preserve">Montessori from the start: the child at </v>
      </c>
      <c r="C1879">
        <v>127383</v>
      </c>
      <c r="D1879" t="str">
        <f>"Lillard, Paula Polk"</f>
        <v>Lillard, Paula Polk</v>
      </c>
      <c r="F1879" t="str">
        <f>"259 p., 21 cm., ill."</f>
        <v>259 p., 21 cm., ill.</v>
      </c>
      <c r="G1879" s="1">
        <v>7</v>
      </c>
      <c r="H1879">
        <v>2003</v>
      </c>
      <c r="I1879" t="str">
        <f t="shared" si="72"/>
        <v>9: 300 - 399</v>
      </c>
      <c r="K1879" t="str">
        <f t="shared" ref="K1879:K1884" si="73">"LL - In"</f>
        <v>LL - In</v>
      </c>
      <c r="L1879" s="1">
        <v>19</v>
      </c>
      <c r="M1879" t="s">
        <v>1755</v>
      </c>
      <c r="O1879" t="s">
        <v>28</v>
      </c>
      <c r="P1879">
        <v>3</v>
      </c>
      <c r="Q1879">
        <v>2</v>
      </c>
      <c r="R1879">
        <v>20</v>
      </c>
      <c r="S1879" s="2">
        <v>39315</v>
      </c>
      <c r="T1879" s="2">
        <v>41053</v>
      </c>
      <c r="U1879" s="2">
        <v>43418</v>
      </c>
      <c r="V1879" s="2">
        <v>43593</v>
      </c>
    </row>
    <row r="1880" spans="1:22" x14ac:dyDescent="0.2">
      <c r="A1880" t="str">
        <f>"371.3 MAC"</f>
        <v>371.3 MAC</v>
      </c>
      <c r="B1880" t="str">
        <f>"Inquiry mindset: nurturing the dreams, w"</f>
        <v>Inquiry mindset: nurturing the dreams, w</v>
      </c>
      <c r="C1880">
        <v>355608</v>
      </c>
      <c r="D1880" t="str">
        <f>"MacKenzie, Trevor"</f>
        <v>MacKenzie, Trevor</v>
      </c>
      <c r="F1880" t="str">
        <f>"xxiv, 186 pages, 6 unnumbered pages, 23 cm, illustrations"</f>
        <v>xxiv, 186 pages, 6 unnumbered pages, 23 cm, illustrations</v>
      </c>
      <c r="G1880" s="1">
        <v>19</v>
      </c>
      <c r="H1880">
        <v>2018</v>
      </c>
      <c r="I1880" t="str">
        <f t="shared" si="72"/>
        <v>9: 300 - 399</v>
      </c>
      <c r="K1880" t="str">
        <f t="shared" si="73"/>
        <v>LL - In</v>
      </c>
      <c r="L1880" s="1">
        <v>30</v>
      </c>
      <c r="M1880" t="s">
        <v>1756</v>
      </c>
      <c r="O1880" t="s">
        <v>28</v>
      </c>
      <c r="P1880">
        <v>0</v>
      </c>
      <c r="Q1880">
        <v>0</v>
      </c>
      <c r="R1880">
        <v>0</v>
      </c>
      <c r="S1880" s="2">
        <v>43633</v>
      </c>
      <c r="T1880" s="2">
        <v>43657</v>
      </c>
    </row>
    <row r="1881" spans="1:22" x14ac:dyDescent="0.2">
      <c r="A1881" t="str">
        <f>"371.3 MON"</f>
        <v>371.3 MON</v>
      </c>
      <c r="B1881" t="str">
        <f>"absorbent mind"</f>
        <v>absorbent mind</v>
      </c>
      <c r="C1881">
        <v>298917</v>
      </c>
      <c r="D1881" t="str">
        <f>"Montessori, Maria"</f>
        <v>Montessori, Maria</v>
      </c>
      <c r="F1881" t="str">
        <f>"421 p., ill."</f>
        <v>421 p., ill.</v>
      </c>
      <c r="G1881" s="1">
        <v>17</v>
      </c>
      <c r="H1881">
        <v>2016</v>
      </c>
      <c r="I1881" t="str">
        <f t="shared" si="72"/>
        <v>9: 300 - 399</v>
      </c>
      <c r="K1881" t="str">
        <f t="shared" si="73"/>
        <v>LL - In</v>
      </c>
      <c r="L1881" s="1">
        <v>20</v>
      </c>
      <c r="M1881" t="s">
        <v>1757</v>
      </c>
      <c r="O1881" t="s">
        <v>28</v>
      </c>
      <c r="P1881">
        <v>1</v>
      </c>
      <c r="Q1881">
        <v>0</v>
      </c>
      <c r="R1881">
        <v>1</v>
      </c>
      <c r="S1881" s="2">
        <v>43088</v>
      </c>
      <c r="T1881" s="2">
        <v>43119</v>
      </c>
      <c r="U1881" s="2">
        <v>43208</v>
      </c>
    </row>
    <row r="1882" spans="1:22" x14ac:dyDescent="0.2">
      <c r="A1882" t="str">
        <f>"371.3 MON"</f>
        <v>371.3 MON</v>
      </c>
      <c r="B1882" t="str">
        <f>"discovery of the child"</f>
        <v>discovery of the child</v>
      </c>
      <c r="C1882">
        <v>278225</v>
      </c>
      <c r="D1882" t="str">
        <f>"Montessori, Maria"</f>
        <v>Montessori, Maria</v>
      </c>
      <c r="F1882" t="str">
        <f>"x, 339 p., 16 p. of plates, 18 cm, ill."</f>
        <v>x, 339 p., 16 p. of plates, 18 cm, ill.</v>
      </c>
      <c r="G1882" s="1">
        <v>14</v>
      </c>
      <c r="H1882">
        <v>1972</v>
      </c>
      <c r="I1882" t="str">
        <f t="shared" si="72"/>
        <v>9: 300 - 399</v>
      </c>
      <c r="K1882" t="str">
        <f t="shared" si="73"/>
        <v>LL - In</v>
      </c>
      <c r="L1882" s="1">
        <v>13</v>
      </c>
      <c r="M1882" t="s">
        <v>1758</v>
      </c>
      <c r="O1882" t="s">
        <v>28</v>
      </c>
      <c r="P1882">
        <v>3</v>
      </c>
      <c r="Q1882">
        <v>1</v>
      </c>
      <c r="R1882">
        <v>12</v>
      </c>
      <c r="S1882" s="2">
        <v>41968</v>
      </c>
      <c r="T1882" s="2">
        <v>41976</v>
      </c>
      <c r="U1882" s="2">
        <v>43816</v>
      </c>
      <c r="V1882" s="2">
        <v>43418</v>
      </c>
    </row>
    <row r="1883" spans="1:22" x14ac:dyDescent="0.2">
      <c r="A1883" t="str">
        <f>"371.3 MON"</f>
        <v>371.3 MON</v>
      </c>
      <c r="B1883" t="str">
        <f>"secret of childhood"</f>
        <v>secret of childhood</v>
      </c>
      <c r="C1883">
        <v>67413</v>
      </c>
      <c r="D1883" t="str">
        <f>"Montessori, Maria"</f>
        <v>Montessori, Maria</v>
      </c>
      <c r="F1883" t="str">
        <f>"216 p."</f>
        <v>216 p.</v>
      </c>
      <c r="G1883" s="1">
        <v>98</v>
      </c>
      <c r="H1883">
        <v>1992</v>
      </c>
      <c r="I1883" t="str">
        <f t="shared" si="72"/>
        <v>9: 300 - 399</v>
      </c>
      <c r="K1883" t="str">
        <f t="shared" si="73"/>
        <v>LL - In</v>
      </c>
      <c r="L1883" s="1">
        <v>11</v>
      </c>
      <c r="M1883" t="s">
        <v>1759</v>
      </c>
      <c r="O1883" t="s">
        <v>28</v>
      </c>
      <c r="P1883">
        <v>2</v>
      </c>
      <c r="Q1883">
        <v>2</v>
      </c>
      <c r="R1883">
        <v>63</v>
      </c>
      <c r="S1883" s="2">
        <v>36409</v>
      </c>
      <c r="T1883" s="2">
        <v>41053</v>
      </c>
      <c r="U1883" s="2">
        <v>43816</v>
      </c>
      <c r="V1883" s="2">
        <v>43418</v>
      </c>
    </row>
    <row r="1884" spans="1:22" x14ac:dyDescent="0.2">
      <c r="A1884" t="str">
        <f>"371.3 ORI"</f>
        <v>371.3 ORI</v>
      </c>
      <c r="B1884" t="str">
        <f>"At home with Montessori"</f>
        <v>At home with Montessori</v>
      </c>
      <c r="C1884">
        <v>288296</v>
      </c>
      <c r="D1884" t="str">
        <f>"Oriti, Patricia."</f>
        <v>Oriti, Patricia.</v>
      </c>
      <c r="F1884" t="str">
        <f>"27 p., 22 x 28 cm, col. ill."</f>
        <v>27 p., 22 x 28 cm, col. ill.</v>
      </c>
      <c r="G1884" s="1">
        <v>16</v>
      </c>
      <c r="H1884">
        <v>1994</v>
      </c>
      <c r="I1884" t="str">
        <f t="shared" si="72"/>
        <v>9: 300 - 399</v>
      </c>
      <c r="K1884" t="str">
        <f t="shared" si="73"/>
        <v>LL - In</v>
      </c>
      <c r="L1884" s="1">
        <v>16</v>
      </c>
      <c r="O1884" t="s">
        <v>28</v>
      </c>
      <c r="P1884">
        <v>4</v>
      </c>
      <c r="Q1884">
        <v>0</v>
      </c>
      <c r="R1884">
        <v>5</v>
      </c>
      <c r="S1884" s="2">
        <v>42516</v>
      </c>
      <c r="T1884" s="2">
        <v>42531</v>
      </c>
      <c r="U1884" s="2">
        <v>43742</v>
      </c>
    </row>
    <row r="1885" spans="1:22" x14ac:dyDescent="0.2">
      <c r="A1885" t="str">
        <f>"371.33 KHA"</f>
        <v>371.33 KHA</v>
      </c>
      <c r="B1885" t="str">
        <f>"one world schoolhouse: education reimagi"</f>
        <v>one world schoolhouse: education reimagi</v>
      </c>
      <c r="C1885">
        <v>310097</v>
      </c>
      <c r="D1885" t="str">
        <f>"Khan, Salman,"</f>
        <v>Khan, Salman,</v>
      </c>
      <c r="F1885" t="str">
        <f>"259 p., 24 cm."</f>
        <v>259 p., 24 cm.</v>
      </c>
      <c r="G1885" s="1">
        <v>12</v>
      </c>
      <c r="H1885">
        <v>2012</v>
      </c>
      <c r="I1885" t="str">
        <f t="shared" si="72"/>
        <v>9: 300 - 399</v>
      </c>
      <c r="K1885" t="str">
        <f>"WB - Out"</f>
        <v>WB - Out</v>
      </c>
      <c r="L1885" s="1">
        <v>32</v>
      </c>
      <c r="M1885" t="s">
        <v>1760</v>
      </c>
      <c r="O1885" t="s">
        <v>28</v>
      </c>
      <c r="P1885">
        <v>5</v>
      </c>
      <c r="Q1885">
        <v>1</v>
      </c>
      <c r="R1885">
        <v>29</v>
      </c>
      <c r="S1885" s="2">
        <v>41184</v>
      </c>
      <c r="T1885" s="2">
        <v>41571</v>
      </c>
      <c r="U1885" s="2">
        <v>43827</v>
      </c>
      <c r="V1885" s="2">
        <v>43676</v>
      </c>
    </row>
    <row r="1886" spans="1:22" x14ac:dyDescent="0.2">
      <c r="A1886" t="str">
        <f>"371.7 GRI"</f>
        <v>371.7 GRI</v>
      </c>
      <c r="B1886" t="str">
        <f>"Blurred lines: rethinking sex, power, an"</f>
        <v>Blurred lines: rethinking sex, power, an</v>
      </c>
      <c r="C1886">
        <v>343753</v>
      </c>
      <c r="D1886" t="str">
        <f>"Grigoriadis, Vanessa"</f>
        <v>Grigoriadis, Vanessa</v>
      </c>
      <c r="F1886" t="str">
        <f>"xxxv, 332 pages, 24 cm"</f>
        <v>xxxv, 332 pages, 24 cm</v>
      </c>
      <c r="G1886" s="1">
        <v>17</v>
      </c>
      <c r="H1886">
        <v>2017</v>
      </c>
      <c r="I1886" t="str">
        <f t="shared" si="72"/>
        <v>9: 300 - 399</v>
      </c>
      <c r="K1886" t="str">
        <f>"WB - In"</f>
        <v>WB - In</v>
      </c>
      <c r="L1886" s="1">
        <v>33</v>
      </c>
      <c r="M1886" t="s">
        <v>1761</v>
      </c>
      <c r="O1886" t="s">
        <v>28</v>
      </c>
      <c r="P1886">
        <v>3</v>
      </c>
      <c r="Q1886">
        <v>0</v>
      </c>
      <c r="R1886">
        <v>3</v>
      </c>
      <c r="S1886" s="2">
        <v>43005</v>
      </c>
      <c r="T1886" s="2">
        <v>43174</v>
      </c>
      <c r="U1886" s="2">
        <v>43162</v>
      </c>
    </row>
    <row r="1887" spans="1:22" x14ac:dyDescent="0.2">
      <c r="A1887" t="str">
        <f>"371.8 BOL"</f>
        <v>371.8 BOL</v>
      </c>
      <c r="B1887" t="str">
        <f>"Total frat move"</f>
        <v>Total frat move</v>
      </c>
      <c r="C1887">
        <v>313420</v>
      </c>
      <c r="D1887" t="str">
        <f>"Bolen, W. R."</f>
        <v>Bolen, W. R.</v>
      </c>
      <c r="F1887" t="str">
        <f>"255 p., 21 cm., ill."</f>
        <v>255 p., 21 cm., ill.</v>
      </c>
      <c r="G1887" s="1">
        <v>13</v>
      </c>
      <c r="H1887">
        <v>2013</v>
      </c>
      <c r="I1887" t="str">
        <f t="shared" si="72"/>
        <v>9: 300 - 399</v>
      </c>
      <c r="K1887" t="str">
        <f>"WB - In"</f>
        <v>WB - In</v>
      </c>
      <c r="L1887" s="1">
        <v>24</v>
      </c>
      <c r="M1887" t="s">
        <v>1762</v>
      </c>
      <c r="O1887" t="s">
        <v>28</v>
      </c>
      <c r="P1887">
        <v>0</v>
      </c>
      <c r="Q1887">
        <v>0</v>
      </c>
      <c r="R1887">
        <v>7</v>
      </c>
      <c r="S1887" s="2">
        <v>41373</v>
      </c>
      <c r="T1887" s="2">
        <v>41471</v>
      </c>
      <c r="U1887" s="2">
        <v>41899</v>
      </c>
      <c r="V1887" s="2">
        <v>41400</v>
      </c>
    </row>
    <row r="1888" spans="1:22" x14ac:dyDescent="0.2">
      <c r="A1888" t="str">
        <f>"371.82 BRA"</f>
        <v>371.82 BRA</v>
      </c>
      <c r="B1888" t="str">
        <f>"promise of a pencil: how an ordinary per"</f>
        <v>promise of a pencil: how an ordinary per</v>
      </c>
      <c r="C1888">
        <v>320327</v>
      </c>
      <c r="D1888" t="str">
        <f>"Braun, Adam."</f>
        <v>Braun, Adam.</v>
      </c>
      <c r="F1888" t="str">
        <f>"254 p."</f>
        <v>254 p.</v>
      </c>
      <c r="G1888" s="1">
        <v>14</v>
      </c>
      <c r="H1888">
        <v>2014</v>
      </c>
      <c r="I1888" t="str">
        <f t="shared" si="72"/>
        <v>9: 300 - 399</v>
      </c>
      <c r="K1888" t="str">
        <f>"WB - In"</f>
        <v>WB - In</v>
      </c>
      <c r="L1888" s="1">
        <v>30</v>
      </c>
      <c r="M1888" t="s">
        <v>1763</v>
      </c>
      <c r="O1888" t="s">
        <v>28</v>
      </c>
      <c r="P1888">
        <v>3</v>
      </c>
      <c r="Q1888">
        <v>1</v>
      </c>
      <c r="R1888">
        <v>20</v>
      </c>
      <c r="S1888" s="2">
        <v>41719</v>
      </c>
      <c r="T1888" s="2">
        <v>42442</v>
      </c>
      <c r="U1888" s="2">
        <v>42975</v>
      </c>
      <c r="V1888" s="2">
        <v>42962</v>
      </c>
    </row>
    <row r="1889" spans="1:22" x14ac:dyDescent="0.2">
      <c r="A1889" t="str">
        <f>"371.82 DIP"</f>
        <v>371.82 DIP</v>
      </c>
      <c r="B1889" t="str">
        <f>"rise of women: the growing gender gap in"</f>
        <v>rise of women: the growing gender gap in</v>
      </c>
      <c r="C1889">
        <v>314895</v>
      </c>
      <c r="D1889" t="str">
        <f>"DiPrete, Thomas A."</f>
        <v>DiPrete, Thomas A.</v>
      </c>
      <c r="F1889" t="str">
        <f>"277 p."</f>
        <v>277 p.</v>
      </c>
      <c r="G1889" s="1">
        <v>13</v>
      </c>
      <c r="H1889">
        <v>2013</v>
      </c>
      <c r="I1889" t="str">
        <f t="shared" si="72"/>
        <v>9: 300 - 399</v>
      </c>
      <c r="K1889" t="str">
        <f>"WB - In"</f>
        <v>WB - In</v>
      </c>
      <c r="L1889" s="1">
        <v>43</v>
      </c>
      <c r="M1889" t="s">
        <v>1764</v>
      </c>
      <c r="O1889" t="s">
        <v>28</v>
      </c>
      <c r="P1889">
        <v>0</v>
      </c>
      <c r="Q1889">
        <v>0</v>
      </c>
      <c r="R1889">
        <v>2</v>
      </c>
      <c r="S1889" s="2">
        <v>41439</v>
      </c>
      <c r="T1889" s="2">
        <v>41506</v>
      </c>
      <c r="U1889" s="2">
        <v>42399</v>
      </c>
    </row>
    <row r="1890" spans="1:22" x14ac:dyDescent="0.2">
      <c r="A1890" t="str">
        <f>"371.82 JEN"</f>
        <v>371.82 JEN</v>
      </c>
      <c r="B1890" t="str">
        <f>"Teaching with poverty in mind: what bein"</f>
        <v>Teaching with poverty in mind: what bein</v>
      </c>
      <c r="C1890">
        <v>303805</v>
      </c>
      <c r="D1890" t="str">
        <f>"Jensen, Eric,"</f>
        <v>Jensen, Eric,</v>
      </c>
      <c r="F1890" t="str">
        <f>"184 p., 23 cm., ill."</f>
        <v>184 p., 23 cm., ill.</v>
      </c>
      <c r="G1890" s="1">
        <v>11</v>
      </c>
      <c r="H1890">
        <v>2009</v>
      </c>
      <c r="I1890" t="str">
        <f t="shared" si="72"/>
        <v>9: 300 - 399</v>
      </c>
      <c r="K1890" t="str">
        <f>"WB - In"</f>
        <v>WB - In</v>
      </c>
      <c r="L1890" s="1">
        <v>29</v>
      </c>
      <c r="M1890" t="s">
        <v>1765</v>
      </c>
      <c r="O1890" t="s">
        <v>28</v>
      </c>
      <c r="P1890">
        <v>3</v>
      </c>
      <c r="Q1890">
        <v>0</v>
      </c>
      <c r="R1890">
        <v>12</v>
      </c>
      <c r="S1890" s="2">
        <v>40843</v>
      </c>
      <c r="T1890" s="2">
        <v>41053</v>
      </c>
      <c r="U1890" s="2">
        <v>43273</v>
      </c>
      <c r="V1890" s="2">
        <v>41877</v>
      </c>
    </row>
    <row r="1891" spans="1:22" x14ac:dyDescent="0.2">
      <c r="A1891" t="str">
        <f>"371.82 KRA"</f>
        <v>371.82 KRA</v>
      </c>
      <c r="B1891" t="str">
        <f>"Three cups of deceit: how Greg Mortenson"</f>
        <v>Three cups of deceit: how Greg Mortenson</v>
      </c>
      <c r="C1891">
        <v>302463</v>
      </c>
      <c r="D1891" t="str">
        <f>"Krakauer, Jon"</f>
        <v>Krakauer, Jon</v>
      </c>
      <c r="F1891" t="str">
        <f>"75 p., 21 cm., ill., maps"</f>
        <v>75 p., 21 cm., ill., maps</v>
      </c>
      <c r="G1891" s="1">
        <v>11</v>
      </c>
      <c r="H1891">
        <v>2011</v>
      </c>
      <c r="I1891" t="str">
        <f t="shared" si="72"/>
        <v>9: 300 - 399</v>
      </c>
      <c r="K1891" t="str">
        <f>"LL - In"</f>
        <v>LL - In</v>
      </c>
      <c r="L1891" s="1">
        <v>15</v>
      </c>
      <c r="M1891" t="s">
        <v>1766</v>
      </c>
      <c r="O1891" t="s">
        <v>28</v>
      </c>
      <c r="P1891">
        <v>3</v>
      </c>
      <c r="Q1891">
        <v>0</v>
      </c>
      <c r="R1891">
        <v>27</v>
      </c>
      <c r="S1891" s="2">
        <v>40785</v>
      </c>
      <c r="T1891" s="2">
        <v>41072</v>
      </c>
      <c r="U1891" s="2">
        <v>43397</v>
      </c>
      <c r="V1891" s="2">
        <v>42571</v>
      </c>
    </row>
    <row r="1892" spans="1:22" x14ac:dyDescent="0.2">
      <c r="A1892" t="str">
        <f>"371.82 KUO"</f>
        <v>371.82 KUO</v>
      </c>
      <c r="B1892" t="str">
        <f>"Reading with Patrick: a teacher, a stude"</f>
        <v>Reading with Patrick: a teacher, a stude</v>
      </c>
      <c r="C1892">
        <v>296685</v>
      </c>
      <c r="D1892" t="str">
        <f>"Kuo, Michelle"</f>
        <v>Kuo, Michelle</v>
      </c>
      <c r="F1892" t="str">
        <f>"xxi, 296 pages, 22 cm"</f>
        <v>xxi, 296 pages, 22 cm</v>
      </c>
      <c r="G1892">
        <v>17</v>
      </c>
      <c r="H1892">
        <v>2017</v>
      </c>
      <c r="I1892" t="str">
        <f t="shared" si="72"/>
        <v>9: 300 - 399</v>
      </c>
      <c r="K1892" t="str">
        <f>"LL - In"</f>
        <v>LL - In</v>
      </c>
      <c r="L1892" s="1">
        <v>32</v>
      </c>
      <c r="M1892" t="s">
        <v>1767</v>
      </c>
      <c r="O1892" t="s">
        <v>28</v>
      </c>
      <c r="P1892">
        <v>10</v>
      </c>
      <c r="Q1892">
        <v>0</v>
      </c>
      <c r="R1892">
        <v>10</v>
      </c>
      <c r="S1892" s="2">
        <v>42976</v>
      </c>
      <c r="T1892" s="2">
        <v>43166</v>
      </c>
      <c r="U1892" s="2">
        <v>43627</v>
      </c>
    </row>
    <row r="1893" spans="1:22" x14ac:dyDescent="0.2">
      <c r="A1893" t="str">
        <f>"371.82 PIP"</f>
        <v>371.82 PIP</v>
      </c>
      <c r="B1893" t="str">
        <f>"Building Hope: the story of Mahiga Hope "</f>
        <v xml:space="preserve">Building Hope: the story of Mahiga Hope </v>
      </c>
      <c r="C1893">
        <v>274234</v>
      </c>
      <c r="D1893" t="str">
        <f>"Pipkin, Turk"</f>
        <v>Pipkin, Turk</v>
      </c>
      <c r="F1893" t="str">
        <f>"160 p."</f>
        <v>160 p.</v>
      </c>
      <c r="G1893">
        <v>14</v>
      </c>
      <c r="H1893">
        <v>2011</v>
      </c>
      <c r="I1893" t="str">
        <f t="shared" si="72"/>
        <v>9: 300 - 399</v>
      </c>
      <c r="K1893" t="str">
        <f>"WB - In"</f>
        <v>WB - In</v>
      </c>
      <c r="L1893" s="1">
        <v>40</v>
      </c>
      <c r="M1893" t="s">
        <v>1768</v>
      </c>
      <c r="O1893" t="s">
        <v>28</v>
      </c>
      <c r="P1893">
        <v>1</v>
      </c>
      <c r="Q1893">
        <v>0</v>
      </c>
      <c r="R1893">
        <v>3</v>
      </c>
      <c r="S1893" s="2">
        <v>41793</v>
      </c>
      <c r="T1893" s="2">
        <v>41800</v>
      </c>
      <c r="U1893" s="2">
        <v>42975</v>
      </c>
    </row>
    <row r="1894" spans="1:22" x14ac:dyDescent="0.2">
      <c r="A1894" t="str">
        <f>"371.82 SAX"</f>
        <v>371.82 SAX</v>
      </c>
      <c r="B1894" t="str">
        <f>"Boys adrift: the five factors driving th"</f>
        <v>Boys adrift: the five factors driving th</v>
      </c>
      <c r="C1894">
        <v>359545</v>
      </c>
      <c r="D1894" t="str">
        <f>"Sax, Leonard"</f>
        <v>Sax, Leonard</v>
      </c>
      <c r="F1894" t="str">
        <f>"ix, 341 pages, 21 cm"</f>
        <v>ix, 341 pages, 21 cm</v>
      </c>
      <c r="G1894" s="1">
        <v>19</v>
      </c>
      <c r="H1894">
        <v>2016</v>
      </c>
      <c r="I1894" t="str">
        <f t="shared" si="72"/>
        <v>9: 300 - 399</v>
      </c>
      <c r="K1894" t="str">
        <f>"WB - In"</f>
        <v>WB - In</v>
      </c>
      <c r="L1894" s="1">
        <v>22</v>
      </c>
      <c r="M1894" t="s">
        <v>1769</v>
      </c>
      <c r="O1894" t="s">
        <v>28</v>
      </c>
      <c r="P1894">
        <v>1</v>
      </c>
      <c r="Q1894">
        <v>0</v>
      </c>
      <c r="R1894">
        <v>1</v>
      </c>
      <c r="S1894" s="2">
        <v>43802</v>
      </c>
      <c r="T1894" s="2">
        <v>43811</v>
      </c>
      <c r="U1894" s="2">
        <v>43819</v>
      </c>
    </row>
    <row r="1895" spans="1:22" x14ac:dyDescent="0.2">
      <c r="A1895" t="str">
        <f>"371.82 SPE"</f>
        <v>371.82 SPE</v>
      </c>
      <c r="B1895" t="str">
        <f>"What works in girls' education: evidence"</f>
        <v>What works in girls' education: evidence</v>
      </c>
      <c r="C1895">
        <v>338067</v>
      </c>
      <c r="D1895" t="str">
        <f>"Sperling, Gene B."</f>
        <v>Sperling, Gene B.</v>
      </c>
      <c r="F1895" t="str">
        <f>"xix, 316 pages, 23 cm, color illustrations"</f>
        <v>xix, 316 pages, 23 cm, color illustrations</v>
      </c>
      <c r="G1895" s="1">
        <v>16</v>
      </c>
      <c r="H1895">
        <v>2016</v>
      </c>
      <c r="I1895" t="str">
        <f t="shared" si="72"/>
        <v>9: 300 - 399</v>
      </c>
      <c r="K1895" t="str">
        <f>"WB - In"</f>
        <v>WB - In</v>
      </c>
      <c r="L1895" s="1">
        <v>27</v>
      </c>
      <c r="M1895" t="s">
        <v>1770</v>
      </c>
      <c r="O1895" t="s">
        <v>28</v>
      </c>
      <c r="P1895">
        <v>2</v>
      </c>
      <c r="Q1895">
        <v>0</v>
      </c>
      <c r="R1895">
        <v>4</v>
      </c>
      <c r="S1895" s="2">
        <v>42667</v>
      </c>
      <c r="T1895" s="2">
        <v>42671</v>
      </c>
      <c r="U1895" s="2">
        <v>43267</v>
      </c>
    </row>
    <row r="1896" spans="1:22" x14ac:dyDescent="0.2">
      <c r="A1896" t="str">
        <f>"371.82 TOU"</f>
        <v>371.82 TOU</v>
      </c>
      <c r="B1896" t="str">
        <f>"Helping children succeed: what works and"</f>
        <v>Helping children succeed: what works and</v>
      </c>
      <c r="C1896">
        <v>335513</v>
      </c>
      <c r="D1896" t="str">
        <f>"Tough, Paul."</f>
        <v>Tough, Paul.</v>
      </c>
      <c r="F1896" t="str">
        <f>"125 pages, 22 cm"</f>
        <v>125 pages, 22 cm</v>
      </c>
      <c r="G1896" s="1">
        <v>16</v>
      </c>
      <c r="H1896">
        <v>2016</v>
      </c>
      <c r="I1896" t="str">
        <f t="shared" si="72"/>
        <v>9: 300 - 399</v>
      </c>
      <c r="K1896" t="str">
        <f>"LL - In"</f>
        <v>LL - In</v>
      </c>
      <c r="L1896" s="1">
        <v>24</v>
      </c>
      <c r="M1896" t="s">
        <v>1771</v>
      </c>
      <c r="O1896" t="s">
        <v>28</v>
      </c>
      <c r="P1896">
        <v>0</v>
      </c>
      <c r="Q1896">
        <v>4</v>
      </c>
      <c r="R1896">
        <v>10</v>
      </c>
      <c r="S1896" s="2">
        <v>42528</v>
      </c>
      <c r="T1896" s="2">
        <v>42717</v>
      </c>
      <c r="U1896" s="2">
        <v>42690</v>
      </c>
      <c r="V1896" s="2">
        <v>43712</v>
      </c>
    </row>
    <row r="1897" spans="1:22" x14ac:dyDescent="0.2">
      <c r="A1897" t="str">
        <f>"371.82 ZIO"</f>
        <v>371.82 ZIO</v>
      </c>
      <c r="B1897" t="str">
        <f>"Walk in their shoes: can one person chan"</f>
        <v>Walk in their shoes: can one person chan</v>
      </c>
      <c r="C1897">
        <v>324062</v>
      </c>
      <c r="D1897" t="str">
        <f>"Ziolkowski, Jim,"</f>
        <v>Ziolkowski, Jim,</v>
      </c>
      <c r="F1897" t="str">
        <f>"xi, 244 pages, 24 cm, illustrations (chiefly color)"</f>
        <v>xi, 244 pages, 24 cm, illustrations (chiefly color)</v>
      </c>
      <c r="G1897" s="1">
        <v>14</v>
      </c>
      <c r="H1897">
        <v>2013</v>
      </c>
      <c r="I1897" t="str">
        <f t="shared" si="72"/>
        <v>9: 300 - 399</v>
      </c>
      <c r="K1897" t="str">
        <f t="shared" ref="K1897:K1907" si="74">"WB - In"</f>
        <v>WB - In</v>
      </c>
      <c r="L1897" s="1">
        <v>21</v>
      </c>
      <c r="M1897" t="s">
        <v>1772</v>
      </c>
      <c r="O1897" t="s">
        <v>28</v>
      </c>
      <c r="P1897">
        <v>2</v>
      </c>
      <c r="Q1897">
        <v>0</v>
      </c>
      <c r="R1897">
        <v>7</v>
      </c>
      <c r="S1897" s="2">
        <v>41926</v>
      </c>
      <c r="T1897" s="2">
        <v>41933</v>
      </c>
      <c r="U1897" s="2">
        <v>43367</v>
      </c>
    </row>
    <row r="1898" spans="1:22" x14ac:dyDescent="0.2">
      <c r="A1898" t="str">
        <f>"371.9 GRE"</f>
        <v>371.9 GRE</v>
      </c>
      <c r="B1898" t="str">
        <f>"Lost at school: why our kids with behavi"</f>
        <v>Lost at school: why our kids with behavi</v>
      </c>
      <c r="C1898">
        <v>338051</v>
      </c>
      <c r="D1898" t="str">
        <f>"Greene, Ross W."</f>
        <v>Greene, Ross W.</v>
      </c>
      <c r="F1898" t="str">
        <f>"xv, 317 pages, 22 cm"</f>
        <v>xv, 317 pages, 22 cm</v>
      </c>
      <c r="G1898" s="1">
        <v>16</v>
      </c>
      <c r="H1898">
        <v>2014</v>
      </c>
      <c r="I1898" t="str">
        <f t="shared" si="72"/>
        <v>9: 300 - 399</v>
      </c>
      <c r="K1898" t="str">
        <f t="shared" si="74"/>
        <v>WB - In</v>
      </c>
      <c r="L1898" s="1">
        <v>22</v>
      </c>
      <c r="M1898" t="s">
        <v>1773</v>
      </c>
      <c r="O1898" t="s">
        <v>28</v>
      </c>
      <c r="P1898">
        <v>4</v>
      </c>
      <c r="Q1898">
        <v>1</v>
      </c>
      <c r="R1898">
        <v>7</v>
      </c>
      <c r="S1898" s="2">
        <v>42667</v>
      </c>
      <c r="T1898" s="2">
        <v>42671</v>
      </c>
      <c r="U1898" s="2">
        <v>43740</v>
      </c>
      <c r="V1898" s="2">
        <v>43670</v>
      </c>
    </row>
    <row r="1899" spans="1:22" x14ac:dyDescent="0.2">
      <c r="A1899" t="str">
        <f>"371.9 HAR"</f>
        <v>371.9 HAR</v>
      </c>
      <c r="B1899" t="str">
        <f>"Complete learning disabilities handbook:"</f>
        <v>Complete learning disabilities handbook:</v>
      </c>
      <c r="C1899">
        <v>215207</v>
      </c>
      <c r="D1899" t="str">
        <f>"Harwell, Joan M.,"</f>
        <v>Harwell, Joan M.,</v>
      </c>
      <c r="F1899" t="str">
        <f>"388 p., 28 cm., ill."</f>
        <v>388 p., 28 cm., ill.</v>
      </c>
      <c r="G1899" s="1">
        <v>8</v>
      </c>
      <c r="H1899">
        <v>2008</v>
      </c>
      <c r="I1899" t="str">
        <f t="shared" si="72"/>
        <v>9: 300 - 399</v>
      </c>
      <c r="K1899" t="str">
        <f t="shared" si="74"/>
        <v>WB - In</v>
      </c>
      <c r="L1899" s="1">
        <v>38</v>
      </c>
      <c r="M1899" t="s">
        <v>1774</v>
      </c>
      <c r="O1899" t="s">
        <v>28</v>
      </c>
      <c r="P1899">
        <v>4</v>
      </c>
      <c r="Q1899">
        <v>0</v>
      </c>
      <c r="R1899">
        <v>19</v>
      </c>
      <c r="S1899" s="2">
        <v>39763</v>
      </c>
      <c r="T1899" s="2">
        <v>41053</v>
      </c>
      <c r="U1899" s="2">
        <v>43705</v>
      </c>
    </row>
    <row r="1900" spans="1:22" x14ac:dyDescent="0.2">
      <c r="A1900" t="str">
        <f>"371.9 KUY"</f>
        <v>371.9 KUY</v>
      </c>
      <c r="B1900" t="str">
        <f>"zones of regulation: a curriculum design"</f>
        <v>zones of regulation: a curriculum design</v>
      </c>
      <c r="C1900">
        <v>286972</v>
      </c>
      <c r="D1900" t="str">
        <f>"Kuypers, Leah M.,"</f>
        <v>Kuypers, Leah M.,</v>
      </c>
      <c r="F1900" t="str">
        <f>"xi, 185 pages, 28 cm, illustrations (some color), 1 CD-ROM (color ; 4 3/4 in.)"</f>
        <v>xi, 185 pages, 28 cm, illustrations (some color), 1 CD-ROM (color ; 4 3/4 in.)</v>
      </c>
      <c r="G1900" s="1">
        <v>16</v>
      </c>
      <c r="H1900">
        <v>2011</v>
      </c>
      <c r="I1900" t="str">
        <f t="shared" si="72"/>
        <v>9: 300 - 399</v>
      </c>
      <c r="K1900" t="str">
        <f t="shared" si="74"/>
        <v>WB - In</v>
      </c>
      <c r="L1900" s="1">
        <v>50</v>
      </c>
      <c r="M1900" t="s">
        <v>1775</v>
      </c>
      <c r="O1900" t="s">
        <v>28</v>
      </c>
      <c r="P1900">
        <v>9</v>
      </c>
      <c r="Q1900">
        <v>2</v>
      </c>
      <c r="R1900">
        <v>15</v>
      </c>
      <c r="S1900" s="2">
        <v>42458</v>
      </c>
      <c r="T1900" s="2">
        <v>42465</v>
      </c>
      <c r="U1900" s="2">
        <v>43790</v>
      </c>
      <c r="V1900" s="2">
        <v>43784</v>
      </c>
    </row>
    <row r="1901" spans="1:22" x14ac:dyDescent="0.2">
      <c r="A1901" t="str">
        <f t="shared" ref="A1901:A1907" si="75">"371.9 MAD"</f>
        <v>371.9 MAD</v>
      </c>
      <c r="B1901" t="str">
        <f>"Superflex and Kook Q. Cucumber to the re"</f>
        <v>Superflex and Kook Q. Cucumber to the re</v>
      </c>
      <c r="C1901">
        <v>407107</v>
      </c>
      <c r="F1901" t="str">
        <f>"27 p., illustrations"</f>
        <v>27 p., illustrations</v>
      </c>
      <c r="G1901" s="1">
        <v>19</v>
      </c>
      <c r="H1901">
        <v>2018</v>
      </c>
      <c r="I1901" t="str">
        <f t="shared" si="72"/>
        <v>9: 300 - 399</v>
      </c>
      <c r="K1901" t="str">
        <f t="shared" si="74"/>
        <v>WB - In</v>
      </c>
      <c r="L1901" s="1">
        <v>20</v>
      </c>
      <c r="M1901" t="s">
        <v>1776</v>
      </c>
      <c r="O1901" t="s">
        <v>28</v>
      </c>
      <c r="P1901">
        <v>3</v>
      </c>
      <c r="Q1901">
        <v>0</v>
      </c>
      <c r="R1901">
        <v>3</v>
      </c>
      <c r="S1901" s="2">
        <v>43670</v>
      </c>
      <c r="T1901" s="2">
        <v>43677</v>
      </c>
      <c r="U1901" s="2">
        <v>43810</v>
      </c>
    </row>
    <row r="1902" spans="1:22" x14ac:dyDescent="0.2">
      <c r="A1902" t="str">
        <f t="shared" si="75"/>
        <v>371.9 MAD</v>
      </c>
      <c r="B1902" t="str">
        <f>"Superflex: Superflex takes on Rock Brain"</f>
        <v>Superflex: Superflex takes on Rock Brain</v>
      </c>
      <c r="C1902">
        <v>402333</v>
      </c>
      <c r="D1902" t="str">
        <f>"Madrigal, Stephanie"</f>
        <v>Madrigal, Stephanie</v>
      </c>
      <c r="F1902" t="str">
        <f>"21 p., illustrations"</f>
        <v>21 p., illustrations</v>
      </c>
      <c r="G1902" s="1">
        <v>18</v>
      </c>
      <c r="H1902">
        <v>2008</v>
      </c>
      <c r="I1902" t="str">
        <f t="shared" si="72"/>
        <v>9: 300 - 399</v>
      </c>
      <c r="K1902" t="str">
        <f t="shared" si="74"/>
        <v>WB - In</v>
      </c>
      <c r="L1902" s="1">
        <v>20</v>
      </c>
      <c r="M1902" t="s">
        <v>1777</v>
      </c>
      <c r="O1902" t="s">
        <v>28</v>
      </c>
      <c r="P1902">
        <v>3</v>
      </c>
      <c r="Q1902">
        <v>1</v>
      </c>
      <c r="R1902">
        <v>4</v>
      </c>
      <c r="S1902" s="2">
        <v>43306</v>
      </c>
      <c r="T1902" s="2">
        <v>43311</v>
      </c>
      <c r="U1902" s="2">
        <v>43720</v>
      </c>
      <c r="V1902" s="2">
        <v>43685</v>
      </c>
    </row>
    <row r="1903" spans="1:22" x14ac:dyDescent="0.2">
      <c r="A1903" t="str">
        <f t="shared" si="75"/>
        <v>371.9 MAD</v>
      </c>
      <c r="B1903" t="str">
        <f>"Superflex takes on Brain Eater and the t"</f>
        <v>Superflex takes on Brain Eater and the t</v>
      </c>
      <c r="C1903">
        <v>295629</v>
      </c>
      <c r="D1903" t="str">
        <f>"Madrigal, Stephanie"</f>
        <v>Madrigal, Stephanie</v>
      </c>
      <c r="F1903" t="str">
        <f>"78 pages, 22 x 24 cm, color illustrations, 1 CD-ROM (4 3/4 in.)"</f>
        <v>78 pages, 22 x 24 cm, color illustrations, 1 CD-ROM (4 3/4 in.)</v>
      </c>
      <c r="G1903" s="1">
        <v>17</v>
      </c>
      <c r="H1903">
        <v>2012</v>
      </c>
      <c r="I1903" t="str">
        <f t="shared" si="72"/>
        <v>9: 300 - 399</v>
      </c>
      <c r="K1903" t="str">
        <f t="shared" si="74"/>
        <v>WB - In</v>
      </c>
      <c r="L1903" s="1">
        <v>34</v>
      </c>
      <c r="M1903" t="s">
        <v>1778</v>
      </c>
      <c r="O1903" t="s">
        <v>28</v>
      </c>
      <c r="P1903">
        <v>10</v>
      </c>
      <c r="Q1903">
        <v>0</v>
      </c>
      <c r="R1903">
        <v>10</v>
      </c>
      <c r="S1903" s="2">
        <v>42907</v>
      </c>
      <c r="T1903" s="2">
        <v>43349</v>
      </c>
      <c r="U1903" s="2">
        <v>43720</v>
      </c>
    </row>
    <row r="1904" spans="1:22" x14ac:dyDescent="0.2">
      <c r="A1904" t="str">
        <f t="shared" si="75"/>
        <v>371.9 MAD</v>
      </c>
      <c r="B1904" t="str">
        <f>"Superflex takes on Glassman and the Team"</f>
        <v>Superflex takes on Glassman and the Team</v>
      </c>
      <c r="C1904">
        <v>285974</v>
      </c>
      <c r="D1904" t="str">
        <f>"Madrigal, Stephanie"</f>
        <v>Madrigal, Stephanie</v>
      </c>
      <c r="F1904" t="str">
        <f>"v, 67 p., 22 x 28 cm, col. ill."</f>
        <v>v, 67 p., 22 x 28 cm, col. ill.</v>
      </c>
      <c r="G1904" s="1">
        <v>16</v>
      </c>
      <c r="H1904">
        <v>2009</v>
      </c>
      <c r="I1904" t="str">
        <f t="shared" si="72"/>
        <v>9: 300 - 399</v>
      </c>
      <c r="K1904" t="str">
        <f t="shared" si="74"/>
        <v>WB - In</v>
      </c>
      <c r="L1904" s="1">
        <v>25</v>
      </c>
      <c r="M1904" t="s">
        <v>1779</v>
      </c>
      <c r="O1904" t="s">
        <v>28</v>
      </c>
      <c r="P1904">
        <v>11</v>
      </c>
      <c r="Q1904">
        <v>3</v>
      </c>
      <c r="R1904">
        <v>17</v>
      </c>
      <c r="S1904" s="2">
        <v>42394</v>
      </c>
      <c r="T1904" s="2">
        <v>43384</v>
      </c>
      <c r="U1904" s="2">
        <v>43774</v>
      </c>
      <c r="V1904" s="2">
        <v>43685</v>
      </c>
    </row>
    <row r="1905" spans="1:22" x14ac:dyDescent="0.2">
      <c r="A1905" t="str">
        <f t="shared" si="75"/>
        <v>371.9 MAD</v>
      </c>
      <c r="B1905" t="str">
        <f>"Superflex takes on one-sided Sid, Un-Won"</f>
        <v>Superflex takes on one-sided Sid, Un-Won</v>
      </c>
      <c r="C1905">
        <v>289931</v>
      </c>
      <c r="D1905" t="str">
        <f>"Madrigal, Stephanie"</f>
        <v>Madrigal, Stephanie</v>
      </c>
      <c r="F1905" t="str">
        <f>"74 p."</f>
        <v>74 p.</v>
      </c>
      <c r="G1905" s="1">
        <v>16</v>
      </c>
      <c r="H1905">
        <v>2015</v>
      </c>
      <c r="I1905" t="str">
        <f t="shared" si="72"/>
        <v>9: 300 - 399</v>
      </c>
      <c r="K1905" t="str">
        <f t="shared" si="74"/>
        <v>WB - In</v>
      </c>
      <c r="L1905" s="1">
        <v>25</v>
      </c>
      <c r="M1905" t="s">
        <v>1780</v>
      </c>
      <c r="O1905" t="s">
        <v>28</v>
      </c>
      <c r="P1905">
        <v>6</v>
      </c>
      <c r="Q1905">
        <v>0</v>
      </c>
      <c r="R1905">
        <v>7</v>
      </c>
      <c r="S1905" s="2">
        <v>42604</v>
      </c>
      <c r="T1905" s="2">
        <v>42684</v>
      </c>
      <c r="U1905" s="2">
        <v>43720</v>
      </c>
    </row>
    <row r="1906" spans="1:22" x14ac:dyDescent="0.2">
      <c r="A1906" t="str">
        <f t="shared" si="75"/>
        <v>371.9 MAD</v>
      </c>
      <c r="B1906" t="str">
        <f>"Superflex: a superhero social thinking c"</f>
        <v>Superflex: a superhero social thinking c</v>
      </c>
      <c r="C1906">
        <v>402332</v>
      </c>
      <c r="D1906" t="str">
        <f>"Madrigal, Stephanie"</f>
        <v>Madrigal, Stephanie</v>
      </c>
      <c r="F1906" t="str">
        <f>"2 volumes, 28 cm., illustrations, 1 CD-ROM (4 3/4 in.) In plastic pouch (34 x 24 cm.)"</f>
        <v>2 volumes, 28 cm., illustrations, 1 CD-ROM (4 3/4 in.) In plastic pouch (34 x 24 cm.)</v>
      </c>
      <c r="G1906" s="1">
        <v>18</v>
      </c>
      <c r="H1906">
        <v>2008</v>
      </c>
      <c r="I1906" t="str">
        <f t="shared" si="72"/>
        <v>9: 300 - 399</v>
      </c>
      <c r="K1906" t="str">
        <f t="shared" si="74"/>
        <v>WB - In</v>
      </c>
      <c r="L1906" s="1">
        <v>50</v>
      </c>
      <c r="M1906" t="s">
        <v>1781</v>
      </c>
      <c r="O1906" t="s">
        <v>28</v>
      </c>
      <c r="P1906">
        <v>4</v>
      </c>
      <c r="Q1906">
        <v>0</v>
      </c>
      <c r="R1906">
        <v>4</v>
      </c>
      <c r="S1906" s="2">
        <v>43306</v>
      </c>
      <c r="T1906" s="2">
        <v>43311</v>
      </c>
      <c r="U1906" s="2">
        <v>43793</v>
      </c>
    </row>
    <row r="1907" spans="1:22" x14ac:dyDescent="0.2">
      <c r="A1907" t="str">
        <f t="shared" si="75"/>
        <v>371.9 MAD</v>
      </c>
      <c r="B1907" t="str">
        <f>"Superflex and Focus Tron to the rescue: "</f>
        <v xml:space="preserve">Superflex and Focus Tron to the rescue: </v>
      </c>
      <c r="C1907">
        <v>407110</v>
      </c>
      <c r="D1907" t="str">
        <f>"Winner, Michelle Garcia"</f>
        <v>Winner, Michelle Garcia</v>
      </c>
      <c r="F1907" t="str">
        <f>"28 p., illustrations"</f>
        <v>28 p., illustrations</v>
      </c>
      <c r="G1907" s="1">
        <v>19</v>
      </c>
      <c r="H1907">
        <v>2018</v>
      </c>
      <c r="I1907" t="str">
        <f t="shared" si="72"/>
        <v>9: 300 - 399</v>
      </c>
      <c r="K1907" t="str">
        <f t="shared" si="74"/>
        <v>WB - In</v>
      </c>
      <c r="L1907" s="1">
        <v>20</v>
      </c>
      <c r="M1907" t="s">
        <v>1782</v>
      </c>
      <c r="O1907" t="s">
        <v>28</v>
      </c>
      <c r="P1907">
        <v>4</v>
      </c>
      <c r="Q1907">
        <v>0</v>
      </c>
      <c r="R1907">
        <v>4</v>
      </c>
      <c r="S1907" s="2">
        <v>43670</v>
      </c>
      <c r="T1907" s="2">
        <v>43677</v>
      </c>
      <c r="U1907" s="2">
        <v>43810</v>
      </c>
    </row>
    <row r="1908" spans="1:22" x14ac:dyDescent="0.2">
      <c r="A1908" t="str">
        <f>"371.9 OTT"</f>
        <v>371.9 OTT</v>
      </c>
      <c r="B1908" t="str">
        <f>"Music for special kids: musical activiti"</f>
        <v>Music for special kids: musical activiti</v>
      </c>
      <c r="C1908">
        <v>277118</v>
      </c>
      <c r="D1908" t="str">
        <f>"Ott, Pamela"</f>
        <v>Ott, Pamela</v>
      </c>
      <c r="F1908" t="str">
        <f>"192 pages, 25 cm, illustrations, music"</f>
        <v>192 pages, 25 cm, illustrations, music</v>
      </c>
      <c r="G1908" s="1">
        <v>14</v>
      </c>
      <c r="H1908">
        <v>2011</v>
      </c>
      <c r="I1908" t="str">
        <f t="shared" si="72"/>
        <v>9: 300 - 399</v>
      </c>
      <c r="K1908" t="str">
        <f>"LL - In"</f>
        <v>LL - In</v>
      </c>
      <c r="L1908" s="1">
        <v>26</v>
      </c>
      <c r="M1908" t="s">
        <v>1783</v>
      </c>
      <c r="O1908" t="s">
        <v>28</v>
      </c>
      <c r="P1908">
        <v>2</v>
      </c>
      <c r="Q1908">
        <v>4</v>
      </c>
      <c r="R1908">
        <v>11</v>
      </c>
      <c r="S1908" s="2">
        <v>41947</v>
      </c>
      <c r="T1908" s="2">
        <v>42106</v>
      </c>
      <c r="U1908" s="2">
        <v>43404</v>
      </c>
      <c r="V1908" s="2">
        <v>43712</v>
      </c>
    </row>
    <row r="1909" spans="1:22" x14ac:dyDescent="0.2">
      <c r="A1909" t="str">
        <f>"371.9 SHA"</f>
        <v>371.9 SHA</v>
      </c>
      <c r="B1909" t="str">
        <f>"Troublemakers: lessons in freedom from y"</f>
        <v>Troublemakers: lessons in freedom from y</v>
      </c>
      <c r="C1909">
        <v>342768</v>
      </c>
      <c r="D1909" t="str">
        <f>"Shalaby, Carla"</f>
        <v>Shalaby, Carla</v>
      </c>
      <c r="F1909" t="str">
        <f>"xl,196 pages, 22 cm"</f>
        <v>xl,196 pages, 22 cm</v>
      </c>
      <c r="G1909" s="1">
        <v>17</v>
      </c>
      <c r="H1909">
        <v>2017</v>
      </c>
      <c r="I1909" t="str">
        <f t="shared" si="72"/>
        <v>9: 300 - 399</v>
      </c>
      <c r="K1909" t="str">
        <f>"LL - In"</f>
        <v>LL - In</v>
      </c>
      <c r="L1909" s="1">
        <v>31</v>
      </c>
      <c r="M1909" t="s">
        <v>1784</v>
      </c>
      <c r="O1909" t="s">
        <v>28</v>
      </c>
      <c r="P1909">
        <v>12</v>
      </c>
      <c r="Q1909">
        <v>4</v>
      </c>
      <c r="R1909">
        <v>16</v>
      </c>
      <c r="S1909" s="2">
        <v>42947</v>
      </c>
      <c r="T1909" s="2">
        <v>43138</v>
      </c>
      <c r="U1909" s="2">
        <v>43739</v>
      </c>
      <c r="V1909" s="2">
        <v>43706</v>
      </c>
    </row>
    <row r="1910" spans="1:22" x14ac:dyDescent="0.2">
      <c r="A1910" t="str">
        <f>"371.9 SIE"</f>
        <v>371.9 SIE</v>
      </c>
      <c r="B1910" t="str">
        <f>"complete IEP guide: how to advocate for "</f>
        <v xml:space="preserve">complete IEP guide: how to advocate for </v>
      </c>
      <c r="C1910">
        <v>347028</v>
      </c>
      <c r="D1910" t="str">
        <f>"Siegel, Lawrence M.,"</f>
        <v>Siegel, Lawrence M.,</v>
      </c>
      <c r="F1910" t="str">
        <f>"385 pages, 23 cm"</f>
        <v>385 pages, 23 cm</v>
      </c>
      <c r="G1910" s="1">
        <v>18</v>
      </c>
      <c r="H1910">
        <v>2017</v>
      </c>
      <c r="I1910" t="str">
        <f t="shared" si="72"/>
        <v>9: 300 - 399</v>
      </c>
      <c r="K1910" t="str">
        <f>"LL - Out"</f>
        <v>LL - Out</v>
      </c>
      <c r="L1910" s="1">
        <v>40</v>
      </c>
      <c r="M1910" t="s">
        <v>1785</v>
      </c>
      <c r="O1910" t="s">
        <v>28</v>
      </c>
      <c r="P1910">
        <v>7</v>
      </c>
      <c r="Q1910">
        <v>0</v>
      </c>
      <c r="R1910">
        <v>7</v>
      </c>
      <c r="S1910" s="2">
        <v>43192</v>
      </c>
      <c r="T1910" s="2">
        <v>43257</v>
      </c>
      <c r="U1910" s="2">
        <v>43832</v>
      </c>
    </row>
    <row r="1911" spans="1:22" x14ac:dyDescent="0.2">
      <c r="A1911" t="str">
        <f>"371.9 WIN"</f>
        <v>371.9 WIN</v>
      </c>
      <c r="B1911" t="str">
        <f>"You are a social detective!: explaining "</f>
        <v xml:space="preserve">You are a social detective!: explaining </v>
      </c>
      <c r="C1911">
        <v>285973</v>
      </c>
      <c r="D1911" t="str">
        <f>"Winner, Michelle Garcia"</f>
        <v>Winner, Michelle Garcia</v>
      </c>
      <c r="F1911" t="str">
        <f>"61 pages, 22 x 29 cm, color illustrations"</f>
        <v>61 pages, 22 x 29 cm, color illustrations</v>
      </c>
      <c r="G1911" s="1">
        <v>16</v>
      </c>
      <c r="H1911">
        <v>2008</v>
      </c>
      <c r="I1911" t="str">
        <f t="shared" si="72"/>
        <v>9: 300 - 399</v>
      </c>
      <c r="K1911" t="str">
        <f>"WB - Out"</f>
        <v>WB - Out</v>
      </c>
      <c r="L1911" s="1">
        <v>25</v>
      </c>
      <c r="M1911" t="s">
        <v>1786</v>
      </c>
      <c r="O1911" t="s">
        <v>28</v>
      </c>
      <c r="P1911">
        <v>5</v>
      </c>
      <c r="Q1911">
        <v>1</v>
      </c>
      <c r="R1911">
        <v>8</v>
      </c>
      <c r="S1911" s="2">
        <v>42394</v>
      </c>
      <c r="T1911" s="2">
        <v>43437</v>
      </c>
      <c r="U1911" s="2">
        <v>43857</v>
      </c>
      <c r="V1911" s="2">
        <v>43297</v>
      </c>
    </row>
    <row r="1912" spans="1:22" x14ac:dyDescent="0.2">
      <c r="A1912" t="str">
        <f>"371.9 WIN"</f>
        <v>371.9 WIN</v>
      </c>
      <c r="B1912" t="str">
        <f>"You are a social detective!: explaining "</f>
        <v xml:space="preserve">You are a social detective!: explaining </v>
      </c>
      <c r="C1912">
        <v>403562</v>
      </c>
      <c r="D1912" t="str">
        <f>"Winner, Michelle Garcia"</f>
        <v>Winner, Michelle Garcia</v>
      </c>
      <c r="F1912" t="str">
        <f>"61 pages, 22 x 29 cm, color illustrations"</f>
        <v>61 pages, 22 x 29 cm, color illustrations</v>
      </c>
      <c r="G1912" s="1">
        <v>18</v>
      </c>
      <c r="H1912">
        <v>2008</v>
      </c>
      <c r="I1912" t="str">
        <f t="shared" si="72"/>
        <v>9: 300 - 399</v>
      </c>
      <c r="K1912" t="str">
        <f>"WB - In"</f>
        <v>WB - In</v>
      </c>
      <c r="L1912" s="1">
        <v>25</v>
      </c>
      <c r="M1912" t="s">
        <v>1786</v>
      </c>
      <c r="O1912" t="s">
        <v>28</v>
      </c>
      <c r="P1912">
        <v>4</v>
      </c>
      <c r="Q1912">
        <v>2</v>
      </c>
      <c r="R1912">
        <v>6</v>
      </c>
      <c r="S1912" s="2">
        <v>43405</v>
      </c>
      <c r="T1912" s="2">
        <v>43412</v>
      </c>
      <c r="U1912" s="2">
        <v>43808</v>
      </c>
      <c r="V1912" s="2">
        <v>43712</v>
      </c>
    </row>
    <row r="1913" spans="1:22" x14ac:dyDescent="0.2">
      <c r="A1913" t="str">
        <f>"371.9 WRI"</f>
        <v>371.9 WRI</v>
      </c>
      <c r="B1913" t="str">
        <f>"All about IEPs: answers to frequently as"</f>
        <v>All about IEPs: answers to frequently as</v>
      </c>
      <c r="C1913">
        <v>248841</v>
      </c>
      <c r="D1913" t="str">
        <f>"Wright, Peter W. D."</f>
        <v>Wright, Peter W. D.</v>
      </c>
      <c r="G1913">
        <v>11</v>
      </c>
      <c r="H1913">
        <v>2011</v>
      </c>
      <c r="I1913" t="str">
        <f t="shared" si="72"/>
        <v>9: 300 - 399</v>
      </c>
      <c r="K1913" t="str">
        <f>"LL - In"</f>
        <v>LL - In</v>
      </c>
      <c r="L1913" s="1">
        <v>18</v>
      </c>
      <c r="M1913" t="s">
        <v>1787</v>
      </c>
      <c r="O1913" t="s">
        <v>28</v>
      </c>
      <c r="P1913">
        <v>5</v>
      </c>
      <c r="Q1913">
        <v>4</v>
      </c>
      <c r="R1913">
        <v>20</v>
      </c>
      <c r="S1913" s="2">
        <v>40737</v>
      </c>
      <c r="T1913" s="2">
        <v>41053</v>
      </c>
      <c r="U1913" s="2">
        <v>43744</v>
      </c>
      <c r="V1913" s="2">
        <v>43712</v>
      </c>
    </row>
    <row r="1914" spans="1:22" x14ac:dyDescent="0.2">
      <c r="A1914" t="str">
        <f>"371.9 WRI"</f>
        <v>371.9 WRI</v>
      </c>
      <c r="B1914" t="str">
        <f>"Wrightslaw: special education law"</f>
        <v>Wrightslaw: special education law</v>
      </c>
      <c r="C1914">
        <v>293505</v>
      </c>
      <c r="D1914" t="str">
        <f>"Wright, Peter W. D."</f>
        <v>Wright, Peter W. D.</v>
      </c>
      <c r="F1914" t="str">
        <f>"viii, 442 pages, 28 cm"</f>
        <v>viii, 442 pages, 28 cm</v>
      </c>
      <c r="G1914" s="1">
        <v>17</v>
      </c>
      <c r="H1914">
        <v>2007</v>
      </c>
      <c r="I1914" t="str">
        <f t="shared" si="72"/>
        <v>9: 300 - 399</v>
      </c>
      <c r="K1914" t="str">
        <f>"LL - In"</f>
        <v>LL - In</v>
      </c>
      <c r="L1914" s="1">
        <v>35</v>
      </c>
      <c r="M1914" t="s">
        <v>1788</v>
      </c>
      <c r="O1914" t="s">
        <v>28</v>
      </c>
      <c r="P1914">
        <v>3</v>
      </c>
      <c r="Q1914">
        <v>1</v>
      </c>
      <c r="R1914">
        <v>4</v>
      </c>
      <c r="S1914" s="2">
        <v>42789</v>
      </c>
      <c r="T1914" s="2">
        <v>42796</v>
      </c>
      <c r="U1914" s="2">
        <v>43744</v>
      </c>
      <c r="V1914" s="2">
        <v>43138</v>
      </c>
    </row>
    <row r="1915" spans="1:22" x14ac:dyDescent="0.2">
      <c r="A1915" t="str">
        <f>"371.91 BOO"</f>
        <v>371.91 BOO</v>
      </c>
      <c r="B1915" t="str">
        <f>"Reversing dyslexia: improving learning &amp;"</f>
        <v>Reversing dyslexia: improving learning &amp;</v>
      </c>
      <c r="C1915">
        <v>322367</v>
      </c>
      <c r="D1915" t="str">
        <f>"Books, Phyllis."</f>
        <v>Books, Phyllis.</v>
      </c>
      <c r="F1915" t="str">
        <f>"xii, 146 pages, 23 cm, illustrations"</f>
        <v>xii, 146 pages, 23 cm, illustrations</v>
      </c>
      <c r="G1915" s="1">
        <v>14</v>
      </c>
      <c r="H1915">
        <v>2013</v>
      </c>
      <c r="I1915" t="str">
        <f t="shared" si="72"/>
        <v>9: 300 - 399</v>
      </c>
      <c r="K1915" t="str">
        <f>"LL - In"</f>
        <v>LL - In</v>
      </c>
      <c r="L1915" s="1">
        <v>22</v>
      </c>
      <c r="M1915" t="s">
        <v>1789</v>
      </c>
      <c r="O1915" t="s">
        <v>28</v>
      </c>
      <c r="P1915">
        <v>2</v>
      </c>
      <c r="Q1915">
        <v>0</v>
      </c>
      <c r="R1915">
        <v>5</v>
      </c>
      <c r="S1915" s="2">
        <v>41830</v>
      </c>
      <c r="T1915" s="2">
        <v>41856</v>
      </c>
      <c r="U1915" s="2">
        <v>43498</v>
      </c>
    </row>
    <row r="1916" spans="1:22" x14ac:dyDescent="0.2">
      <c r="A1916" t="str">
        <f>"371.91 DAV"</f>
        <v>371.91 DAV</v>
      </c>
      <c r="B1916" t="str">
        <f>"gift of dyslexia: why some of the smarte"</f>
        <v>gift of dyslexia: why some of the smarte</v>
      </c>
      <c r="C1916">
        <v>323915</v>
      </c>
      <c r="D1916" t="str">
        <f>"Davis, Ronald D."</f>
        <v>Davis, Ronald D.</v>
      </c>
      <c r="F1916" t="str">
        <f>"xviii, 286 p., 21 cm, ill."</f>
        <v>xviii, 286 p., 21 cm, ill.</v>
      </c>
      <c r="G1916" s="1">
        <v>14</v>
      </c>
      <c r="H1916">
        <v>2010</v>
      </c>
      <c r="I1916" t="str">
        <f t="shared" si="72"/>
        <v>9: 300 - 399</v>
      </c>
      <c r="K1916" t="str">
        <f>"WB - In"</f>
        <v>WB - In</v>
      </c>
      <c r="L1916" s="1">
        <v>21</v>
      </c>
      <c r="M1916" t="s">
        <v>1790</v>
      </c>
      <c r="O1916" t="s">
        <v>28</v>
      </c>
      <c r="P1916">
        <v>15</v>
      </c>
      <c r="Q1916">
        <v>0</v>
      </c>
      <c r="R1916">
        <v>23</v>
      </c>
      <c r="S1916" s="2">
        <v>41913</v>
      </c>
      <c r="T1916" s="2">
        <v>41919</v>
      </c>
      <c r="U1916" s="2">
        <v>43754</v>
      </c>
    </row>
    <row r="1917" spans="1:22" x14ac:dyDescent="0.2">
      <c r="A1917" t="str">
        <f>"371.91 EID"</f>
        <v>371.91 EID</v>
      </c>
      <c r="B1917" t="str">
        <f>"dyslexic advantage: unlocking the hidden"</f>
        <v>dyslexic advantage: unlocking the hidden</v>
      </c>
      <c r="C1917">
        <v>302209</v>
      </c>
      <c r="D1917" t="str">
        <f>"Eide, Brock"</f>
        <v>Eide, Brock</v>
      </c>
      <c r="F1917" t="str">
        <f>"283 p., cm."</f>
        <v>283 p., cm.</v>
      </c>
      <c r="G1917" s="1">
        <v>11</v>
      </c>
      <c r="H1917">
        <v>2011</v>
      </c>
      <c r="I1917" t="str">
        <f t="shared" si="72"/>
        <v>9: 300 - 399</v>
      </c>
      <c r="K1917" t="str">
        <f>"LL - In"</f>
        <v>LL - In</v>
      </c>
      <c r="L1917" s="1">
        <v>31</v>
      </c>
      <c r="M1917" t="s">
        <v>1791</v>
      </c>
      <c r="O1917" t="s">
        <v>28</v>
      </c>
      <c r="P1917">
        <v>9</v>
      </c>
      <c r="Q1917">
        <v>2</v>
      </c>
      <c r="R1917">
        <v>36</v>
      </c>
      <c r="S1917" s="2">
        <v>40771</v>
      </c>
      <c r="T1917" s="2">
        <v>41114</v>
      </c>
      <c r="U1917" s="2">
        <v>43619</v>
      </c>
      <c r="V1917" s="2">
        <v>43712</v>
      </c>
    </row>
    <row r="1918" spans="1:22" x14ac:dyDescent="0.2">
      <c r="A1918" t="str">
        <f>"371.91 EID"</f>
        <v>371.91 EID</v>
      </c>
      <c r="B1918" t="str">
        <f>"dyslexic advantage: unlocking the hidden"</f>
        <v>dyslexic advantage: unlocking the hidden</v>
      </c>
      <c r="C1918">
        <v>264981</v>
      </c>
      <c r="D1918" t="str">
        <f>"Eide, Brock"</f>
        <v>Eide, Brock</v>
      </c>
      <c r="F1918" t="str">
        <f>"283 p., cm."</f>
        <v>283 p., cm.</v>
      </c>
      <c r="G1918" s="1">
        <v>13</v>
      </c>
      <c r="H1918">
        <v>2011</v>
      </c>
      <c r="I1918" t="str">
        <f t="shared" si="72"/>
        <v>9: 300 - 399</v>
      </c>
      <c r="K1918" t="str">
        <f>"WB - In"</f>
        <v>WB - In</v>
      </c>
      <c r="L1918" s="1">
        <v>21</v>
      </c>
      <c r="M1918" t="s">
        <v>1791</v>
      </c>
      <c r="O1918" t="s">
        <v>28</v>
      </c>
      <c r="P1918">
        <v>9</v>
      </c>
      <c r="Q1918">
        <v>0</v>
      </c>
      <c r="R1918">
        <v>15</v>
      </c>
      <c r="S1918" s="2">
        <v>41366</v>
      </c>
      <c r="T1918" s="2">
        <v>41373</v>
      </c>
      <c r="U1918" s="2">
        <v>43554</v>
      </c>
      <c r="V1918" s="2">
        <v>42739</v>
      </c>
    </row>
    <row r="1919" spans="1:22" x14ac:dyDescent="0.2">
      <c r="A1919" t="str">
        <f>"371.91 FOS"</f>
        <v>371.91 FOS</v>
      </c>
      <c r="B1919" t="str">
        <f>"dyslexia empowerment plan: a blueprint f"</f>
        <v>dyslexia empowerment plan: a blueprint f</v>
      </c>
      <c r="C1919">
        <v>332492</v>
      </c>
      <c r="D1919" t="str">
        <f>"Foss, Ben"</f>
        <v>Foss, Ben</v>
      </c>
      <c r="F1919" t="str">
        <f>"xxviii, 304 pages, 25 cm, illustrations"</f>
        <v>xxviii, 304 pages, 25 cm, illustrations</v>
      </c>
      <c r="G1919" s="1">
        <v>16</v>
      </c>
      <c r="H1919">
        <v>2013</v>
      </c>
      <c r="I1919" t="str">
        <f t="shared" si="72"/>
        <v>9: 300 - 399</v>
      </c>
      <c r="K1919" t="str">
        <f>"WB - In"</f>
        <v>WB - In</v>
      </c>
      <c r="L1919" s="1">
        <v>0</v>
      </c>
      <c r="M1919" t="s">
        <v>1792</v>
      </c>
      <c r="O1919" t="s">
        <v>28</v>
      </c>
      <c r="P1919">
        <v>6</v>
      </c>
      <c r="Q1919">
        <v>3</v>
      </c>
      <c r="R1919">
        <v>14</v>
      </c>
      <c r="S1919" s="2">
        <v>42388</v>
      </c>
      <c r="T1919" s="2">
        <v>42391</v>
      </c>
      <c r="U1919" s="2">
        <v>43744</v>
      </c>
      <c r="V1919" s="2">
        <v>43575</v>
      </c>
    </row>
    <row r="1920" spans="1:22" x14ac:dyDescent="0.2">
      <c r="A1920" t="str">
        <f>"371.95 CAR"</f>
        <v>371.95 CAR</v>
      </c>
      <c r="B1920" t="str">
        <f>"Educating your gifted child"</f>
        <v>Educating your gifted child</v>
      </c>
      <c r="C1920">
        <v>106494</v>
      </c>
      <c r="D1920" t="str">
        <f>"Caruana, Vicki"</f>
        <v>Caruana, Vicki</v>
      </c>
      <c r="F1920" t="str">
        <f>"208 p."</f>
        <v>208 p.</v>
      </c>
      <c r="G1920" s="1">
        <v>2</v>
      </c>
      <c r="H1920">
        <v>2002</v>
      </c>
      <c r="I1920" t="str">
        <f t="shared" si="72"/>
        <v>9: 300 - 399</v>
      </c>
      <c r="K1920" t="str">
        <f>"WB - Out"</f>
        <v>WB - Out</v>
      </c>
      <c r="L1920" s="1">
        <v>18</v>
      </c>
      <c r="M1920" t="s">
        <v>1793</v>
      </c>
      <c r="O1920" t="s">
        <v>28</v>
      </c>
      <c r="P1920">
        <v>6</v>
      </c>
      <c r="Q1920">
        <v>4</v>
      </c>
      <c r="R1920">
        <v>56</v>
      </c>
      <c r="S1920" s="2">
        <v>37390</v>
      </c>
      <c r="T1920" s="2">
        <v>41053</v>
      </c>
      <c r="U1920" s="2">
        <v>43827</v>
      </c>
      <c r="V1920" s="2">
        <v>43676</v>
      </c>
    </row>
    <row r="1921" spans="1:22" x14ac:dyDescent="0.2">
      <c r="A1921" t="str">
        <f>"371.95 CRO"</f>
        <v>371.95 CRO</v>
      </c>
      <c r="B1921" t="str">
        <f>"On the social and emotional lives of gif"</f>
        <v>On the social and emotional lives of gif</v>
      </c>
      <c r="C1921">
        <v>346925</v>
      </c>
      <c r="D1921" t="str">
        <f>"Cross, Tracy L."</f>
        <v>Cross, Tracy L.</v>
      </c>
      <c r="F1921" t="str">
        <f>"xxvi, 348 pages, 23 cm"</f>
        <v>xxvi, 348 pages, 23 cm</v>
      </c>
      <c r="G1921" s="1">
        <v>18</v>
      </c>
      <c r="H1921">
        <v>2018</v>
      </c>
      <c r="I1921" t="str">
        <f t="shared" si="72"/>
        <v>9: 300 - 399</v>
      </c>
      <c r="K1921" t="str">
        <f>"WB - Out"</f>
        <v>WB - Out</v>
      </c>
      <c r="L1921" s="1">
        <v>40</v>
      </c>
      <c r="M1921" t="s">
        <v>1794</v>
      </c>
      <c r="O1921" t="s">
        <v>28</v>
      </c>
      <c r="P1921">
        <v>4</v>
      </c>
      <c r="Q1921">
        <v>1</v>
      </c>
      <c r="R1921">
        <v>5</v>
      </c>
      <c r="S1921" s="2">
        <v>43187</v>
      </c>
      <c r="T1921" s="2">
        <v>43203</v>
      </c>
      <c r="U1921" s="2">
        <v>43827</v>
      </c>
      <c r="V1921" s="2">
        <v>43462</v>
      </c>
    </row>
    <row r="1922" spans="1:22" x14ac:dyDescent="0.2">
      <c r="A1922" t="str">
        <f>"371.95 DEL"</f>
        <v>371.95 DEL</v>
      </c>
      <c r="B1922" t="str">
        <f>"When gifted kids don't have all the answ"</f>
        <v>When gifted kids don't have all the answ</v>
      </c>
      <c r="C1922">
        <v>402978</v>
      </c>
      <c r="D1922" t="str">
        <f>"Delisle, James R."</f>
        <v>Delisle, James R.</v>
      </c>
      <c r="F1922" t="str">
        <f>"277 p."</f>
        <v>277 p.</v>
      </c>
      <c r="G1922" s="1">
        <v>18</v>
      </c>
      <c r="H1922">
        <v>2015</v>
      </c>
      <c r="I1922" t="str">
        <f t="shared" si="72"/>
        <v>9: 300 - 399</v>
      </c>
      <c r="K1922" t="str">
        <f>"WB - In"</f>
        <v>WB - In</v>
      </c>
      <c r="L1922" s="1">
        <v>32</v>
      </c>
      <c r="M1922" t="s">
        <v>1795</v>
      </c>
      <c r="O1922" t="s">
        <v>28</v>
      </c>
      <c r="P1922">
        <v>1</v>
      </c>
      <c r="Q1922">
        <v>0</v>
      </c>
      <c r="R1922">
        <v>1</v>
      </c>
      <c r="S1922" s="2">
        <v>43328</v>
      </c>
      <c r="T1922" s="2">
        <v>43335</v>
      </c>
      <c r="U1922" s="2">
        <v>43705</v>
      </c>
    </row>
    <row r="1923" spans="1:22" x14ac:dyDescent="0.2">
      <c r="A1923" t="str">
        <f>"371.95 FON"</f>
        <v>371.95 FON</v>
      </c>
      <c r="B1923" t="str">
        <f>"Emotional intensity in gifted students: "</f>
        <v xml:space="preserve">Emotional intensity in gifted students: </v>
      </c>
      <c r="C1923">
        <v>337889</v>
      </c>
      <c r="D1923" t="str">
        <f>"Fonseca, Christine,"</f>
        <v>Fonseca, Christine,</v>
      </c>
      <c r="F1923" t="str">
        <f>"xiii, 217 pages, 23 cm, illustrations"</f>
        <v>xiii, 217 pages, 23 cm, illustrations</v>
      </c>
      <c r="G1923" s="1">
        <v>16</v>
      </c>
      <c r="H1923">
        <v>2016</v>
      </c>
      <c r="I1923" t="str">
        <f t="shared" si="72"/>
        <v>9: 300 - 399</v>
      </c>
      <c r="K1923" t="str">
        <f>"LL - In"</f>
        <v>LL - In</v>
      </c>
      <c r="L1923" s="1">
        <v>25</v>
      </c>
      <c r="M1923" t="s">
        <v>1796</v>
      </c>
      <c r="O1923" t="s">
        <v>28</v>
      </c>
      <c r="P1923">
        <v>7</v>
      </c>
      <c r="Q1923">
        <v>2</v>
      </c>
      <c r="R1923">
        <v>13</v>
      </c>
      <c r="S1923" s="2">
        <v>42661</v>
      </c>
      <c r="T1923" s="2">
        <v>42663</v>
      </c>
      <c r="U1923" s="2">
        <v>43749</v>
      </c>
      <c r="V1923" s="2">
        <v>42927</v>
      </c>
    </row>
    <row r="1924" spans="1:22" x14ac:dyDescent="0.2">
      <c r="A1924" t="str">
        <f>"371.95 GIF"</f>
        <v>371.95 GIF</v>
      </c>
      <c r="B1924" t="str">
        <f>"Gifted and talented prep: OLSAT practice"</f>
        <v>Gifted and talented prep: OLSAT practice</v>
      </c>
      <c r="C1924">
        <v>291408</v>
      </c>
      <c r="F1924" t="str">
        <f>"113 p."</f>
        <v>113 p.</v>
      </c>
      <c r="G1924" s="1">
        <v>16</v>
      </c>
      <c r="H1924">
        <v>2014</v>
      </c>
      <c r="I1924" t="str">
        <f t="shared" si="72"/>
        <v>9: 300 - 399</v>
      </c>
      <c r="K1924" t="str">
        <f>"WB - In"</f>
        <v>WB - In</v>
      </c>
      <c r="L1924" s="1">
        <v>35</v>
      </c>
      <c r="M1924" t="s">
        <v>1797</v>
      </c>
      <c r="O1924" t="s">
        <v>28</v>
      </c>
      <c r="P1924">
        <v>10</v>
      </c>
      <c r="Q1924">
        <v>0</v>
      </c>
      <c r="R1924">
        <v>10</v>
      </c>
      <c r="S1924" s="2">
        <v>42667</v>
      </c>
      <c r="T1924" s="2">
        <v>42682</v>
      </c>
      <c r="U1924" s="2">
        <v>43800</v>
      </c>
    </row>
    <row r="1925" spans="1:22" x14ac:dyDescent="0.2">
      <c r="A1925" t="str">
        <f>"371.95 GIF"</f>
        <v>371.95 GIF</v>
      </c>
      <c r="B1925" t="str">
        <f>"Gifted and talented NNAT2 test prep for "</f>
        <v xml:space="preserve">Gifted and talented NNAT2 test prep for </v>
      </c>
      <c r="C1925">
        <v>291406</v>
      </c>
      <c r="D1925" t="str">
        <f>"Gateway Gifted Resources"</f>
        <v>Gateway Gifted Resources</v>
      </c>
      <c r="F1925" t="str">
        <f>"99 p."</f>
        <v>99 p.</v>
      </c>
      <c r="G1925" s="1">
        <v>16</v>
      </c>
      <c r="H1925">
        <v>2016</v>
      </c>
      <c r="I1925" t="str">
        <f t="shared" si="72"/>
        <v>9: 300 - 399</v>
      </c>
      <c r="K1925" t="str">
        <f>"WB - In"</f>
        <v>WB - In</v>
      </c>
      <c r="L1925" s="1">
        <v>20</v>
      </c>
      <c r="M1925" t="s">
        <v>1798</v>
      </c>
      <c r="O1925" t="s">
        <v>28</v>
      </c>
      <c r="P1925">
        <v>9</v>
      </c>
      <c r="Q1925">
        <v>1</v>
      </c>
      <c r="R1925">
        <v>11</v>
      </c>
      <c r="S1925" s="2">
        <v>42667</v>
      </c>
      <c r="T1925" s="2">
        <v>42671</v>
      </c>
      <c r="U1925" s="2">
        <v>43803</v>
      </c>
      <c r="V1925" s="2">
        <v>43126</v>
      </c>
    </row>
    <row r="1926" spans="1:22" x14ac:dyDescent="0.2">
      <c r="A1926" t="str">
        <f>"371.95 HAL"</f>
        <v>371.95 HAL</v>
      </c>
      <c r="B1926" t="str">
        <f>"Some of my best friends are books: guidi"</f>
        <v>Some of my best friends are books: guidi</v>
      </c>
      <c r="C1926">
        <v>345489</v>
      </c>
      <c r="D1926" t="str">
        <f>"Halsted, Judith Wynn,"</f>
        <v>Halsted, Judith Wynn,</v>
      </c>
      <c r="F1926" t="str">
        <f>"xv, 574 p., 23 cm"</f>
        <v>xv, 574 p., 23 cm</v>
      </c>
      <c r="G1926" s="1">
        <v>18</v>
      </c>
      <c r="H1926">
        <v>2009</v>
      </c>
      <c r="I1926" t="str">
        <f t="shared" si="72"/>
        <v>9: 300 - 399</v>
      </c>
      <c r="K1926" t="str">
        <f>"WB - In"</f>
        <v>WB - In</v>
      </c>
      <c r="L1926" s="1">
        <v>35</v>
      </c>
      <c r="M1926" t="s">
        <v>1799</v>
      </c>
      <c r="O1926" t="s">
        <v>28</v>
      </c>
      <c r="P1926">
        <v>3</v>
      </c>
      <c r="Q1926">
        <v>0</v>
      </c>
      <c r="R1926">
        <v>3</v>
      </c>
      <c r="S1926" s="2">
        <v>43108</v>
      </c>
      <c r="T1926" s="2">
        <v>43143</v>
      </c>
      <c r="U1926" s="2">
        <v>43689</v>
      </c>
    </row>
    <row r="1927" spans="1:22" x14ac:dyDescent="0.2">
      <c r="A1927" t="str">
        <f>"371.95 HUL"</f>
        <v>371.95 HUL</v>
      </c>
      <c r="B1927" t="str">
        <f>"Off the charts: the hidden lives and les"</f>
        <v>Off the charts: the hidden lives and les</v>
      </c>
      <c r="C1927">
        <v>345769</v>
      </c>
      <c r="D1927" t="str">
        <f>"Hulbert, Ann"</f>
        <v>Hulbert, Ann</v>
      </c>
      <c r="F1927" t="str">
        <f>"xviii, 372 pages, 24 cm, illustrations"</f>
        <v>xviii, 372 pages, 24 cm, illustrations</v>
      </c>
      <c r="G1927" s="1">
        <v>18</v>
      </c>
      <c r="H1927">
        <v>2018</v>
      </c>
      <c r="I1927" t="str">
        <f t="shared" si="72"/>
        <v>9: 300 - 399</v>
      </c>
      <c r="K1927" t="str">
        <f>"WB - In"</f>
        <v>WB - In</v>
      </c>
      <c r="L1927" s="1">
        <v>33</v>
      </c>
      <c r="M1927" t="s">
        <v>1800</v>
      </c>
      <c r="O1927" t="s">
        <v>28</v>
      </c>
      <c r="P1927">
        <v>6</v>
      </c>
      <c r="Q1927">
        <v>0</v>
      </c>
      <c r="R1927">
        <v>6</v>
      </c>
      <c r="S1927" s="2">
        <v>43131</v>
      </c>
      <c r="T1927" s="2">
        <v>43306</v>
      </c>
      <c r="U1927" s="2">
        <v>43269</v>
      </c>
    </row>
    <row r="1928" spans="1:22" x14ac:dyDescent="0.2">
      <c r="A1928" t="str">
        <f>"371.95 KLE"</f>
        <v>371.95 KLE</v>
      </c>
      <c r="B1928" t="str">
        <f>"challenges of gifted children: empowerin"</f>
        <v>challenges of gifted children: empowerin</v>
      </c>
      <c r="C1928">
        <v>337928</v>
      </c>
      <c r="D1928" t="str">
        <f>"Klein, Barbara Schave"</f>
        <v>Klein, Barbara Schave</v>
      </c>
      <c r="F1928" t="str">
        <f>"xvi, 156 pages, 25 cm"</f>
        <v>xvi, 156 pages, 25 cm</v>
      </c>
      <c r="G1928" s="1">
        <v>16</v>
      </c>
      <c r="H1928">
        <v>2015</v>
      </c>
      <c r="I1928" t="str">
        <f t="shared" ref="I1928:I1991" si="76">"9: 300 - 399"</f>
        <v>9: 300 - 399</v>
      </c>
      <c r="K1928" t="str">
        <f>"WB - Out"</f>
        <v>WB - Out</v>
      </c>
      <c r="L1928" s="1">
        <v>49</v>
      </c>
      <c r="M1928" t="s">
        <v>1801</v>
      </c>
      <c r="O1928" t="s">
        <v>28</v>
      </c>
      <c r="P1928">
        <v>8</v>
      </c>
      <c r="Q1928">
        <v>3</v>
      </c>
      <c r="R1928">
        <v>12</v>
      </c>
      <c r="S1928" s="2">
        <v>42661</v>
      </c>
      <c r="T1928" s="2">
        <v>42670</v>
      </c>
      <c r="U1928" s="2">
        <v>43827</v>
      </c>
      <c r="V1928" s="2">
        <v>43040</v>
      </c>
    </row>
    <row r="1929" spans="1:22" x14ac:dyDescent="0.2">
      <c r="A1929" t="str">
        <f>"371.95 KLE"</f>
        <v>371.95 KLE</v>
      </c>
      <c r="B1929" t="str">
        <f>"Raising gifted kids: everything you need"</f>
        <v>Raising gifted kids: everything you need</v>
      </c>
      <c r="C1929">
        <v>124060</v>
      </c>
      <c r="D1929" t="str">
        <f>"Klein, Barbara Schave"</f>
        <v>Klein, Barbara Schave</v>
      </c>
      <c r="F1929" t="str">
        <f>"239 p., 23 cm."</f>
        <v>239 p., 23 cm.</v>
      </c>
      <c r="G1929" s="1">
        <v>6</v>
      </c>
      <c r="H1929">
        <v>2007</v>
      </c>
      <c r="I1929" t="str">
        <f t="shared" si="76"/>
        <v>9: 300 - 399</v>
      </c>
      <c r="K1929" t="str">
        <f>"WB - In"</f>
        <v>WB - In</v>
      </c>
      <c r="L1929" s="1">
        <v>22</v>
      </c>
      <c r="M1929" t="s">
        <v>1802</v>
      </c>
      <c r="O1929" t="s">
        <v>28</v>
      </c>
      <c r="P1929">
        <v>5</v>
      </c>
      <c r="Q1929">
        <v>2</v>
      </c>
      <c r="R1929">
        <v>35</v>
      </c>
      <c r="S1929" s="2">
        <v>39014</v>
      </c>
      <c r="T1929" s="2">
        <v>41053</v>
      </c>
      <c r="U1929" s="2">
        <v>43705</v>
      </c>
      <c r="V1929" s="2">
        <v>42927</v>
      </c>
    </row>
    <row r="1930" spans="1:22" x14ac:dyDescent="0.2">
      <c r="A1930" t="str">
        <f>"371.95 SOU"</f>
        <v>371.95 SOU</v>
      </c>
      <c r="B1930" t="str">
        <f>"How the gifted brain learns"</f>
        <v>How the gifted brain learns</v>
      </c>
      <c r="C1930">
        <v>354078</v>
      </c>
      <c r="D1930" t="str">
        <f>"Sousa, David A."</f>
        <v>Sousa, David A.</v>
      </c>
      <c r="F1930" t="str">
        <f>"xiii, 275 p., 28 cm, col. ill."</f>
        <v>xiii, 275 p., 28 cm, col. ill.</v>
      </c>
      <c r="G1930" s="1">
        <v>19</v>
      </c>
      <c r="H1930">
        <v>2009</v>
      </c>
      <c r="I1930" t="str">
        <f t="shared" si="76"/>
        <v>9: 300 - 399</v>
      </c>
      <c r="K1930" t="str">
        <f>"WB - In"</f>
        <v>WB - In</v>
      </c>
      <c r="L1930" s="1">
        <v>47</v>
      </c>
      <c r="M1930" t="s">
        <v>1803</v>
      </c>
      <c r="O1930" t="s">
        <v>28</v>
      </c>
      <c r="P1930">
        <v>1</v>
      </c>
      <c r="Q1930">
        <v>0</v>
      </c>
      <c r="R1930">
        <v>1</v>
      </c>
      <c r="S1930" s="2">
        <v>43564</v>
      </c>
      <c r="T1930" s="2">
        <v>43574</v>
      </c>
      <c r="U1930" s="2">
        <v>43574</v>
      </c>
    </row>
    <row r="1931" spans="1:22" x14ac:dyDescent="0.2">
      <c r="A1931" t="str">
        <f>"371.95 TRA"</f>
        <v>371.95 TRA</v>
      </c>
      <c r="B1931" t="str">
        <f>"Twice-exceptional gifted children: under"</f>
        <v>Twice-exceptional gifted children: under</v>
      </c>
      <c r="C1931">
        <v>357174</v>
      </c>
      <c r="D1931" t="str">
        <f>"Trail, Beverly A.,"</f>
        <v>Trail, Beverly A.,</v>
      </c>
      <c r="F1931" t="str">
        <f>"xii, 194 p., 26 cm, ill."</f>
        <v>xii, 194 p., 26 cm, ill.</v>
      </c>
      <c r="G1931" s="1">
        <v>19</v>
      </c>
      <c r="H1931">
        <v>2011</v>
      </c>
      <c r="I1931" t="str">
        <f t="shared" si="76"/>
        <v>9: 300 - 399</v>
      </c>
      <c r="K1931" t="str">
        <f>"WB - In"</f>
        <v>WB - In</v>
      </c>
      <c r="L1931" s="1">
        <v>26.95</v>
      </c>
      <c r="M1931" t="s">
        <v>1804</v>
      </c>
      <c r="O1931" t="s">
        <v>28</v>
      </c>
      <c r="P1931">
        <v>2</v>
      </c>
      <c r="Q1931">
        <v>1</v>
      </c>
      <c r="R1931">
        <v>3</v>
      </c>
      <c r="S1931" s="2">
        <v>43704</v>
      </c>
      <c r="T1931" s="2">
        <v>43734</v>
      </c>
      <c r="U1931" s="2">
        <v>43764</v>
      </c>
      <c r="V1931" s="2">
        <v>43740</v>
      </c>
    </row>
    <row r="1932" spans="1:22" x14ac:dyDescent="0.2">
      <c r="A1932" t="str">
        <f>"371.95 WAL"</f>
        <v>371.95 WAL</v>
      </c>
      <c r="B1932" t="str">
        <f>"survival guide for parents of gifted kid"</f>
        <v>survival guide for parents of gifted kid</v>
      </c>
      <c r="C1932">
        <v>162448</v>
      </c>
      <c r="D1932" t="str">
        <f>"Walker, Sally Yahnke"</f>
        <v>Walker, Sally Yahnke</v>
      </c>
      <c r="F1932" t="str">
        <f>"167 p."</f>
        <v>167 p.</v>
      </c>
      <c r="G1932" s="1">
        <v>2</v>
      </c>
      <c r="H1932">
        <v>2002</v>
      </c>
      <c r="I1932" t="str">
        <f t="shared" si="76"/>
        <v>9: 300 - 399</v>
      </c>
      <c r="K1932" t="str">
        <f>"LL - In"</f>
        <v>LL - In</v>
      </c>
      <c r="L1932" s="1">
        <v>20</v>
      </c>
      <c r="M1932" t="s">
        <v>1805</v>
      </c>
      <c r="O1932" t="s">
        <v>28</v>
      </c>
      <c r="P1932">
        <v>6</v>
      </c>
      <c r="Q1932">
        <v>4</v>
      </c>
      <c r="R1932">
        <v>73</v>
      </c>
      <c r="S1932" s="2">
        <v>37426</v>
      </c>
      <c r="T1932" s="2">
        <v>41053</v>
      </c>
      <c r="U1932" s="2">
        <v>43758</v>
      </c>
      <c r="V1932" s="2">
        <v>43676</v>
      </c>
    </row>
    <row r="1933" spans="1:22" x14ac:dyDescent="0.2">
      <c r="A1933" t="str">
        <f>"372 NEI"</f>
        <v>372 NEI</v>
      </c>
      <c r="B1933" t="str">
        <f>"Summerhill School: a new view of childho"</f>
        <v>Summerhill School: a new view of childho</v>
      </c>
      <c r="C1933">
        <v>340213</v>
      </c>
      <c r="D1933" t="str">
        <f>"Neill, Alexander Sutherland,"</f>
        <v>Neill, Alexander Sutherland,</v>
      </c>
      <c r="F1933" t="str">
        <f>"xxvii, 269 p., 21 cm"</f>
        <v>xxvii, 269 p., 21 cm</v>
      </c>
      <c r="G1933" s="1">
        <v>17</v>
      </c>
      <c r="H1933">
        <v>1996</v>
      </c>
      <c r="I1933" t="str">
        <f t="shared" si="76"/>
        <v>9: 300 - 399</v>
      </c>
      <c r="K1933" t="str">
        <f>"WB - In"</f>
        <v>WB - In</v>
      </c>
      <c r="L1933" s="1">
        <v>23</v>
      </c>
      <c r="M1933" t="s">
        <v>1806</v>
      </c>
      <c r="O1933" t="s">
        <v>28</v>
      </c>
      <c r="P1933">
        <v>4</v>
      </c>
      <c r="Q1933">
        <v>1</v>
      </c>
      <c r="R1933">
        <v>5</v>
      </c>
      <c r="S1933" s="2">
        <v>42807</v>
      </c>
      <c r="T1933" s="2">
        <v>42824</v>
      </c>
      <c r="U1933" s="2">
        <v>43781</v>
      </c>
      <c r="V1933" s="2">
        <v>42971</v>
      </c>
    </row>
    <row r="1934" spans="1:22" x14ac:dyDescent="0.2">
      <c r="A1934" t="str">
        <f>"372 TOU"</f>
        <v>372 TOU</v>
      </c>
      <c r="B1934" t="str">
        <f>"How children succeed: grit, curiosity, a"</f>
        <v>How children succeed: grit, curiosity, a</v>
      </c>
      <c r="C1934">
        <v>309427</v>
      </c>
      <c r="D1934" t="str">
        <f>"Tough, Paul."</f>
        <v>Tough, Paul.</v>
      </c>
      <c r="F1934" t="str">
        <f>"xxiv, 231 p., 24 cm."</f>
        <v>xxiv, 231 p., 24 cm.</v>
      </c>
      <c r="G1934" s="1">
        <v>12</v>
      </c>
      <c r="H1934">
        <v>2012</v>
      </c>
      <c r="I1934" t="str">
        <f t="shared" si="76"/>
        <v>9: 300 - 399</v>
      </c>
      <c r="K1934" t="str">
        <f>"WB - Out"</f>
        <v>WB - Out</v>
      </c>
      <c r="L1934" s="1">
        <v>32</v>
      </c>
      <c r="M1934" t="s">
        <v>1807</v>
      </c>
      <c r="O1934" t="s">
        <v>28</v>
      </c>
      <c r="P1934">
        <v>5</v>
      </c>
      <c r="Q1934">
        <v>0</v>
      </c>
      <c r="R1934">
        <v>41</v>
      </c>
      <c r="S1934" s="2">
        <v>41162</v>
      </c>
      <c r="T1934" s="2">
        <v>41492</v>
      </c>
      <c r="U1934" s="2">
        <v>43840</v>
      </c>
    </row>
    <row r="1935" spans="1:22" x14ac:dyDescent="0.2">
      <c r="A1935" t="str">
        <f>"372 TOU"</f>
        <v>372 TOU</v>
      </c>
      <c r="B1935" t="str">
        <f>"How children succeed: grit, curiosity, a"</f>
        <v>How children succeed: grit, curiosity, a</v>
      </c>
      <c r="C1935">
        <v>263264</v>
      </c>
      <c r="D1935" t="str">
        <f>"Tough, Paul."</f>
        <v>Tough, Paul.</v>
      </c>
      <c r="F1935" t="str">
        <f>"xxiv, 231 p., 24 cm."</f>
        <v>xxiv, 231 p., 24 cm.</v>
      </c>
      <c r="G1935">
        <v>12</v>
      </c>
      <c r="H1935">
        <v>2012</v>
      </c>
      <c r="I1935" t="str">
        <f t="shared" si="76"/>
        <v>9: 300 - 399</v>
      </c>
      <c r="K1935" t="str">
        <f>"LL - In"</f>
        <v>LL - In</v>
      </c>
      <c r="L1935" s="1">
        <v>32</v>
      </c>
      <c r="M1935" t="s">
        <v>1807</v>
      </c>
      <c r="O1935" t="s">
        <v>28</v>
      </c>
      <c r="P1935">
        <v>5</v>
      </c>
      <c r="Q1935">
        <v>1</v>
      </c>
      <c r="R1935">
        <v>38</v>
      </c>
      <c r="S1935" s="2">
        <v>41290</v>
      </c>
      <c r="T1935" s="2">
        <v>41631</v>
      </c>
      <c r="U1935" s="2">
        <v>43545</v>
      </c>
      <c r="V1935" s="2">
        <v>43712</v>
      </c>
    </row>
    <row r="1936" spans="1:22" x14ac:dyDescent="0.2">
      <c r="A1936" t="str">
        <f>"372.1 HAI"</f>
        <v>372.1 HAI</v>
      </c>
      <c r="B1936" t="str">
        <f>"Teaching Montessori in the home: the pre"</f>
        <v>Teaching Montessori in the home: the pre</v>
      </c>
      <c r="C1936">
        <v>136897</v>
      </c>
      <c r="D1936" t="str">
        <f>"Hainstock, Elizabeth G."</f>
        <v>Hainstock, Elizabeth G.</v>
      </c>
      <c r="F1936" t="str">
        <f>"110 p., 24 cm., illus."</f>
        <v>110 p., 24 cm., illus.</v>
      </c>
      <c r="G1936" s="1">
        <v>9</v>
      </c>
      <c r="H1936">
        <v>1997</v>
      </c>
      <c r="I1936" t="str">
        <f t="shared" si="76"/>
        <v>9: 300 - 399</v>
      </c>
      <c r="K1936" t="str">
        <f>"LL - Out"</f>
        <v>LL - Out</v>
      </c>
      <c r="L1936" s="1">
        <v>17</v>
      </c>
      <c r="M1936" t="s">
        <v>1808</v>
      </c>
      <c r="O1936" t="s">
        <v>28</v>
      </c>
      <c r="P1936">
        <v>5</v>
      </c>
      <c r="Q1936">
        <v>0</v>
      </c>
      <c r="R1936">
        <v>27</v>
      </c>
      <c r="S1936" s="2">
        <v>39954</v>
      </c>
      <c r="T1936" s="2">
        <v>41053</v>
      </c>
      <c r="U1936" s="2">
        <v>43829</v>
      </c>
      <c r="V1936" s="2">
        <v>42274</v>
      </c>
    </row>
    <row r="1937" spans="1:22" x14ac:dyDescent="0.2">
      <c r="A1937" t="str">
        <f>"372.1 HAI"</f>
        <v>372.1 HAI</v>
      </c>
      <c r="B1937" t="str">
        <f>"Teaching Montessori in the home: the pre"</f>
        <v>Teaching Montessori in the home: the pre</v>
      </c>
      <c r="C1937">
        <v>357123</v>
      </c>
      <c r="D1937" t="str">
        <f>"Hainstock, Elizabeth G."</f>
        <v>Hainstock, Elizabeth G.</v>
      </c>
      <c r="F1937" t="str">
        <f>"110 p., 24 cm., illus."</f>
        <v>110 p., 24 cm., illus.</v>
      </c>
      <c r="G1937" s="1">
        <v>19</v>
      </c>
      <c r="H1937">
        <v>1997</v>
      </c>
      <c r="I1937" t="str">
        <f t="shared" si="76"/>
        <v>9: 300 - 399</v>
      </c>
      <c r="K1937" t="str">
        <f>"LL - In"</f>
        <v>LL - In</v>
      </c>
      <c r="L1937" s="1">
        <v>20</v>
      </c>
      <c r="M1937" t="s">
        <v>1808</v>
      </c>
      <c r="O1937" t="s">
        <v>28</v>
      </c>
      <c r="P1937">
        <v>0</v>
      </c>
      <c r="Q1937">
        <v>1</v>
      </c>
      <c r="R1937">
        <v>1</v>
      </c>
      <c r="S1937" s="2">
        <v>43704</v>
      </c>
      <c r="T1937" s="2">
        <v>43734</v>
      </c>
      <c r="V1937" s="2">
        <v>43740</v>
      </c>
    </row>
    <row r="1938" spans="1:22" x14ac:dyDescent="0.2">
      <c r="A1938" t="str">
        <f>"372.126 GET"</f>
        <v>372.126 GET</v>
      </c>
      <c r="B1938" t="str">
        <f>"Get ready! for standardized tests: grade"</f>
        <v>Get ready! for standardized tests: grade</v>
      </c>
      <c r="C1938">
        <v>319094</v>
      </c>
      <c r="D1938" t="str">
        <f>"Mersky, Karen"</f>
        <v>Mersky, Karen</v>
      </c>
      <c r="E1938" t="str">
        <f>"Test Preparation series"</f>
        <v>Test Preparation series</v>
      </c>
      <c r="F1938" t="str">
        <f>"121 p., 28 cm., ill."</f>
        <v>121 p., 28 cm., ill.</v>
      </c>
      <c r="G1938" s="1">
        <v>14</v>
      </c>
      <c r="H1938">
        <v>2000</v>
      </c>
      <c r="I1938" t="str">
        <f t="shared" si="76"/>
        <v>9: 300 - 399</v>
      </c>
      <c r="K1938" t="str">
        <f>"WB - In"</f>
        <v>WB - In</v>
      </c>
      <c r="L1938" s="1">
        <v>25</v>
      </c>
      <c r="M1938" t="s">
        <v>1809</v>
      </c>
      <c r="O1938" t="s">
        <v>28</v>
      </c>
      <c r="P1938">
        <v>0</v>
      </c>
      <c r="Q1938">
        <v>1</v>
      </c>
      <c r="R1938">
        <v>1</v>
      </c>
      <c r="S1938" s="2">
        <v>41652</v>
      </c>
      <c r="T1938" s="2">
        <v>41829</v>
      </c>
      <c r="V1938" s="2">
        <v>43676</v>
      </c>
    </row>
    <row r="1939" spans="1:22" x14ac:dyDescent="0.2">
      <c r="A1939" t="str">
        <f>"372.19 WHA"</f>
        <v>372.19 WHA</v>
      </c>
      <c r="B1939" t="str">
        <f>"What your first grader needs to know: fu"</f>
        <v>What your first grader needs to know: fu</v>
      </c>
      <c r="C1939">
        <v>325864</v>
      </c>
      <c r="E1939" t="str">
        <f>"Core Knowledge series (1)"</f>
        <v>Core Knowledge series (1)</v>
      </c>
      <c r="F1939" t="str">
        <f>"xxxv, 472 pages, 24 cm, illustrations (chiefly color), color maps"</f>
        <v>xxxv, 472 pages, 24 cm, illustrations (chiefly color), color maps</v>
      </c>
      <c r="G1939" s="1">
        <v>15</v>
      </c>
      <c r="H1939">
        <v>2014</v>
      </c>
      <c r="I1939" t="str">
        <f t="shared" si="76"/>
        <v>9: 300 - 399</v>
      </c>
      <c r="K1939" t="str">
        <f>"LL - In"</f>
        <v>LL - In</v>
      </c>
      <c r="L1939" s="1">
        <v>25</v>
      </c>
      <c r="M1939" t="s">
        <v>1810</v>
      </c>
      <c r="O1939" t="s">
        <v>28</v>
      </c>
      <c r="P1939">
        <v>5</v>
      </c>
      <c r="Q1939">
        <v>1</v>
      </c>
      <c r="R1939">
        <v>10</v>
      </c>
      <c r="S1939" s="2">
        <v>42040</v>
      </c>
      <c r="T1939" s="2">
        <v>42059</v>
      </c>
      <c r="U1939" s="2">
        <v>43621</v>
      </c>
      <c r="V1939" s="2">
        <v>43712</v>
      </c>
    </row>
    <row r="1940" spans="1:22" x14ac:dyDescent="0.2">
      <c r="A1940" t="str">
        <f>"372.19 WHA"</f>
        <v>372.19 WHA</v>
      </c>
      <c r="B1940" t="str">
        <f>"What your second grader needs to know: f"</f>
        <v>What your second grader needs to know: f</v>
      </c>
      <c r="C1940">
        <v>325865</v>
      </c>
      <c r="D1940" t="str">
        <f>"Hirsch, E. D."</f>
        <v>Hirsch, E. D.</v>
      </c>
      <c r="E1940" t="str">
        <f>"Core Knowledge series (2)"</f>
        <v>Core Knowledge series (2)</v>
      </c>
      <c r="F1940" t="str">
        <f>"xxiii, 491 pages, 24 cm, illustrations (some color), maps (some color)"</f>
        <v>xxiii, 491 pages, 24 cm, illustrations (some color), maps (some color)</v>
      </c>
      <c r="G1940" s="1">
        <v>15</v>
      </c>
      <c r="H1940">
        <v>2014</v>
      </c>
      <c r="I1940" t="str">
        <f t="shared" si="76"/>
        <v>9: 300 - 399</v>
      </c>
      <c r="K1940" t="str">
        <f>"WB - In"</f>
        <v>WB - In</v>
      </c>
      <c r="L1940" s="1">
        <v>25</v>
      </c>
      <c r="M1940" t="s">
        <v>1811</v>
      </c>
      <c r="O1940" t="s">
        <v>28</v>
      </c>
      <c r="P1940">
        <v>4</v>
      </c>
      <c r="Q1940">
        <v>0</v>
      </c>
      <c r="R1940">
        <v>7</v>
      </c>
      <c r="S1940" s="2">
        <v>42040</v>
      </c>
      <c r="T1940" s="2">
        <v>42055</v>
      </c>
      <c r="U1940" s="2">
        <v>43340</v>
      </c>
      <c r="V1940" s="2">
        <v>42121</v>
      </c>
    </row>
    <row r="1941" spans="1:22" x14ac:dyDescent="0.2">
      <c r="A1941" t="str">
        <f>"372.2 WHA"</f>
        <v>372.2 WHA</v>
      </c>
      <c r="B1941" t="str">
        <f>"What your kindergartner needs to know: p"</f>
        <v>What your kindergartner needs to know: p</v>
      </c>
      <c r="C1941">
        <v>315718</v>
      </c>
      <c r="E1941" t="str">
        <f>"Core Knowledge series"</f>
        <v>Core Knowledge series</v>
      </c>
      <c r="F1941" t="str">
        <f>"403 p., 24 cm, illustrations (chiefly color), color maps"</f>
        <v>403 p., 24 cm, illustrations (chiefly color), color maps</v>
      </c>
      <c r="G1941" s="1">
        <v>13</v>
      </c>
      <c r="H1941">
        <v>2013</v>
      </c>
      <c r="I1941" t="str">
        <f t="shared" si="76"/>
        <v>9: 300 - 399</v>
      </c>
      <c r="K1941" t="str">
        <f>"LL - In"</f>
        <v>LL - In</v>
      </c>
      <c r="L1941" s="1">
        <v>25</v>
      </c>
      <c r="M1941" t="s">
        <v>1812</v>
      </c>
      <c r="O1941" t="s">
        <v>28</v>
      </c>
      <c r="P1941">
        <v>3</v>
      </c>
      <c r="Q1941">
        <v>0</v>
      </c>
      <c r="R1941">
        <v>9</v>
      </c>
      <c r="S1941" s="2">
        <v>41474</v>
      </c>
      <c r="T1941" s="2">
        <v>41485</v>
      </c>
      <c r="U1941" s="2">
        <v>43477</v>
      </c>
    </row>
    <row r="1942" spans="1:22" x14ac:dyDescent="0.2">
      <c r="A1942" t="str">
        <f>"372.2 WHA"</f>
        <v>372.2 WHA</v>
      </c>
      <c r="B1942" t="str">
        <f>"What your kindergartner needs to know: p"</f>
        <v>What your kindergartner needs to know: p</v>
      </c>
      <c r="C1942">
        <v>315719</v>
      </c>
      <c r="E1942" t="str">
        <f>"Core Knowledge series"</f>
        <v>Core Knowledge series</v>
      </c>
      <c r="F1942" t="str">
        <f>"403 p., 24 cm, illustrations (chiefly color), color maps"</f>
        <v>403 p., 24 cm, illustrations (chiefly color), color maps</v>
      </c>
      <c r="G1942" s="1">
        <v>13</v>
      </c>
      <c r="H1942">
        <v>2013</v>
      </c>
      <c r="I1942" t="str">
        <f t="shared" si="76"/>
        <v>9: 300 - 399</v>
      </c>
      <c r="K1942" t="str">
        <f>"WB - In"</f>
        <v>WB - In</v>
      </c>
      <c r="L1942" s="1">
        <v>25</v>
      </c>
      <c r="M1942" t="s">
        <v>1812</v>
      </c>
      <c r="O1942" t="s">
        <v>28</v>
      </c>
      <c r="P1942">
        <v>4</v>
      </c>
      <c r="Q1942">
        <v>1</v>
      </c>
      <c r="R1942">
        <v>14</v>
      </c>
      <c r="S1942" s="2">
        <v>41474</v>
      </c>
      <c r="T1942" s="2">
        <v>41492</v>
      </c>
      <c r="U1942" s="2">
        <v>43621</v>
      </c>
      <c r="V1942" s="2">
        <v>43477</v>
      </c>
    </row>
    <row r="1943" spans="1:22" x14ac:dyDescent="0.2">
      <c r="A1943" t="str">
        <f>"372.21 BER"</f>
        <v>372.21 BER</v>
      </c>
      <c r="B1943" t="str">
        <f>"Coding as a playground: programming and "</f>
        <v xml:space="preserve">Coding as a playground: programming and </v>
      </c>
      <c r="C1943">
        <v>354806</v>
      </c>
      <c r="D1943" t="str">
        <f>"Bers, Marina Umaschi,"</f>
        <v>Bers, Marina Umaschi,</v>
      </c>
      <c r="F1943" t="str">
        <f>"xi, 184 pages, 24 cm"</f>
        <v>xi, 184 pages, 24 cm</v>
      </c>
      <c r="G1943" s="1">
        <v>19</v>
      </c>
      <c r="H1943">
        <v>2017</v>
      </c>
      <c r="I1943" t="str">
        <f t="shared" si="76"/>
        <v>9: 300 - 399</v>
      </c>
      <c r="K1943" t="str">
        <f>"LL - In"</f>
        <v>LL - In</v>
      </c>
      <c r="L1943" s="1">
        <v>40</v>
      </c>
      <c r="M1943" t="s">
        <v>1813</v>
      </c>
      <c r="O1943" t="s">
        <v>28</v>
      </c>
      <c r="P1943">
        <v>3</v>
      </c>
      <c r="Q1943">
        <v>1</v>
      </c>
      <c r="R1943">
        <v>4</v>
      </c>
      <c r="S1943" s="2">
        <v>43595</v>
      </c>
      <c r="T1943" s="2">
        <v>43640</v>
      </c>
      <c r="U1943" s="2">
        <v>43696</v>
      </c>
      <c r="V1943" s="2">
        <v>43740</v>
      </c>
    </row>
    <row r="1944" spans="1:22" x14ac:dyDescent="0.2">
      <c r="A1944" t="str">
        <f>"372.21 BOU"</f>
        <v>372.21 BOU</v>
      </c>
      <c r="B1944" t="str">
        <f>"most important year: pre-kindergarten an"</f>
        <v>most important year: pre-kindergarten an</v>
      </c>
      <c r="C1944">
        <v>343659</v>
      </c>
      <c r="D1944" t="str">
        <f>"Bouffard, Suzanne M."</f>
        <v>Bouffard, Suzanne M.</v>
      </c>
      <c r="F1944" t="str">
        <f>"262 pages, 24 cm"</f>
        <v>262 pages, 24 cm</v>
      </c>
      <c r="G1944" s="1">
        <v>17</v>
      </c>
      <c r="H1944">
        <v>2017</v>
      </c>
      <c r="I1944" t="str">
        <f t="shared" si="76"/>
        <v>9: 300 - 399</v>
      </c>
      <c r="K1944" t="str">
        <f>"WB - In"</f>
        <v>WB - In</v>
      </c>
      <c r="L1944" s="1">
        <v>31</v>
      </c>
      <c r="M1944" t="s">
        <v>1814</v>
      </c>
      <c r="O1944" t="s">
        <v>28</v>
      </c>
      <c r="P1944">
        <v>4</v>
      </c>
      <c r="Q1944">
        <v>0</v>
      </c>
      <c r="R1944">
        <v>4</v>
      </c>
      <c r="S1944" s="2">
        <v>43004</v>
      </c>
      <c r="T1944" s="2">
        <v>43262</v>
      </c>
      <c r="U1944" s="2">
        <v>43550</v>
      </c>
    </row>
    <row r="1945" spans="1:22" x14ac:dyDescent="0.2">
      <c r="A1945" t="str">
        <f>"372.21 BUH"</f>
        <v>372.21 BUH</v>
      </c>
      <c r="B1945" t="str">
        <f>"Little walks, big adventures: 50  ideas "</f>
        <v xml:space="preserve">Little walks, big adventures: 50  ideas </v>
      </c>
      <c r="C1945">
        <v>346811</v>
      </c>
      <c r="F1945" t="str">
        <f>"154 p."</f>
        <v>154 p.</v>
      </c>
      <c r="G1945" s="1">
        <v>18</v>
      </c>
      <c r="H1945">
        <v>2018</v>
      </c>
      <c r="I1945" t="str">
        <f t="shared" si="76"/>
        <v>9: 300 - 399</v>
      </c>
      <c r="K1945" t="str">
        <f>"WB - In"</f>
        <v>WB - In</v>
      </c>
      <c r="L1945" s="1">
        <v>25</v>
      </c>
      <c r="M1945" t="s">
        <v>1815</v>
      </c>
      <c r="O1945" t="s">
        <v>28</v>
      </c>
      <c r="P1945">
        <v>1</v>
      </c>
      <c r="Q1945">
        <v>2</v>
      </c>
      <c r="R1945">
        <v>3</v>
      </c>
      <c r="S1945" s="2">
        <v>43179</v>
      </c>
      <c r="T1945" s="2">
        <v>43220</v>
      </c>
      <c r="U1945" s="2">
        <v>43263</v>
      </c>
      <c r="V1945" s="2">
        <v>43676</v>
      </c>
    </row>
    <row r="1946" spans="1:22" x14ac:dyDescent="0.2">
      <c r="A1946" t="str">
        <f>"372.21 CHR"</f>
        <v>372.21 CHR</v>
      </c>
      <c r="B1946" t="str">
        <f>"importance of being little: what prescho"</f>
        <v>importance of being little: what prescho</v>
      </c>
      <c r="C1946">
        <v>286197</v>
      </c>
      <c r="D1946" t="str">
        <f>"Christakis, Erika."</f>
        <v>Christakis, Erika.</v>
      </c>
      <c r="F1946" t="str">
        <f>"1 volume"</f>
        <v>1 volume</v>
      </c>
      <c r="G1946" s="1">
        <v>16</v>
      </c>
      <c r="H1946">
        <v>2016</v>
      </c>
      <c r="I1946" t="str">
        <f t="shared" si="76"/>
        <v>9: 300 - 399</v>
      </c>
      <c r="K1946" t="str">
        <f>"WB - In"</f>
        <v>WB - In</v>
      </c>
      <c r="L1946" s="1">
        <v>33</v>
      </c>
      <c r="M1946" t="s">
        <v>1816</v>
      </c>
      <c r="O1946" t="s">
        <v>28</v>
      </c>
      <c r="P1946">
        <v>6</v>
      </c>
      <c r="Q1946">
        <v>0</v>
      </c>
      <c r="R1946">
        <v>10</v>
      </c>
      <c r="S1946" s="2">
        <v>42416</v>
      </c>
      <c r="T1946" s="2">
        <v>42753</v>
      </c>
      <c r="U1946" s="2">
        <v>43699</v>
      </c>
    </row>
    <row r="1947" spans="1:22" x14ac:dyDescent="0.2">
      <c r="A1947" t="str">
        <f>"372.21 HER"</f>
        <v>372.21 HER</v>
      </c>
      <c r="B1947" t="str">
        <f>"Making and tinkering with STEM: solving "</f>
        <v xml:space="preserve">Making and tinkering with STEM: solving </v>
      </c>
      <c r="C1947">
        <v>356394</v>
      </c>
      <c r="D1947" t="str">
        <f>"Heroman, Cate"</f>
        <v>Heroman, Cate</v>
      </c>
      <c r="F1947" t="str">
        <f>"139 pages, 21 x 26 cm, color illustrations"</f>
        <v>139 pages, 21 x 26 cm, color illustrations</v>
      </c>
      <c r="G1947" s="1">
        <v>19</v>
      </c>
      <c r="H1947">
        <v>2017</v>
      </c>
      <c r="I1947" t="str">
        <f t="shared" si="76"/>
        <v>9: 300 - 399</v>
      </c>
      <c r="K1947" t="str">
        <f>"WB - In"</f>
        <v>WB - In</v>
      </c>
      <c r="L1947" s="1">
        <v>30</v>
      </c>
      <c r="M1947" t="s">
        <v>1817</v>
      </c>
      <c r="O1947" t="s">
        <v>28</v>
      </c>
      <c r="P1947">
        <v>2</v>
      </c>
      <c r="Q1947">
        <v>1</v>
      </c>
      <c r="R1947">
        <v>3</v>
      </c>
      <c r="S1947" s="2">
        <v>43671</v>
      </c>
      <c r="T1947" s="2">
        <v>43685</v>
      </c>
      <c r="U1947" s="2">
        <v>43719</v>
      </c>
      <c r="V1947" s="2">
        <v>43712</v>
      </c>
    </row>
    <row r="1948" spans="1:22" x14ac:dyDescent="0.2">
      <c r="A1948" t="str">
        <f>"372.21 ITS"</f>
        <v>372.21 ITS</v>
      </c>
      <c r="B1948" t="str">
        <f>"It's great to be four"</f>
        <v>It's great to be four</v>
      </c>
      <c r="C1948">
        <v>103991</v>
      </c>
      <c r="F1948" t="str">
        <f>"640 p."</f>
        <v>640 p.</v>
      </c>
      <c r="G1948" s="1">
        <v>1</v>
      </c>
      <c r="H1948">
        <v>2001</v>
      </c>
      <c r="I1948" t="str">
        <f t="shared" si="76"/>
        <v>9: 300 - 399</v>
      </c>
      <c r="K1948" t="str">
        <f>"WB - In"</f>
        <v>WB - In</v>
      </c>
      <c r="L1948" s="1">
        <v>35</v>
      </c>
      <c r="M1948" t="s">
        <v>1818</v>
      </c>
      <c r="O1948" t="s">
        <v>28</v>
      </c>
      <c r="P1948">
        <v>0</v>
      </c>
      <c r="Q1948">
        <v>0</v>
      </c>
      <c r="R1948">
        <v>64</v>
      </c>
      <c r="S1948" s="2">
        <v>37064</v>
      </c>
      <c r="T1948" s="2">
        <v>41053</v>
      </c>
      <c r="U1948" s="2">
        <v>42255</v>
      </c>
      <c r="V1948" s="2">
        <v>42204</v>
      </c>
    </row>
    <row r="1949" spans="1:22" x14ac:dyDescent="0.2">
      <c r="A1949" t="str">
        <f>"372.21 MOO"</f>
        <v>372.21 MOO</v>
      </c>
      <c r="B1949" t="str">
        <f>"Teaching STEM in the early years: activi"</f>
        <v>Teaching STEM in the early years: activi</v>
      </c>
      <c r="C1949">
        <v>317761</v>
      </c>
      <c r="D1949" t="str">
        <f>"Moomaw, Sally,"</f>
        <v>Moomaw, Sally,</v>
      </c>
      <c r="F1949" t="str">
        <f>"xi, 227 pages, 28 cm, illustrations"</f>
        <v>xi, 227 pages, 28 cm, illustrations</v>
      </c>
      <c r="G1949" s="1">
        <v>13</v>
      </c>
      <c r="H1949">
        <v>2013</v>
      </c>
      <c r="I1949" t="str">
        <f t="shared" si="76"/>
        <v>9: 300 - 399</v>
      </c>
      <c r="K1949" t="str">
        <f>"LL - In"</f>
        <v>LL - In</v>
      </c>
      <c r="L1949" s="1">
        <v>45</v>
      </c>
      <c r="M1949" t="s">
        <v>1819</v>
      </c>
      <c r="O1949" t="s">
        <v>28</v>
      </c>
      <c r="P1949">
        <v>1</v>
      </c>
      <c r="Q1949">
        <v>0</v>
      </c>
      <c r="R1949">
        <v>6</v>
      </c>
      <c r="S1949" s="2">
        <v>41582</v>
      </c>
      <c r="T1949" s="2">
        <v>41597</v>
      </c>
      <c r="U1949" s="2">
        <v>43078</v>
      </c>
    </row>
    <row r="1950" spans="1:22" x14ac:dyDescent="0.2">
      <c r="A1950" t="str">
        <f>"372.21 OLS"</f>
        <v>372.21 OLS</v>
      </c>
      <c r="B1950" t="str">
        <f>"Handwriting without tears: kindergarten "</f>
        <v xml:space="preserve">Handwriting without tears: kindergarten </v>
      </c>
      <c r="C1950">
        <v>270397</v>
      </c>
      <c r="D1950" t="str">
        <f>"Olsen, Janice Z."</f>
        <v>Olsen, Janice Z.</v>
      </c>
      <c r="F1950" t="str">
        <f>"198 p., 28 cm, ill."</f>
        <v>198 p., 28 cm, ill.</v>
      </c>
      <c r="G1950" s="1">
        <v>13</v>
      </c>
      <c r="H1950">
        <v>2013</v>
      </c>
      <c r="I1950" t="str">
        <f t="shared" si="76"/>
        <v>9: 300 - 399</v>
      </c>
      <c r="K1950" t="str">
        <f>"WB - In"</f>
        <v>WB - In</v>
      </c>
      <c r="L1950" s="1">
        <v>23</v>
      </c>
      <c r="M1950" t="s">
        <v>1820</v>
      </c>
      <c r="O1950" t="s">
        <v>28</v>
      </c>
      <c r="P1950">
        <v>4</v>
      </c>
      <c r="Q1950">
        <v>1</v>
      </c>
      <c r="R1950">
        <v>15</v>
      </c>
      <c r="S1950" s="2">
        <v>41611</v>
      </c>
      <c r="T1950" s="2">
        <v>41620</v>
      </c>
      <c r="U1950" s="2">
        <v>43753</v>
      </c>
      <c r="V1950" s="2">
        <v>43676</v>
      </c>
    </row>
    <row r="1951" spans="1:22" x14ac:dyDescent="0.2">
      <c r="A1951" t="str">
        <f>"372.24 ASS"</f>
        <v>372.24 ASS</v>
      </c>
      <c r="B1951" t="str">
        <f>"Developing math talent: a comprehensive "</f>
        <v xml:space="preserve">Developing math talent: a comprehensive </v>
      </c>
      <c r="C1951">
        <v>346293</v>
      </c>
      <c r="D1951" t="str">
        <f>"Assouline, Susan G."</f>
        <v>Assouline, Susan G.</v>
      </c>
      <c r="F1951" t="str">
        <f>"xxix, 390 p., 23 cm, ill."</f>
        <v>xxix, 390 p., 23 cm, ill.</v>
      </c>
      <c r="G1951" s="1">
        <v>18</v>
      </c>
      <c r="H1951">
        <v>2011</v>
      </c>
      <c r="I1951" t="str">
        <f t="shared" si="76"/>
        <v>9: 300 - 399</v>
      </c>
      <c r="K1951" t="str">
        <f>"WB - In"</f>
        <v>WB - In</v>
      </c>
      <c r="L1951" s="1">
        <v>40</v>
      </c>
      <c r="M1951" t="s">
        <v>1821</v>
      </c>
      <c r="O1951" t="s">
        <v>28</v>
      </c>
      <c r="P1951">
        <v>7</v>
      </c>
      <c r="Q1951">
        <v>1</v>
      </c>
      <c r="R1951">
        <v>8</v>
      </c>
      <c r="S1951" s="2">
        <v>43152</v>
      </c>
      <c r="T1951" s="2">
        <v>43158</v>
      </c>
      <c r="U1951" s="2">
        <v>43704</v>
      </c>
      <c r="V1951" s="2">
        <v>43674</v>
      </c>
    </row>
    <row r="1952" spans="1:22" x14ac:dyDescent="0.2">
      <c r="A1952" t="str">
        <f>"372.24 MUE"</f>
        <v>372.24 MUE</v>
      </c>
      <c r="B1952" t="str">
        <f>"Nurturing your child's math and literacy"</f>
        <v>Nurturing your child's math and literacy</v>
      </c>
      <c r="C1952">
        <v>339474</v>
      </c>
      <c r="D1952" t="str">
        <f>"Mueller, Mary"</f>
        <v>Mueller, Mary</v>
      </c>
      <c r="F1952" t="str">
        <f>"xii, 279 pages, 24 cm, illustrations"</f>
        <v>xii, 279 pages, 24 cm, illustrations</v>
      </c>
      <c r="G1952" s="1">
        <v>17</v>
      </c>
      <c r="H1952">
        <v>2016</v>
      </c>
      <c r="I1952" t="str">
        <f t="shared" si="76"/>
        <v>9: 300 - 399</v>
      </c>
      <c r="K1952" t="str">
        <f>"LL - In"</f>
        <v>LL - In</v>
      </c>
      <c r="L1952" s="1">
        <v>40</v>
      </c>
      <c r="M1952" t="s">
        <v>1822</v>
      </c>
      <c r="O1952" t="s">
        <v>28</v>
      </c>
      <c r="P1952">
        <v>3</v>
      </c>
      <c r="Q1952">
        <v>2</v>
      </c>
      <c r="R1952">
        <v>5</v>
      </c>
      <c r="S1952" s="2">
        <v>42772</v>
      </c>
      <c r="T1952" s="2">
        <v>42780</v>
      </c>
      <c r="U1952" s="2">
        <v>43725</v>
      </c>
      <c r="V1952" s="2">
        <v>43740</v>
      </c>
    </row>
    <row r="1953" spans="1:22" x14ac:dyDescent="0.2">
      <c r="A1953" t="str">
        <f>"372.24 WHA"</f>
        <v>372.24 WHA</v>
      </c>
      <c r="B1953" t="str">
        <f>"What your third grader needs to know: fu"</f>
        <v>What your third grader needs to know: fu</v>
      </c>
      <c r="C1953">
        <v>324183</v>
      </c>
      <c r="E1953" t="str">
        <f>"Core Knowledge series"</f>
        <v>Core Knowledge series</v>
      </c>
      <c r="F1953" t="str">
        <f>"xxviii, 366 p., 25 cm, ill. (some col.), maps (some col.)"</f>
        <v>xxviii, 366 p., 25 cm, ill. (some col.), maps (some col.)</v>
      </c>
      <c r="G1953" s="1">
        <v>14</v>
      </c>
      <c r="H1953">
        <v>2002</v>
      </c>
      <c r="I1953" t="str">
        <f t="shared" si="76"/>
        <v>9: 300 - 399</v>
      </c>
      <c r="K1953" t="str">
        <f>"WB - In"</f>
        <v>WB - In</v>
      </c>
      <c r="L1953" s="1">
        <v>25</v>
      </c>
      <c r="M1953" t="s">
        <v>1823</v>
      </c>
      <c r="O1953" t="s">
        <v>28</v>
      </c>
      <c r="P1953">
        <v>5</v>
      </c>
      <c r="Q1953">
        <v>1</v>
      </c>
      <c r="R1953">
        <v>10</v>
      </c>
      <c r="S1953" s="2">
        <v>41932</v>
      </c>
      <c r="T1953" s="2">
        <v>41939</v>
      </c>
      <c r="U1953" s="2">
        <v>43622</v>
      </c>
      <c r="V1953" s="2">
        <v>43488</v>
      </c>
    </row>
    <row r="1954" spans="1:22" x14ac:dyDescent="0.2">
      <c r="A1954" t="str">
        <f>"372.4 ASS"</f>
        <v>372.4 ASS</v>
      </c>
      <c r="B1954" t="str">
        <f>"Assessing reading multiple measures - re"</f>
        <v>Assessing reading multiple measures - re</v>
      </c>
      <c r="C1954">
        <v>408853</v>
      </c>
      <c r="F1954" t="str">
        <f>"183 p."</f>
        <v>183 p.</v>
      </c>
      <c r="G1954" s="1">
        <v>20</v>
      </c>
      <c r="H1954">
        <v>2018</v>
      </c>
      <c r="I1954" t="str">
        <f t="shared" si="76"/>
        <v>9: 300 - 399</v>
      </c>
      <c r="K1954" t="str">
        <f>"WB - Reserve Cart"</f>
        <v>WB - Reserve Cart</v>
      </c>
      <c r="L1954" s="1">
        <v>54</v>
      </c>
      <c r="M1954" t="s">
        <v>1824</v>
      </c>
      <c r="O1954" t="s">
        <v>28</v>
      </c>
      <c r="P1954">
        <v>0</v>
      </c>
      <c r="Q1954">
        <v>0</v>
      </c>
      <c r="R1954">
        <v>0</v>
      </c>
      <c r="S1954" s="2">
        <v>43858</v>
      </c>
      <c r="T1954" s="2">
        <v>43861</v>
      </c>
    </row>
    <row r="1955" spans="1:22" x14ac:dyDescent="0.2">
      <c r="A1955" t="str">
        <f>"372.4 COL"</f>
        <v>372.4 COL</v>
      </c>
      <c r="B1955" t="str">
        <f>"I am reading: nurturing young children's"</f>
        <v>I am reading: nurturing young children's</v>
      </c>
      <c r="C1955">
        <v>329854</v>
      </c>
      <c r="D1955" t="str">
        <f>"Collins, Kathy,"</f>
        <v>Collins, Kathy,</v>
      </c>
      <c r="F1955" t="str">
        <f>"xvi, 176 pages, 24 cm, illustrations,"</f>
        <v>xvi, 176 pages, 24 cm, illustrations,</v>
      </c>
      <c r="G1955" s="1">
        <v>15</v>
      </c>
      <c r="H1955">
        <v>2015</v>
      </c>
      <c r="I1955" t="str">
        <f t="shared" si="76"/>
        <v>9: 300 - 399</v>
      </c>
      <c r="K1955" t="str">
        <f>"WB - In"</f>
        <v>WB - In</v>
      </c>
      <c r="L1955" s="1">
        <v>33</v>
      </c>
      <c r="M1955" t="s">
        <v>1825</v>
      </c>
      <c r="O1955" t="s">
        <v>28</v>
      </c>
      <c r="P1955">
        <v>1</v>
      </c>
      <c r="Q1955">
        <v>0</v>
      </c>
      <c r="R1955">
        <v>3</v>
      </c>
      <c r="S1955" s="2">
        <v>42255</v>
      </c>
      <c r="T1955" s="2">
        <v>42258</v>
      </c>
      <c r="U1955" s="2">
        <v>43775</v>
      </c>
    </row>
    <row r="1956" spans="1:22" x14ac:dyDescent="0.2">
      <c r="A1956" t="str">
        <f>"372.4 EID"</f>
        <v>372.4 EID</v>
      </c>
      <c r="B1956" t="str">
        <f>"Uncovering the logic of english: a commo"</f>
        <v>Uncovering the logic of english: a commo</v>
      </c>
      <c r="C1956">
        <v>260854</v>
      </c>
      <c r="D1956" t="str">
        <f>"Eide, Denise."</f>
        <v>Eide, Denise.</v>
      </c>
      <c r="F1956" t="str">
        <f>"202 p."</f>
        <v>202 p.</v>
      </c>
      <c r="G1956" s="1">
        <v>12</v>
      </c>
      <c r="H1956">
        <v>2012</v>
      </c>
      <c r="I1956" t="str">
        <f t="shared" si="76"/>
        <v>9: 300 - 399</v>
      </c>
      <c r="K1956" t="str">
        <f>"WB - Out"</f>
        <v>WB - Out</v>
      </c>
      <c r="L1956" s="1">
        <v>25</v>
      </c>
      <c r="M1956" t="s">
        <v>1826</v>
      </c>
      <c r="O1956" t="s">
        <v>28</v>
      </c>
      <c r="P1956">
        <v>6</v>
      </c>
      <c r="Q1956">
        <v>0</v>
      </c>
      <c r="R1956">
        <v>21</v>
      </c>
      <c r="S1956" s="2">
        <v>41199</v>
      </c>
      <c r="T1956" s="2">
        <v>41204</v>
      </c>
      <c r="U1956" s="2">
        <v>43827</v>
      </c>
      <c r="V1956" s="2">
        <v>41843</v>
      </c>
    </row>
    <row r="1957" spans="1:22" x14ac:dyDescent="0.2">
      <c r="A1957" t="str">
        <f>"372.4 ENG"</f>
        <v>372.4 ENG</v>
      </c>
      <c r="B1957" t="str">
        <f>"Teach your child to read in 100 easy les"</f>
        <v>Teach your child to read in 100 easy les</v>
      </c>
      <c r="C1957">
        <v>343100</v>
      </c>
      <c r="D1957" t="str">
        <f>"Engelman, Siegfried."</f>
        <v>Engelman, Siegfried.</v>
      </c>
      <c r="F1957" t="str">
        <f>"395 p., 28 cm, ill."</f>
        <v>395 p., 28 cm, ill.</v>
      </c>
      <c r="G1957" s="1">
        <v>17</v>
      </c>
      <c r="H1957">
        <v>2011</v>
      </c>
      <c r="I1957" t="str">
        <f t="shared" si="76"/>
        <v>9: 300 - 399</v>
      </c>
      <c r="K1957" t="str">
        <f>"LL - In"</f>
        <v>LL - In</v>
      </c>
      <c r="L1957" s="1">
        <v>29</v>
      </c>
      <c r="M1957" t="s">
        <v>1827</v>
      </c>
      <c r="O1957" t="s">
        <v>28</v>
      </c>
      <c r="P1957">
        <v>4</v>
      </c>
      <c r="Q1957">
        <v>0</v>
      </c>
      <c r="R1957">
        <v>4</v>
      </c>
      <c r="S1957" s="2">
        <v>42963</v>
      </c>
      <c r="T1957" s="2">
        <v>42989</v>
      </c>
      <c r="U1957" s="2">
        <v>43676</v>
      </c>
    </row>
    <row r="1958" spans="1:22" x14ac:dyDescent="0.2">
      <c r="A1958" t="str">
        <f>"372.4 GOR"</f>
        <v>372.4 GOR</v>
      </c>
      <c r="B1958" t="str">
        <f>"No more fake reading: merging the classi"</f>
        <v>No more fake reading: merging the classi</v>
      </c>
      <c r="C1958">
        <v>353745</v>
      </c>
      <c r="D1958" t="str">
        <f>"Gordon, Berit"</f>
        <v>Gordon, Berit</v>
      </c>
      <c r="F1958" t="str">
        <f>"xv, 269 pages, 24 cm"</f>
        <v>xv, 269 pages, 24 cm</v>
      </c>
      <c r="G1958" s="1">
        <v>19</v>
      </c>
      <c r="H1958">
        <v>2018</v>
      </c>
      <c r="I1958" t="str">
        <f t="shared" si="76"/>
        <v>9: 300 - 399</v>
      </c>
      <c r="K1958" t="str">
        <f>"WB - In"</f>
        <v>WB - In</v>
      </c>
      <c r="L1958" s="1">
        <v>35</v>
      </c>
      <c r="M1958" t="s">
        <v>1828</v>
      </c>
      <c r="O1958" t="s">
        <v>28</v>
      </c>
      <c r="P1958">
        <v>1</v>
      </c>
      <c r="Q1958">
        <v>0</v>
      </c>
      <c r="R1958">
        <v>1</v>
      </c>
      <c r="S1958" s="2">
        <v>43549</v>
      </c>
      <c r="T1958" s="2">
        <v>43570</v>
      </c>
      <c r="U1958" s="2">
        <v>43571</v>
      </c>
    </row>
    <row r="1959" spans="1:22" x14ac:dyDescent="0.2">
      <c r="A1959" t="str">
        <f>"372.4 HAL"</f>
        <v>372.4 HAL</v>
      </c>
      <c r="B1959" t="str">
        <f>"Parenting a struggling reader"</f>
        <v>Parenting a struggling reader</v>
      </c>
      <c r="C1959">
        <v>347814</v>
      </c>
      <c r="D1959" t="str">
        <f>"Hall, Susan L."</f>
        <v>Hall, Susan L.</v>
      </c>
      <c r="F1959" t="str">
        <f>"xix, 284 p., 21 cm"</f>
        <v>xix, 284 p., 21 cm</v>
      </c>
      <c r="G1959" s="1">
        <v>18</v>
      </c>
      <c r="H1959">
        <v>2002</v>
      </c>
      <c r="I1959" t="str">
        <f t="shared" si="76"/>
        <v>9: 300 - 399</v>
      </c>
      <c r="K1959" t="str">
        <f>"LL - In"</f>
        <v>LL - In</v>
      </c>
      <c r="L1959" s="1">
        <v>20</v>
      </c>
      <c r="M1959" t="s">
        <v>1829</v>
      </c>
      <c r="O1959" t="s">
        <v>28</v>
      </c>
      <c r="P1959">
        <v>2</v>
      </c>
      <c r="Q1959">
        <v>1</v>
      </c>
      <c r="R1959">
        <v>3</v>
      </c>
      <c r="S1959" s="2">
        <v>43241</v>
      </c>
      <c r="T1959" s="2">
        <v>43244</v>
      </c>
      <c r="U1959" s="2">
        <v>43498</v>
      </c>
      <c r="V1959" s="2">
        <v>43712</v>
      </c>
    </row>
    <row r="1960" spans="1:22" x14ac:dyDescent="0.2">
      <c r="A1960" t="str">
        <f>"372.4 ILL"</f>
        <v>372.4 ILL</v>
      </c>
      <c r="B1960" t="str">
        <f>"illustrated treasury of read-aloud class"</f>
        <v>illustrated treasury of read-aloud class</v>
      </c>
      <c r="C1960">
        <v>201179</v>
      </c>
      <c r="F1960" t="str">
        <f>"216 p."</f>
        <v>216 p.</v>
      </c>
      <c r="G1960">
        <v>7</v>
      </c>
      <c r="H1960">
        <v>2003</v>
      </c>
      <c r="I1960" t="str">
        <f t="shared" si="76"/>
        <v>9: 300 - 399</v>
      </c>
      <c r="K1960" t="str">
        <f>"LL - In"</f>
        <v>LL - In</v>
      </c>
      <c r="L1960" s="1">
        <v>25</v>
      </c>
      <c r="M1960" t="s">
        <v>1830</v>
      </c>
      <c r="O1960" t="s">
        <v>28</v>
      </c>
      <c r="P1960">
        <v>1</v>
      </c>
      <c r="Q1960">
        <v>0</v>
      </c>
      <c r="R1960">
        <v>22</v>
      </c>
      <c r="S1960" s="2">
        <v>39176</v>
      </c>
      <c r="T1960" s="2">
        <v>41053</v>
      </c>
      <c r="U1960" s="2">
        <v>42989</v>
      </c>
      <c r="V1960" s="2">
        <v>41876</v>
      </c>
    </row>
    <row r="1961" spans="1:22" x14ac:dyDescent="0.2">
      <c r="A1961" t="str">
        <f>"372.4 KAH"</f>
        <v>372.4 KAH</v>
      </c>
      <c r="B1961" t="str">
        <f>"Syllable practice for reading accuracy &amp;"</f>
        <v>Syllable practice for reading accuracy &amp;</v>
      </c>
      <c r="C1961">
        <v>299418</v>
      </c>
      <c r="D1961" t="str">
        <f>"Kahn, Susan B."</f>
        <v>Kahn, Susan B.</v>
      </c>
      <c r="F1961" t="str">
        <f>"var. pagings"</f>
        <v>var. pagings</v>
      </c>
      <c r="G1961" s="1">
        <v>18</v>
      </c>
      <c r="H1961">
        <v>2018</v>
      </c>
      <c r="I1961" t="str">
        <f t="shared" si="76"/>
        <v>9: 300 - 399</v>
      </c>
      <c r="K1961" t="str">
        <f>"LL - In"</f>
        <v>LL - In</v>
      </c>
      <c r="L1961" s="1">
        <v>20</v>
      </c>
      <c r="M1961" t="s">
        <v>1831</v>
      </c>
      <c r="O1961" t="s">
        <v>28</v>
      </c>
      <c r="P1961">
        <v>1</v>
      </c>
      <c r="Q1961">
        <v>0</v>
      </c>
      <c r="R1961">
        <v>1</v>
      </c>
      <c r="S1961" s="2">
        <v>43125</v>
      </c>
      <c r="T1961" s="2">
        <v>43130</v>
      </c>
      <c r="U1961" s="2">
        <v>43775</v>
      </c>
    </row>
    <row r="1962" spans="1:22" x14ac:dyDescent="0.2">
      <c r="A1962" t="str">
        <f>"372.4 KRO"</f>
        <v>372.4 KRO</v>
      </c>
      <c r="B1962" t="str">
        <f>"How to make your child a reader for life"</f>
        <v>How to make your child a reader for life</v>
      </c>
      <c r="C1962">
        <v>406514</v>
      </c>
      <c r="D1962" t="str">
        <f>"Kropp, Paul."</f>
        <v>Kropp, Paul.</v>
      </c>
      <c r="F1962" t="str">
        <f>"302 p., 24 cm"</f>
        <v>302 p., 24 cm</v>
      </c>
      <c r="G1962" s="1">
        <v>19</v>
      </c>
      <c r="H1962">
        <v>1996</v>
      </c>
      <c r="I1962" t="str">
        <f t="shared" si="76"/>
        <v>9: 300 - 399</v>
      </c>
      <c r="K1962" t="str">
        <f>"LL - In"</f>
        <v>LL - In</v>
      </c>
      <c r="L1962" s="1">
        <v>18</v>
      </c>
      <c r="M1962" t="s">
        <v>1832</v>
      </c>
      <c r="O1962" t="s">
        <v>28</v>
      </c>
      <c r="P1962">
        <v>1</v>
      </c>
      <c r="Q1962">
        <v>0</v>
      </c>
      <c r="R1962">
        <v>1</v>
      </c>
      <c r="S1962" s="2">
        <v>43592</v>
      </c>
      <c r="T1962" s="2">
        <v>43619</v>
      </c>
      <c r="U1962" s="2">
        <v>43715</v>
      </c>
    </row>
    <row r="1963" spans="1:22" x14ac:dyDescent="0.2">
      <c r="A1963" t="str">
        <f>"372.4 LED"</f>
        <v>372.4 LED</v>
      </c>
      <c r="B1963" t="str">
        <f>"Teach your child to read in just ten min"</f>
        <v>Teach your child to read in just ten min</v>
      </c>
      <c r="C1963">
        <v>269356</v>
      </c>
      <c r="D1963" t="str">
        <f>"Ledson, Sidney."</f>
        <v>Ledson, Sidney.</v>
      </c>
      <c r="F1963" t="str">
        <f>"226 p., 22 cm, ill."</f>
        <v>226 p., 22 cm, ill.</v>
      </c>
      <c r="G1963" s="1">
        <v>13</v>
      </c>
      <c r="H1963">
        <v>2003</v>
      </c>
      <c r="I1963" t="str">
        <f t="shared" si="76"/>
        <v>9: 300 - 399</v>
      </c>
      <c r="K1963" t="str">
        <f>"WB - In"</f>
        <v>WB - In</v>
      </c>
      <c r="L1963" s="1">
        <v>27</v>
      </c>
      <c r="M1963" t="s">
        <v>1833</v>
      </c>
      <c r="O1963" t="s">
        <v>28</v>
      </c>
      <c r="P1963">
        <v>1</v>
      </c>
      <c r="Q1963">
        <v>1</v>
      </c>
      <c r="R1963">
        <v>9</v>
      </c>
      <c r="S1963" s="2">
        <v>41571</v>
      </c>
      <c r="T1963" s="2">
        <v>43216</v>
      </c>
      <c r="U1963" s="2">
        <v>42811</v>
      </c>
      <c r="V1963" s="2">
        <v>43216</v>
      </c>
    </row>
    <row r="1964" spans="1:22" x14ac:dyDescent="0.2">
      <c r="A1964" t="str">
        <f>"372.4 LED"</f>
        <v>372.4 LED</v>
      </c>
      <c r="B1964" t="str">
        <f>"Teach your child to read in just ten min"</f>
        <v>Teach your child to read in just ten min</v>
      </c>
      <c r="C1964">
        <v>298910</v>
      </c>
      <c r="D1964" t="str">
        <f>"Ledson, Sidney."</f>
        <v>Ledson, Sidney.</v>
      </c>
      <c r="F1964" t="str">
        <f>"226 p., 22 cm, ill."</f>
        <v>226 p., 22 cm, ill.</v>
      </c>
      <c r="G1964" s="1">
        <v>17</v>
      </c>
      <c r="H1964">
        <v>2003</v>
      </c>
      <c r="I1964" t="str">
        <f t="shared" si="76"/>
        <v>9: 300 - 399</v>
      </c>
      <c r="K1964" t="str">
        <f>"LL - In"</f>
        <v>LL - In</v>
      </c>
      <c r="L1964" s="1">
        <v>27</v>
      </c>
      <c r="M1964" t="s">
        <v>1833</v>
      </c>
      <c r="O1964" t="s">
        <v>28</v>
      </c>
      <c r="P1964">
        <v>4</v>
      </c>
      <c r="Q1964">
        <v>1</v>
      </c>
      <c r="R1964">
        <v>5</v>
      </c>
      <c r="S1964" s="2">
        <v>43081</v>
      </c>
      <c r="T1964" s="2">
        <v>43108</v>
      </c>
      <c r="U1964" s="2">
        <v>43481</v>
      </c>
      <c r="V1964" s="2">
        <v>43712</v>
      </c>
    </row>
    <row r="1965" spans="1:22" x14ac:dyDescent="0.2">
      <c r="A1965" t="str">
        <f>"372.4 MAC"</f>
        <v>372.4 MAC</v>
      </c>
      <c r="B1965" t="str">
        <f>"The read-aloud family: making meaningful"</f>
        <v>The read-aloud family: making meaningful</v>
      </c>
      <c r="C1965">
        <v>355957</v>
      </c>
      <c r="D1965" t="str">
        <f>"Mackenzie, Sarah"</f>
        <v>Mackenzie, Sarah</v>
      </c>
      <c r="F1965" t="str">
        <f>"282 pages, 21 cm"</f>
        <v>282 pages, 21 cm</v>
      </c>
      <c r="G1965" s="1">
        <v>19</v>
      </c>
      <c r="H1965">
        <v>2018</v>
      </c>
      <c r="I1965" t="str">
        <f t="shared" si="76"/>
        <v>9: 300 - 399</v>
      </c>
      <c r="K1965" t="str">
        <f>"WB - In"</f>
        <v>WB - In</v>
      </c>
      <c r="L1965" s="1">
        <v>22</v>
      </c>
      <c r="M1965" t="s">
        <v>1834</v>
      </c>
      <c r="O1965" t="s">
        <v>28</v>
      </c>
      <c r="P1965">
        <v>2</v>
      </c>
      <c r="Q1965">
        <v>0</v>
      </c>
      <c r="R1965">
        <v>2</v>
      </c>
      <c r="S1965" s="2">
        <v>43647</v>
      </c>
      <c r="T1965" s="2">
        <v>43665</v>
      </c>
      <c r="U1965" s="2">
        <v>43690</v>
      </c>
    </row>
    <row r="1966" spans="1:22" x14ac:dyDescent="0.2">
      <c r="A1966" t="str">
        <f>"372.4 MCG"</f>
        <v>372.4 MCG</v>
      </c>
      <c r="B1966" t="str">
        <f>"Reading reflex: the foolproof phono-grap"</f>
        <v>Reading reflex: the foolproof phono-grap</v>
      </c>
      <c r="C1966">
        <v>310344</v>
      </c>
      <c r="D1966" t="str">
        <f>"McGuinness, Carmen."</f>
        <v>McGuinness, Carmen.</v>
      </c>
      <c r="F1966" t="str">
        <f>"xii, 353 p., 24 cm., ill."</f>
        <v>xii, 353 p., 24 cm., ill.</v>
      </c>
      <c r="G1966" s="1">
        <v>12</v>
      </c>
      <c r="H1966">
        <v>1999</v>
      </c>
      <c r="I1966" t="str">
        <f t="shared" si="76"/>
        <v>9: 300 - 399</v>
      </c>
      <c r="K1966" t="str">
        <f>"LL - In"</f>
        <v>LL - In</v>
      </c>
      <c r="L1966" s="1">
        <v>24</v>
      </c>
      <c r="M1966" t="s">
        <v>1835</v>
      </c>
      <c r="O1966" t="s">
        <v>28</v>
      </c>
      <c r="P1966">
        <v>2</v>
      </c>
      <c r="Q1966">
        <v>0</v>
      </c>
      <c r="R1966">
        <v>10</v>
      </c>
      <c r="S1966" s="2">
        <v>41193</v>
      </c>
      <c r="T1966" s="2">
        <v>41205</v>
      </c>
      <c r="U1966" s="2">
        <v>43548</v>
      </c>
      <c r="V1966" s="2">
        <v>41758</v>
      </c>
    </row>
    <row r="1967" spans="1:22" x14ac:dyDescent="0.2">
      <c r="A1967" t="str">
        <f>"372.4 MIL"</f>
        <v>372.4 MIL</v>
      </c>
      <c r="B1967" t="str">
        <f>"book whisperer: awakening the inner read"</f>
        <v>book whisperer: awakening the inner read</v>
      </c>
      <c r="C1967">
        <v>345076</v>
      </c>
      <c r="D1967" t="str">
        <f>"Miller, Donalyn."</f>
        <v>Miller, Donalyn.</v>
      </c>
      <c r="F1967" t="str">
        <f>"227 p."</f>
        <v>227 p.</v>
      </c>
      <c r="G1967" s="1">
        <v>17</v>
      </c>
      <c r="H1967">
        <v>2009</v>
      </c>
      <c r="I1967" t="str">
        <f t="shared" si="76"/>
        <v>9: 300 - 399</v>
      </c>
      <c r="K1967" t="str">
        <f>"LL - In"</f>
        <v>LL - In</v>
      </c>
      <c r="L1967" s="1">
        <v>30</v>
      </c>
      <c r="M1967" t="s">
        <v>1836</v>
      </c>
      <c r="O1967" t="s">
        <v>28</v>
      </c>
      <c r="P1967">
        <v>5</v>
      </c>
      <c r="Q1967">
        <v>0</v>
      </c>
      <c r="R1967">
        <v>5</v>
      </c>
      <c r="S1967" s="2">
        <v>43080</v>
      </c>
      <c r="T1967" s="2">
        <v>43108</v>
      </c>
      <c r="U1967" s="2">
        <v>43778</v>
      </c>
    </row>
    <row r="1968" spans="1:22" x14ac:dyDescent="0.2">
      <c r="A1968" t="str">
        <f>"372.4 MIL"</f>
        <v>372.4 MIL</v>
      </c>
      <c r="B1968" t="str">
        <f>"Reading in the wild: the book whisperer'"</f>
        <v>Reading in the wild: the book whisperer'</v>
      </c>
      <c r="C1968">
        <v>318014</v>
      </c>
      <c r="D1968" t="str">
        <f>"Miller, Donalyn."</f>
        <v>Miller, Donalyn.</v>
      </c>
      <c r="F1968" t="str">
        <f>"pages cm"</f>
        <v>pages cm</v>
      </c>
      <c r="G1968" s="1">
        <v>13</v>
      </c>
      <c r="H1968">
        <v>2013</v>
      </c>
      <c r="I1968" t="str">
        <f t="shared" si="76"/>
        <v>9: 300 - 399</v>
      </c>
      <c r="K1968" t="str">
        <f>"LL - In"</f>
        <v>LL - In</v>
      </c>
      <c r="L1968" s="1">
        <v>28</v>
      </c>
      <c r="M1968" t="s">
        <v>1837</v>
      </c>
      <c r="O1968" t="s">
        <v>28</v>
      </c>
      <c r="P1968">
        <v>6</v>
      </c>
      <c r="Q1968">
        <v>0</v>
      </c>
      <c r="R1968">
        <v>21</v>
      </c>
      <c r="S1968" s="2">
        <v>41597</v>
      </c>
      <c r="T1968" s="2">
        <v>41857</v>
      </c>
      <c r="U1968" s="2">
        <v>43707</v>
      </c>
      <c r="V1968" s="2">
        <v>42160</v>
      </c>
    </row>
    <row r="1969" spans="1:22" x14ac:dyDescent="0.2">
      <c r="A1969" t="str">
        <f>"372.4 NEW"</f>
        <v>372.4 NEW</v>
      </c>
      <c r="B1969" t="str">
        <f>"art of slow reading: six time-honored pr"</f>
        <v>art of slow reading: six time-honored pr</v>
      </c>
      <c r="C1969">
        <v>345599</v>
      </c>
      <c r="D1969" t="str">
        <f>"Newkirk, Thomas."</f>
        <v>Newkirk, Thomas.</v>
      </c>
      <c r="F1969" t="str">
        <f>"viii, 216 p., 23 cm, ill."</f>
        <v>viii, 216 p., 23 cm, ill.</v>
      </c>
      <c r="G1969" s="1">
        <v>18</v>
      </c>
      <c r="H1969">
        <v>2012</v>
      </c>
      <c r="I1969" t="str">
        <f t="shared" si="76"/>
        <v>9: 300 - 399</v>
      </c>
      <c r="K1969" t="str">
        <f>"WB - In"</f>
        <v>WB - In</v>
      </c>
      <c r="L1969" s="1">
        <v>37</v>
      </c>
      <c r="M1969" t="s">
        <v>1838</v>
      </c>
      <c r="O1969" t="s">
        <v>28</v>
      </c>
      <c r="P1969">
        <v>0</v>
      </c>
      <c r="Q1969">
        <v>0</v>
      </c>
      <c r="R1969">
        <v>0</v>
      </c>
      <c r="S1969" s="2">
        <v>43117</v>
      </c>
      <c r="T1969" s="2">
        <v>43131</v>
      </c>
    </row>
    <row r="1970" spans="1:22" x14ac:dyDescent="0.2">
      <c r="A1970" t="str">
        <f>"372.4 ONE"</f>
        <v>372.4 ONE</v>
      </c>
      <c r="B1970" t="str">
        <f>"One-hundred-and-one read-aloud classics"</f>
        <v>One-hundred-and-one read-aloud classics</v>
      </c>
      <c r="C1970">
        <v>89505</v>
      </c>
      <c r="F1970" t="str">
        <f>"401 p."</f>
        <v>401 p.</v>
      </c>
      <c r="G1970">
        <v>98</v>
      </c>
      <c r="H1970">
        <v>1995</v>
      </c>
      <c r="I1970" t="str">
        <f t="shared" si="76"/>
        <v>9: 300 - 399</v>
      </c>
      <c r="K1970" t="str">
        <f>"LL - In"</f>
        <v>LL - In</v>
      </c>
      <c r="L1970" s="1">
        <v>25</v>
      </c>
      <c r="M1970" t="s">
        <v>1839</v>
      </c>
      <c r="O1970" t="s">
        <v>28</v>
      </c>
      <c r="P1970">
        <v>3</v>
      </c>
      <c r="Q1970">
        <v>0</v>
      </c>
      <c r="R1970">
        <v>52</v>
      </c>
      <c r="S1970" s="2">
        <v>36409</v>
      </c>
      <c r="T1970" s="2">
        <v>41053</v>
      </c>
      <c r="U1970" s="2">
        <v>43301</v>
      </c>
      <c r="V1970" s="2">
        <v>42183</v>
      </c>
    </row>
    <row r="1971" spans="1:22" x14ac:dyDescent="0.2">
      <c r="A1971" t="str">
        <f>"372.4 ONE"</f>
        <v>372.4 ONE</v>
      </c>
      <c r="B1971" t="str">
        <f>"One-hundred-and-one read-aloud classics"</f>
        <v>One-hundred-and-one read-aloud classics</v>
      </c>
      <c r="C1971">
        <v>199376</v>
      </c>
      <c r="F1971" t="str">
        <f>"401 p."</f>
        <v>401 p.</v>
      </c>
      <c r="G1971">
        <v>6</v>
      </c>
      <c r="H1971">
        <v>1995</v>
      </c>
      <c r="I1971" t="str">
        <f t="shared" si="76"/>
        <v>9: 300 - 399</v>
      </c>
      <c r="K1971" t="str">
        <f>"WB - In"</f>
        <v>WB - In</v>
      </c>
      <c r="L1971" s="1">
        <v>25</v>
      </c>
      <c r="M1971" t="s">
        <v>1839</v>
      </c>
      <c r="O1971" t="s">
        <v>28</v>
      </c>
      <c r="P1971">
        <v>2</v>
      </c>
      <c r="Q1971">
        <v>0</v>
      </c>
      <c r="R1971">
        <v>20</v>
      </c>
      <c r="S1971" s="2">
        <v>39059</v>
      </c>
      <c r="T1971" s="2">
        <v>41053</v>
      </c>
      <c r="U1971" s="2">
        <v>43818</v>
      </c>
      <c r="V1971" s="2">
        <v>42041</v>
      </c>
    </row>
    <row r="1972" spans="1:22" x14ac:dyDescent="0.2">
      <c r="A1972" t="str">
        <f>"372.4 PAU"</f>
        <v>372.4 PAU</v>
      </c>
      <c r="B1972" t="str">
        <f>"How to raise a reader"</f>
        <v>How to raise a reader</v>
      </c>
      <c r="C1972">
        <v>357703</v>
      </c>
      <c r="D1972" t="str">
        <f>"Paul, Pamela"</f>
        <v>Paul, Pamela</v>
      </c>
      <c r="F1972" t="str">
        <f>"xii, 202 pages, 23 cm, color illustrations"</f>
        <v>xii, 202 pages, 23 cm, color illustrations</v>
      </c>
      <c r="G1972" s="1">
        <v>19</v>
      </c>
      <c r="H1972">
        <v>2019</v>
      </c>
      <c r="I1972" t="str">
        <f t="shared" si="76"/>
        <v>9: 300 - 399</v>
      </c>
      <c r="K1972" t="str">
        <f>"WB - In"</f>
        <v>WB - In</v>
      </c>
      <c r="L1972" s="1">
        <v>25</v>
      </c>
      <c r="M1972" t="s">
        <v>1840</v>
      </c>
      <c r="O1972" t="s">
        <v>28</v>
      </c>
      <c r="P1972">
        <v>1</v>
      </c>
      <c r="Q1972">
        <v>0</v>
      </c>
      <c r="R1972">
        <v>1</v>
      </c>
      <c r="S1972" s="2">
        <v>43725</v>
      </c>
      <c r="T1972" s="2">
        <v>43767</v>
      </c>
      <c r="U1972" s="2">
        <v>43768</v>
      </c>
    </row>
    <row r="1973" spans="1:22" x14ac:dyDescent="0.2">
      <c r="A1973" t="str">
        <f>"372.4 RUS"</f>
        <v>372.4 RUS</v>
      </c>
      <c r="B1973" t="str">
        <f>"Classics to read aloud to your children"</f>
        <v>Classics to read aloud to your children</v>
      </c>
      <c r="C1973">
        <v>31684</v>
      </c>
      <c r="D1973" t="str">
        <f>"Russell, William F."</f>
        <v>Russell, William F.</v>
      </c>
      <c r="F1973" t="str">
        <f>"311 p."</f>
        <v>311 p.</v>
      </c>
      <c r="G1973" s="1">
        <v>99</v>
      </c>
      <c r="H1973">
        <v>1984</v>
      </c>
      <c r="I1973" t="str">
        <f t="shared" si="76"/>
        <v>9: 300 - 399</v>
      </c>
      <c r="K1973" t="str">
        <f>"WB - In"</f>
        <v>WB - In</v>
      </c>
      <c r="L1973" s="1">
        <v>21</v>
      </c>
      <c r="M1973" t="s">
        <v>1841</v>
      </c>
      <c r="O1973" t="s">
        <v>28</v>
      </c>
      <c r="P1973">
        <v>2</v>
      </c>
      <c r="Q1973">
        <v>0</v>
      </c>
      <c r="R1973">
        <v>93</v>
      </c>
      <c r="S1973" s="2">
        <v>36409</v>
      </c>
      <c r="T1973" s="2">
        <v>41416</v>
      </c>
      <c r="U1973" s="2">
        <v>43298</v>
      </c>
      <c r="V1973" s="2">
        <v>41402</v>
      </c>
    </row>
    <row r="1974" spans="1:22" x14ac:dyDescent="0.2">
      <c r="A1974" t="str">
        <f>"372.4 SCH"</f>
        <v>372.4 SCH</v>
      </c>
      <c r="B1974" t="str">
        <f>"Creating readers: over 1000 activities, "</f>
        <v xml:space="preserve">Creating readers: over 1000 activities, </v>
      </c>
      <c r="C1974">
        <v>314375</v>
      </c>
      <c r="D1974" t="str">
        <f>"Schiller, Pamela Byrne"</f>
        <v>Schiller, Pamela Byrne</v>
      </c>
      <c r="F1974" t="str">
        <f>"447 p."</f>
        <v>447 p.</v>
      </c>
      <c r="G1974" s="1">
        <v>13</v>
      </c>
      <c r="H1974">
        <v>2001</v>
      </c>
      <c r="I1974" t="str">
        <f t="shared" si="76"/>
        <v>9: 300 - 399</v>
      </c>
      <c r="K1974" t="str">
        <f>"LL - In"</f>
        <v>LL - In</v>
      </c>
      <c r="L1974" s="1">
        <v>35</v>
      </c>
      <c r="M1974" t="s">
        <v>1842</v>
      </c>
      <c r="O1974" t="s">
        <v>28</v>
      </c>
      <c r="P1974">
        <v>1</v>
      </c>
      <c r="Q1974">
        <v>0</v>
      </c>
      <c r="R1974">
        <v>6</v>
      </c>
      <c r="S1974" s="2">
        <v>41408</v>
      </c>
      <c r="T1974" s="2">
        <v>41417</v>
      </c>
      <c r="U1974" s="2">
        <v>43378</v>
      </c>
      <c r="V1974" s="2">
        <v>42183</v>
      </c>
    </row>
    <row r="1975" spans="1:22" x14ac:dyDescent="0.2">
      <c r="A1975" t="str">
        <f>"372.4 TRE"</f>
        <v>372.4 TRE</v>
      </c>
      <c r="B1975" t="str">
        <f>"read-aloud handbook"</f>
        <v>read-aloud handbook</v>
      </c>
      <c r="C1975">
        <v>344150</v>
      </c>
      <c r="D1975" t="str">
        <f>"Trelease, Jim"</f>
        <v>Trelease, Jim</v>
      </c>
      <c r="F1975" t="str">
        <f>"340 p."</f>
        <v>340 p.</v>
      </c>
      <c r="G1975" s="1">
        <v>17</v>
      </c>
      <c r="H1975">
        <v>2006</v>
      </c>
      <c r="I1975" t="str">
        <f t="shared" si="76"/>
        <v>9: 300 - 399</v>
      </c>
      <c r="K1975" t="str">
        <f>"WB - In"</f>
        <v>WB - In</v>
      </c>
      <c r="L1975" s="1">
        <v>23</v>
      </c>
      <c r="M1975" t="s">
        <v>1843</v>
      </c>
      <c r="O1975" t="s">
        <v>28</v>
      </c>
      <c r="P1975">
        <v>2</v>
      </c>
      <c r="Q1975">
        <v>0</v>
      </c>
      <c r="R1975">
        <v>2</v>
      </c>
      <c r="S1975" s="2">
        <v>43027</v>
      </c>
      <c r="T1975" s="2">
        <v>43032</v>
      </c>
      <c r="U1975" s="2">
        <v>43758</v>
      </c>
    </row>
    <row r="1976" spans="1:22" x14ac:dyDescent="0.2">
      <c r="A1976" t="str">
        <f>"372.4 TRE"</f>
        <v>372.4 TRE</v>
      </c>
      <c r="B1976" t="str">
        <f>"read-aloud handbook"</f>
        <v>read-aloud handbook</v>
      </c>
      <c r="C1976">
        <v>355253</v>
      </c>
      <c r="D1976" t="str">
        <f>"Trelease, Jim"</f>
        <v>Trelease, Jim</v>
      </c>
      <c r="F1976" t="str">
        <f>"xxix, 351 pages, 23 cm, illustrations"</f>
        <v>xxix, 351 pages, 23 cm, illustrations</v>
      </c>
      <c r="G1976" s="1">
        <v>19</v>
      </c>
      <c r="H1976">
        <v>2013</v>
      </c>
      <c r="I1976" t="str">
        <f t="shared" si="76"/>
        <v>9: 300 - 399</v>
      </c>
      <c r="K1976" t="str">
        <f>"LL - In"</f>
        <v>LL - In</v>
      </c>
      <c r="L1976" s="1">
        <v>23</v>
      </c>
      <c r="M1976" t="s">
        <v>1844</v>
      </c>
      <c r="O1976" t="s">
        <v>28</v>
      </c>
      <c r="P1976">
        <v>1</v>
      </c>
      <c r="Q1976">
        <v>0</v>
      </c>
      <c r="R1976">
        <v>1</v>
      </c>
      <c r="S1976" s="2">
        <v>43620</v>
      </c>
      <c r="T1976" s="2">
        <v>43626</v>
      </c>
      <c r="U1976" s="2">
        <v>43704</v>
      </c>
    </row>
    <row r="1977" spans="1:22" x14ac:dyDescent="0.2">
      <c r="A1977" t="str">
        <f>"372.4 WIL"</f>
        <v>372.4 WIL</v>
      </c>
      <c r="B1977" t="str">
        <f>"Raising kids who read: what parents and "</f>
        <v xml:space="preserve">Raising kids who read: what parents and </v>
      </c>
      <c r="C1977">
        <v>350065</v>
      </c>
      <c r="D1977" t="str">
        <f>"Willingham, Daniel T."</f>
        <v>Willingham, Daniel T.</v>
      </c>
      <c r="F1977" t="str">
        <f>"ix, 230 pages, 24 cm, illustrations"</f>
        <v>ix, 230 pages, 24 cm, illustrations</v>
      </c>
      <c r="G1977" s="1">
        <v>18</v>
      </c>
      <c r="H1977">
        <v>2015</v>
      </c>
      <c r="I1977" t="str">
        <f t="shared" si="76"/>
        <v>9: 300 - 399</v>
      </c>
      <c r="K1977" t="str">
        <f>"WB - In"</f>
        <v>WB - In</v>
      </c>
      <c r="L1977" s="1">
        <v>32</v>
      </c>
      <c r="M1977" t="s">
        <v>1845</v>
      </c>
      <c r="O1977" t="s">
        <v>28</v>
      </c>
      <c r="P1977">
        <v>9</v>
      </c>
      <c r="Q1977">
        <v>1</v>
      </c>
      <c r="R1977">
        <v>10</v>
      </c>
      <c r="S1977" s="2">
        <v>43360</v>
      </c>
      <c r="T1977" s="2">
        <v>43565</v>
      </c>
      <c r="U1977" s="2">
        <v>43522</v>
      </c>
      <c r="V1977" s="2">
        <v>43467</v>
      </c>
    </row>
    <row r="1978" spans="1:22" x14ac:dyDescent="0.2">
      <c r="A1978" t="str">
        <f>"372.41 FRY"</f>
        <v>372.41 FRY</v>
      </c>
      <c r="B1978" t="str">
        <f>"reading teacher's book of lists"</f>
        <v>reading teacher's book of lists</v>
      </c>
      <c r="C1978">
        <v>310489</v>
      </c>
      <c r="D1978" t="str">
        <f>"Fry, Edward Bernard,"</f>
        <v>Fry, Edward Bernard,</v>
      </c>
      <c r="F1978" t="str">
        <f>"xviii, 524 p., 28 cm., ill."</f>
        <v>xviii, 524 p., 28 cm., ill.</v>
      </c>
      <c r="G1978" s="1">
        <v>12</v>
      </c>
      <c r="H1978">
        <v>2006</v>
      </c>
      <c r="I1978" t="str">
        <f t="shared" si="76"/>
        <v>9: 300 - 399</v>
      </c>
      <c r="K1978" t="str">
        <f>"WB - In"</f>
        <v>WB - In</v>
      </c>
      <c r="L1978" s="1">
        <v>35</v>
      </c>
      <c r="M1978" t="s">
        <v>1846</v>
      </c>
      <c r="O1978" t="s">
        <v>28</v>
      </c>
      <c r="P1978">
        <v>1</v>
      </c>
      <c r="Q1978">
        <v>0</v>
      </c>
      <c r="R1978">
        <v>10</v>
      </c>
      <c r="S1978" s="2">
        <v>41194</v>
      </c>
      <c r="T1978" s="2">
        <v>41255</v>
      </c>
      <c r="U1978" s="2">
        <v>42835</v>
      </c>
      <c r="V1978" s="2">
        <v>42379</v>
      </c>
    </row>
    <row r="1979" spans="1:22" x14ac:dyDescent="0.2">
      <c r="A1979" t="str">
        <f>"372.41 PIN"</f>
        <v>372.41 PIN</v>
      </c>
      <c r="B1979" t="str">
        <f>"Literacy beginnings: a prekindergarten h"</f>
        <v>Literacy beginnings: a prekindergarten h</v>
      </c>
      <c r="C1979">
        <v>250082</v>
      </c>
      <c r="D1979" t="str">
        <f>"Pinnell, Gay Su."</f>
        <v>Pinnell, Gay Su.</v>
      </c>
      <c r="F1979" t="str">
        <f>"462 p., 28 cm., ill. (some col.)"</f>
        <v>462 p., 28 cm., ill. (some col.)</v>
      </c>
      <c r="G1979" s="1">
        <v>11</v>
      </c>
      <c r="H1979">
        <v>2011</v>
      </c>
      <c r="I1979" t="str">
        <f t="shared" si="76"/>
        <v>9: 300 - 399</v>
      </c>
      <c r="K1979" t="str">
        <f>"LL - In"</f>
        <v>LL - In</v>
      </c>
      <c r="L1979" s="1">
        <v>54</v>
      </c>
      <c r="M1979" t="s">
        <v>1847</v>
      </c>
      <c r="O1979" t="s">
        <v>28</v>
      </c>
      <c r="P1979">
        <v>1</v>
      </c>
      <c r="Q1979">
        <v>0</v>
      </c>
      <c r="R1979">
        <v>11</v>
      </c>
      <c r="S1979" s="2">
        <v>40751</v>
      </c>
      <c r="T1979" s="2">
        <v>41053</v>
      </c>
      <c r="U1979" s="2">
        <v>43319</v>
      </c>
    </row>
    <row r="1980" spans="1:22" x14ac:dyDescent="0.2">
      <c r="A1980" t="str">
        <f>"372.42 BOO"</f>
        <v>372.42 BOO</v>
      </c>
      <c r="B1980" t="str">
        <f>"Born reading: bringing up bookworms in a"</f>
        <v>Born reading: bringing up bookworms in a</v>
      </c>
      <c r="C1980">
        <v>331593</v>
      </c>
      <c r="D1980" t="str">
        <f>"Boog, Jason."</f>
        <v>Boog, Jason.</v>
      </c>
      <c r="F1980" t="str">
        <f>"xxvii, 305 pages, 22 cm"</f>
        <v>xxvii, 305 pages, 22 cm</v>
      </c>
      <c r="G1980" s="1">
        <v>15</v>
      </c>
      <c r="H1980">
        <v>2014</v>
      </c>
      <c r="I1980" t="str">
        <f t="shared" si="76"/>
        <v>9: 300 - 399</v>
      </c>
      <c r="K1980" t="str">
        <f>"WB - In"</f>
        <v>WB - In</v>
      </c>
      <c r="L1980" s="1">
        <v>21</v>
      </c>
      <c r="M1980" t="s">
        <v>1848</v>
      </c>
      <c r="O1980" t="s">
        <v>28</v>
      </c>
      <c r="P1980">
        <v>1</v>
      </c>
      <c r="Q1980">
        <v>1</v>
      </c>
      <c r="R1980">
        <v>2</v>
      </c>
      <c r="S1980" s="2">
        <v>42326</v>
      </c>
      <c r="T1980" s="2">
        <v>42339</v>
      </c>
      <c r="U1980" s="2">
        <v>43153</v>
      </c>
      <c r="V1980" s="2">
        <v>43111</v>
      </c>
    </row>
    <row r="1981" spans="1:22" x14ac:dyDescent="0.2">
      <c r="A1981" t="str">
        <f>"372.46 BEC"</f>
        <v>372.46 BEC</v>
      </c>
      <c r="B1981" t="str">
        <f>"Making sense of phonics: the hows and wh"</f>
        <v>Making sense of phonics: the hows and wh</v>
      </c>
      <c r="C1981">
        <v>310337</v>
      </c>
      <c r="D1981" t="str">
        <f>"Beck, Isabel L."</f>
        <v>Beck, Isabel L.</v>
      </c>
      <c r="F1981" t="str">
        <f>"x, 134 p., 26 cm., ill."</f>
        <v>x, 134 p., 26 cm., ill.</v>
      </c>
      <c r="G1981" s="1">
        <v>12</v>
      </c>
      <c r="H1981">
        <v>2006</v>
      </c>
      <c r="I1981" t="str">
        <f t="shared" si="76"/>
        <v>9: 300 - 399</v>
      </c>
      <c r="K1981" t="str">
        <f>"WB - In"</f>
        <v>WB - In</v>
      </c>
      <c r="L1981" s="1">
        <v>31</v>
      </c>
      <c r="M1981" t="s">
        <v>1849</v>
      </c>
      <c r="O1981" t="s">
        <v>28</v>
      </c>
      <c r="P1981">
        <v>4</v>
      </c>
      <c r="Q1981">
        <v>2</v>
      </c>
      <c r="R1981">
        <v>12</v>
      </c>
      <c r="S1981" s="2">
        <v>41193</v>
      </c>
      <c r="T1981" s="2">
        <v>41199</v>
      </c>
      <c r="U1981" s="2">
        <v>43732</v>
      </c>
      <c r="V1981" s="2">
        <v>43018</v>
      </c>
    </row>
    <row r="1982" spans="1:22" x14ac:dyDescent="0.2">
      <c r="A1982" t="str">
        <f>"372.46 BIS"</f>
        <v>372.46 BIS</v>
      </c>
      <c r="B1982" t="str">
        <f>"ABC's and all their tricks: the complete"</f>
        <v>ABC's and all their tricks: the complete</v>
      </c>
      <c r="C1982">
        <v>260855</v>
      </c>
      <c r="D1982" t="str">
        <f>"Bishop, Margaret M."</f>
        <v>Bishop, Margaret M.</v>
      </c>
      <c r="F1982" t="str">
        <f>"342 p."</f>
        <v>342 p.</v>
      </c>
      <c r="G1982" s="1">
        <v>12</v>
      </c>
      <c r="H1982">
        <v>2006</v>
      </c>
      <c r="I1982" t="str">
        <f t="shared" si="76"/>
        <v>9: 300 - 399</v>
      </c>
      <c r="K1982" t="str">
        <f>"LL - In"</f>
        <v>LL - In</v>
      </c>
      <c r="L1982" s="1">
        <v>21</v>
      </c>
      <c r="M1982" t="s">
        <v>1850</v>
      </c>
      <c r="O1982" t="s">
        <v>28</v>
      </c>
      <c r="P1982">
        <v>0</v>
      </c>
      <c r="Q1982">
        <v>1</v>
      </c>
      <c r="R1982">
        <v>10</v>
      </c>
      <c r="S1982" s="2">
        <v>41199</v>
      </c>
      <c r="T1982" s="2">
        <v>41205</v>
      </c>
      <c r="U1982" s="2">
        <v>42402</v>
      </c>
      <c r="V1982" s="2">
        <v>43283</v>
      </c>
    </row>
    <row r="1983" spans="1:22" x14ac:dyDescent="0.2">
      <c r="A1983" t="str">
        <f>"372.46 BLU"</f>
        <v>372.46 BLU</v>
      </c>
      <c r="B1983" t="str">
        <f>"Handy English encoder decoder: all the s"</f>
        <v>Handy English encoder decoder: all the s</v>
      </c>
      <c r="C1983">
        <v>260857</v>
      </c>
      <c r="D1983" t="str">
        <f>"Bluedorn, Harvey."</f>
        <v>Bluedorn, Harvey.</v>
      </c>
      <c r="F1983" t="str">
        <f>"101 p., 21 cm."</f>
        <v>101 p., 21 cm.</v>
      </c>
      <c r="G1983" s="1">
        <v>12</v>
      </c>
      <c r="H1983">
        <v>2004</v>
      </c>
      <c r="I1983" t="str">
        <f t="shared" si="76"/>
        <v>9: 300 - 399</v>
      </c>
      <c r="K1983" t="str">
        <f>"LL - In"</f>
        <v>LL - In</v>
      </c>
      <c r="L1983" s="1">
        <v>20</v>
      </c>
      <c r="M1983" t="s">
        <v>1851</v>
      </c>
      <c r="O1983" t="s">
        <v>28</v>
      </c>
      <c r="P1983">
        <v>1</v>
      </c>
      <c r="Q1983">
        <v>2</v>
      </c>
      <c r="R1983">
        <v>6</v>
      </c>
      <c r="S1983" s="2">
        <v>41199</v>
      </c>
      <c r="T1983" s="2">
        <v>41211</v>
      </c>
      <c r="U1983" s="2">
        <v>43283</v>
      </c>
      <c r="V1983" s="2">
        <v>43757</v>
      </c>
    </row>
    <row r="1984" spans="1:22" x14ac:dyDescent="0.2">
      <c r="A1984" t="str">
        <f>"372.46 PIN"</f>
        <v>372.46 PIN</v>
      </c>
      <c r="B1984" t="str">
        <f>"Sing a song of poetry: a teaching resour"</f>
        <v>Sing a song of poetry: a teaching resour</v>
      </c>
      <c r="C1984">
        <v>317132</v>
      </c>
      <c r="D1984" t="str">
        <f>"Pinnell, Gay Su."</f>
        <v>Pinnell, Gay Su.</v>
      </c>
      <c r="F1984" t="str">
        <f>"282 p., 28 cm"</f>
        <v>282 p., 28 cm</v>
      </c>
      <c r="G1984" s="1">
        <v>13</v>
      </c>
      <c r="H1984">
        <v>2004</v>
      </c>
      <c r="I1984" t="str">
        <f t="shared" si="76"/>
        <v>9: 300 - 399</v>
      </c>
      <c r="K1984" t="str">
        <f>"WB - In"</f>
        <v>WB - In</v>
      </c>
      <c r="L1984" s="1">
        <v>40</v>
      </c>
      <c r="M1984" t="s">
        <v>1852</v>
      </c>
      <c r="O1984" t="s">
        <v>28</v>
      </c>
      <c r="P1984">
        <v>3</v>
      </c>
      <c r="Q1984">
        <v>0</v>
      </c>
      <c r="R1984">
        <v>8</v>
      </c>
      <c r="S1984" s="2">
        <v>41550</v>
      </c>
      <c r="T1984" s="2">
        <v>41556</v>
      </c>
      <c r="U1984" s="2">
        <v>43299</v>
      </c>
    </row>
    <row r="1985" spans="1:22" x14ac:dyDescent="0.2">
      <c r="A1985" t="str">
        <f>"372.46 SPA"</f>
        <v>372.46 SPA</v>
      </c>
      <c r="B1985" t="str">
        <f>"writing road to reading: the Spalding me"</f>
        <v>writing road to reading: the Spalding me</v>
      </c>
      <c r="C1985">
        <v>260829</v>
      </c>
      <c r="D1985" t="str">
        <f>"Spalding, Romalda Bishop"</f>
        <v>Spalding, Romalda Bishop</v>
      </c>
      <c r="F1985" t="str">
        <f>"xxi, 450 p."</f>
        <v>xxi, 450 p.</v>
      </c>
      <c r="G1985" s="1">
        <v>12</v>
      </c>
      <c r="H1985">
        <v>2012</v>
      </c>
      <c r="I1985" t="str">
        <f t="shared" si="76"/>
        <v>9: 300 - 399</v>
      </c>
      <c r="K1985" t="str">
        <f>"LL - In"</f>
        <v>LL - In</v>
      </c>
      <c r="L1985" s="1">
        <v>33</v>
      </c>
      <c r="M1985" t="s">
        <v>1853</v>
      </c>
      <c r="O1985" t="s">
        <v>28</v>
      </c>
      <c r="P1985">
        <v>1</v>
      </c>
      <c r="Q1985">
        <v>2</v>
      </c>
      <c r="R1985">
        <v>12</v>
      </c>
      <c r="S1985" s="2">
        <v>41199</v>
      </c>
      <c r="T1985" s="2">
        <v>41204</v>
      </c>
      <c r="U1985" s="2">
        <v>43378</v>
      </c>
      <c r="V1985" s="2">
        <v>43615</v>
      </c>
    </row>
    <row r="1986" spans="1:22" x14ac:dyDescent="0.2">
      <c r="A1986" t="str">
        <f>"372.5 RUC"</f>
        <v>372.5 RUC</v>
      </c>
      <c r="B1986" t="str">
        <f>"Art workshop for children: how to foster"</f>
        <v>Art workshop for children: how to foster</v>
      </c>
      <c r="C1986">
        <v>340809</v>
      </c>
      <c r="D1986" t="str">
        <f>"Rucci, Barbara"</f>
        <v>Rucci, Barbara</v>
      </c>
      <c r="F1986" t="str">
        <f>"176 pages, 26 cm, color illustrations"</f>
        <v>176 pages, 26 cm, color illustrations</v>
      </c>
      <c r="G1986" s="1">
        <v>17</v>
      </c>
      <c r="H1986">
        <v>2016</v>
      </c>
      <c r="I1986" t="str">
        <f t="shared" si="76"/>
        <v>9: 300 - 399</v>
      </c>
      <c r="K1986" t="str">
        <f>"WB - In"</f>
        <v>WB - In</v>
      </c>
      <c r="L1986" s="1">
        <v>28</v>
      </c>
      <c r="M1986" t="s">
        <v>1854</v>
      </c>
      <c r="O1986" t="s">
        <v>28</v>
      </c>
      <c r="P1986">
        <v>8</v>
      </c>
      <c r="Q1986">
        <v>0</v>
      </c>
      <c r="R1986">
        <v>8</v>
      </c>
      <c r="S1986" s="2">
        <v>42842</v>
      </c>
      <c r="T1986" s="2">
        <v>42849</v>
      </c>
      <c r="U1986" s="2">
        <v>43690</v>
      </c>
    </row>
    <row r="1987" spans="1:22" x14ac:dyDescent="0.2">
      <c r="A1987" t="str">
        <f>"372.5 SOU"</f>
        <v>372.5 SOU</v>
      </c>
      <c r="B1987" t="str">
        <f>"From STEM to STEAM: brain-compatible str"</f>
        <v>From STEM to STEAM: brain-compatible str</v>
      </c>
      <c r="C1987">
        <v>355607</v>
      </c>
      <c r="D1987" t="str">
        <f>"Sousa, David A."</f>
        <v>Sousa, David A.</v>
      </c>
      <c r="F1987" t="str">
        <f>"xii, 248 pages, 28 cm, illustrations"</f>
        <v>xii, 248 pages, 28 cm, illustrations</v>
      </c>
      <c r="G1987" s="1">
        <v>19</v>
      </c>
      <c r="H1987">
        <v>2018</v>
      </c>
      <c r="I1987" t="str">
        <f t="shared" si="76"/>
        <v>9: 300 - 399</v>
      </c>
      <c r="K1987" t="str">
        <f>"WB - In"</f>
        <v>WB - In</v>
      </c>
      <c r="L1987" s="1">
        <v>38</v>
      </c>
      <c r="M1987" t="s">
        <v>1855</v>
      </c>
      <c r="O1987" t="s">
        <v>28</v>
      </c>
      <c r="P1987">
        <v>0</v>
      </c>
      <c r="Q1987">
        <v>0</v>
      </c>
      <c r="R1987">
        <v>0</v>
      </c>
      <c r="S1987" s="2">
        <v>43633</v>
      </c>
      <c r="T1987" s="2">
        <v>43657</v>
      </c>
    </row>
    <row r="1988" spans="1:22" x14ac:dyDescent="0.2">
      <c r="A1988" t="str">
        <f>"372.5 TUL"</f>
        <v>372.5 TUL</v>
      </c>
      <c r="B1988" t="str">
        <f>"Art workshops for children"</f>
        <v>Art workshops for children</v>
      </c>
      <c r="C1988">
        <v>334042</v>
      </c>
      <c r="D1988" t="str">
        <f>"Tullet, Herv�."</f>
        <v>Tullet, Herv�.</v>
      </c>
      <c r="F1988" t="str">
        <f>"67 pages, 30 cm, color illustrations"</f>
        <v>67 pages, 30 cm, color illustrations</v>
      </c>
      <c r="G1988" s="1">
        <v>16</v>
      </c>
      <c r="H1988">
        <v>2015</v>
      </c>
      <c r="I1988" t="str">
        <f t="shared" si="76"/>
        <v>9: 300 - 399</v>
      </c>
      <c r="K1988" t="str">
        <f>"WB - In"</f>
        <v>WB - In</v>
      </c>
      <c r="L1988" s="1">
        <v>25</v>
      </c>
      <c r="M1988" t="s">
        <v>1856</v>
      </c>
      <c r="O1988" t="s">
        <v>28</v>
      </c>
      <c r="P1988">
        <v>5</v>
      </c>
      <c r="Q1988">
        <v>1</v>
      </c>
      <c r="R1988">
        <v>8</v>
      </c>
      <c r="S1988" s="2">
        <v>42457</v>
      </c>
      <c r="T1988" s="2">
        <v>42465</v>
      </c>
      <c r="U1988" s="2">
        <v>43690</v>
      </c>
      <c r="V1988" s="2">
        <v>43649</v>
      </c>
    </row>
    <row r="1989" spans="1:22" x14ac:dyDescent="0.2">
      <c r="A1989" t="str">
        <f>"372.6 GRA"</f>
        <v>372.6 GRA</v>
      </c>
      <c r="B1989" t="str">
        <f>"Write from the start: tapping your child"</f>
        <v>Write from the start: tapping your child</v>
      </c>
      <c r="C1989">
        <v>97505</v>
      </c>
      <c r="D1989" t="str">
        <f>"Graves, Donald"</f>
        <v>Graves, Donald</v>
      </c>
      <c r="F1989" t="str">
        <f>"237 p."</f>
        <v>237 p.</v>
      </c>
      <c r="G1989">
        <v>0</v>
      </c>
      <c r="H1989">
        <v>1985</v>
      </c>
      <c r="I1989" t="str">
        <f t="shared" si="76"/>
        <v>9: 300 - 399</v>
      </c>
      <c r="K1989" t="str">
        <f>"WB - In"</f>
        <v>WB - In</v>
      </c>
      <c r="L1989" s="1">
        <v>22</v>
      </c>
      <c r="M1989" t="s">
        <v>1857</v>
      </c>
      <c r="O1989" t="s">
        <v>28</v>
      </c>
      <c r="P1989">
        <v>1</v>
      </c>
      <c r="Q1989">
        <v>0</v>
      </c>
      <c r="R1989">
        <v>34</v>
      </c>
      <c r="S1989" s="2">
        <v>36691</v>
      </c>
      <c r="T1989" s="2">
        <v>41053</v>
      </c>
      <c r="U1989" s="2">
        <v>42947</v>
      </c>
      <c r="V1989" s="2">
        <v>40941</v>
      </c>
    </row>
    <row r="1990" spans="1:22" x14ac:dyDescent="0.2">
      <c r="A1990" t="str">
        <f>"372.6 JOH"</f>
        <v>372.6 JOH</v>
      </c>
      <c r="B1990" t="str">
        <f>"Opening minds: using language to change "</f>
        <v xml:space="preserve">Opening minds: using language to change </v>
      </c>
      <c r="C1990">
        <v>354761</v>
      </c>
      <c r="D1990" t="str">
        <f>"Johnston, Peter H."</f>
        <v>Johnston, Peter H.</v>
      </c>
      <c r="F1990" t="str">
        <f>"viii, 152 p., 23 cm, ill."</f>
        <v>viii, 152 p., 23 cm, ill.</v>
      </c>
      <c r="G1990" s="1">
        <v>19</v>
      </c>
      <c r="H1990">
        <v>2012</v>
      </c>
      <c r="I1990" t="str">
        <f t="shared" si="76"/>
        <v>9: 300 - 399</v>
      </c>
      <c r="K1990" t="str">
        <f>"LL - In"</f>
        <v>LL - In</v>
      </c>
      <c r="L1990" s="1">
        <v>24</v>
      </c>
      <c r="M1990" t="s">
        <v>1858</v>
      </c>
      <c r="O1990" t="s">
        <v>28</v>
      </c>
      <c r="P1990">
        <v>2</v>
      </c>
      <c r="Q1990">
        <v>1</v>
      </c>
      <c r="R1990">
        <v>3</v>
      </c>
      <c r="S1990" s="2">
        <v>43602</v>
      </c>
      <c r="T1990" s="2">
        <v>43640</v>
      </c>
      <c r="U1990" s="2">
        <v>43766</v>
      </c>
      <c r="V1990" s="2">
        <v>43759</v>
      </c>
    </row>
    <row r="1991" spans="1:22" x14ac:dyDescent="0.2">
      <c r="A1991" t="str">
        <f>"372.6 JOH"</f>
        <v>372.6 JOH</v>
      </c>
      <c r="B1991" t="str">
        <f>"Opening minds: using language to change "</f>
        <v xml:space="preserve">Opening minds: using language to change </v>
      </c>
      <c r="C1991">
        <v>406861</v>
      </c>
      <c r="D1991" t="str">
        <f>"Johnston, Peter H."</f>
        <v>Johnston, Peter H.</v>
      </c>
      <c r="F1991" t="str">
        <f>"viii, 152 p., 23 cm, ill."</f>
        <v>viii, 152 p., 23 cm, ill.</v>
      </c>
      <c r="G1991" s="1">
        <v>19</v>
      </c>
      <c r="H1991">
        <v>2012</v>
      </c>
      <c r="I1991" t="str">
        <f t="shared" si="76"/>
        <v>9: 300 - 399</v>
      </c>
      <c r="K1991" t="str">
        <f>"LL - In"</f>
        <v>LL - In</v>
      </c>
      <c r="L1991" s="1">
        <v>24</v>
      </c>
      <c r="M1991" t="s">
        <v>1858</v>
      </c>
      <c r="O1991" t="s">
        <v>28</v>
      </c>
      <c r="P1991">
        <v>3</v>
      </c>
      <c r="Q1991">
        <v>1</v>
      </c>
      <c r="R1991">
        <v>4</v>
      </c>
      <c r="S1991" s="2">
        <v>43636</v>
      </c>
      <c r="T1991" s="2">
        <v>43640</v>
      </c>
      <c r="U1991" s="2">
        <v>43788</v>
      </c>
      <c r="V1991" s="2">
        <v>43794</v>
      </c>
    </row>
    <row r="1992" spans="1:22" x14ac:dyDescent="0.2">
      <c r="A1992" t="str">
        <f>"372.6 LEO"</f>
        <v>372.6 LEO</v>
      </c>
      <c r="B1992" t="str">
        <f>"99 ways to get kids to love writing: and"</f>
        <v>99 ways to get kids to love writing: and</v>
      </c>
      <c r="C1992">
        <v>213058</v>
      </c>
      <c r="D1992" t="str">
        <f>"Leonhardt, Mary"</f>
        <v>Leonhardt, Mary</v>
      </c>
      <c r="F1992" t="str">
        <f>"123 p."</f>
        <v>123 p.</v>
      </c>
      <c r="G1992" s="1">
        <v>8</v>
      </c>
      <c r="H1992">
        <v>1998</v>
      </c>
      <c r="I1992" t="str">
        <f t="shared" ref="I1992:I2055" si="77">"9: 300 - 399"</f>
        <v>9: 300 - 399</v>
      </c>
      <c r="K1992" t="str">
        <f>"WB - In"</f>
        <v>WB - In</v>
      </c>
      <c r="L1992" s="1">
        <v>20</v>
      </c>
      <c r="M1992" t="s">
        <v>1859</v>
      </c>
      <c r="O1992" t="s">
        <v>28</v>
      </c>
      <c r="P1992">
        <v>4</v>
      </c>
      <c r="Q1992">
        <v>0</v>
      </c>
      <c r="R1992">
        <v>31</v>
      </c>
      <c r="S1992" s="2">
        <v>39654</v>
      </c>
      <c r="T1992" s="2">
        <v>41053</v>
      </c>
      <c r="U1992" s="2">
        <v>43298</v>
      </c>
      <c r="V1992" s="2">
        <v>41877</v>
      </c>
    </row>
    <row r="1993" spans="1:22" x14ac:dyDescent="0.2">
      <c r="A1993" t="str">
        <f>"372.6 SER"</f>
        <v>372.6 SER</v>
      </c>
      <c r="B1993" t="str">
        <f>"writing strategies book: your everything"</f>
        <v>writing strategies book: your everything</v>
      </c>
      <c r="C1993">
        <v>344843</v>
      </c>
      <c r="D1993" t="str">
        <f>"Serravallo, Jennifer"</f>
        <v>Serravallo, Jennifer</v>
      </c>
      <c r="F1993" t="str">
        <f>"xii, 410 pages, 26 cm, color illustrations"</f>
        <v>xii, 410 pages, 26 cm, color illustrations</v>
      </c>
      <c r="G1993" s="1">
        <v>17</v>
      </c>
      <c r="H1993">
        <v>2017</v>
      </c>
      <c r="I1993" t="str">
        <f t="shared" si="77"/>
        <v>9: 300 - 399</v>
      </c>
      <c r="K1993" t="str">
        <f>"LL - In"</f>
        <v>LL - In</v>
      </c>
      <c r="L1993" s="1">
        <v>53</v>
      </c>
      <c r="M1993" t="s">
        <v>1860</v>
      </c>
      <c r="O1993" t="s">
        <v>28</v>
      </c>
      <c r="P1993">
        <v>4</v>
      </c>
      <c r="Q1993">
        <v>1</v>
      </c>
      <c r="R1993">
        <v>5</v>
      </c>
      <c r="S1993" s="2">
        <v>43067</v>
      </c>
      <c r="T1993" s="2">
        <v>43075</v>
      </c>
      <c r="U1993" s="2">
        <v>43775</v>
      </c>
      <c r="V1993" s="2">
        <v>43276</v>
      </c>
    </row>
    <row r="1994" spans="1:22" x14ac:dyDescent="0.2">
      <c r="A1994" t="str">
        <f>"372.63 SAN"</f>
        <v>372.63 SAN</v>
      </c>
      <c r="B1994" t="str">
        <f>"Wise guide for spelling: words, instruct"</f>
        <v>Wise guide for spelling: words, instruct</v>
      </c>
      <c r="C1994">
        <v>260827</v>
      </c>
      <c r="D1994" t="str">
        <f>"Sanseri, Wanda"</f>
        <v>Sanseri, Wanda</v>
      </c>
      <c r="F1994" t="str">
        <f>"xii, 242 p."</f>
        <v>xii, 242 p.</v>
      </c>
      <c r="G1994" s="1">
        <v>12</v>
      </c>
      <c r="H1994">
        <v>2003</v>
      </c>
      <c r="I1994" t="str">
        <f t="shared" si="77"/>
        <v>9: 300 - 399</v>
      </c>
      <c r="K1994" t="str">
        <f t="shared" ref="K1994:K1999" si="78">"WB - In"</f>
        <v>WB - In</v>
      </c>
      <c r="L1994" s="1">
        <v>40</v>
      </c>
      <c r="M1994" t="s">
        <v>1861</v>
      </c>
      <c r="O1994" t="s">
        <v>28</v>
      </c>
      <c r="P1994">
        <v>5</v>
      </c>
      <c r="Q1994">
        <v>0</v>
      </c>
      <c r="R1994">
        <v>16</v>
      </c>
      <c r="S1994" s="2">
        <v>41199</v>
      </c>
      <c r="T1994" s="2">
        <v>41255</v>
      </c>
      <c r="U1994" s="2">
        <v>43676</v>
      </c>
      <c r="V1994" s="2">
        <v>41961</v>
      </c>
    </row>
    <row r="1995" spans="1:22" x14ac:dyDescent="0.2">
      <c r="A1995" t="str">
        <f>"373 FIN"</f>
        <v>373 FIN</v>
      </c>
      <c r="B1995" t="str">
        <f>"Exam schools: inside America's most sele"</f>
        <v>Exam schools: inside America's most sele</v>
      </c>
      <c r="C1995">
        <v>310923</v>
      </c>
      <c r="D1995" t="str">
        <f>"Finn, Chester E.,"</f>
        <v>Finn, Chester E.,</v>
      </c>
      <c r="F1995" t="str">
        <f>"viii, 255 p., 24 cm., ill."</f>
        <v>viii, 255 p., 24 cm., ill.</v>
      </c>
      <c r="G1995" s="1">
        <v>12</v>
      </c>
      <c r="H1995">
        <v>2012</v>
      </c>
      <c r="I1995" t="str">
        <f t="shared" si="77"/>
        <v>9: 300 - 399</v>
      </c>
      <c r="K1995" t="str">
        <f t="shared" si="78"/>
        <v>WB - In</v>
      </c>
      <c r="L1995" s="1">
        <v>30</v>
      </c>
      <c r="M1995" t="s">
        <v>1862</v>
      </c>
      <c r="O1995" t="s">
        <v>28</v>
      </c>
      <c r="P1995">
        <v>1</v>
      </c>
      <c r="Q1995">
        <v>0</v>
      </c>
      <c r="R1995">
        <v>10</v>
      </c>
      <c r="S1995" s="2">
        <v>41219</v>
      </c>
      <c r="T1995" s="2">
        <v>41325</v>
      </c>
      <c r="U1995" s="2">
        <v>42768</v>
      </c>
      <c r="V1995" s="2">
        <v>41954</v>
      </c>
    </row>
    <row r="1996" spans="1:22" x14ac:dyDescent="0.2">
      <c r="A1996" t="str">
        <f>"373 LEM"</f>
        <v>373 LEM</v>
      </c>
      <c r="B1996" t="str">
        <f>"Planet middle school: helping your child"</f>
        <v>Planet middle school: helping your child</v>
      </c>
      <c r="C1996">
        <v>330616</v>
      </c>
      <c r="D1996" t="str">
        <f>"Leman, Kevin"</f>
        <v>Leman, Kevin</v>
      </c>
      <c r="F1996" t="str">
        <f>"309 pages, 23 cm"</f>
        <v>309 pages, 23 cm</v>
      </c>
      <c r="G1996" s="1">
        <v>15</v>
      </c>
      <c r="H1996">
        <v>2015</v>
      </c>
      <c r="I1996" t="str">
        <f t="shared" si="77"/>
        <v>9: 300 - 399</v>
      </c>
      <c r="K1996" t="str">
        <f t="shared" si="78"/>
        <v>WB - In</v>
      </c>
      <c r="L1996" s="1">
        <v>23</v>
      </c>
      <c r="M1996" t="s">
        <v>1863</v>
      </c>
      <c r="O1996" t="s">
        <v>28</v>
      </c>
      <c r="P1996">
        <v>2</v>
      </c>
      <c r="Q1996">
        <v>0</v>
      </c>
      <c r="R1996">
        <v>8</v>
      </c>
      <c r="S1996" s="2">
        <v>42292</v>
      </c>
      <c r="T1996" s="2">
        <v>42451</v>
      </c>
      <c r="U1996" s="2">
        <v>42897</v>
      </c>
    </row>
    <row r="1997" spans="1:22" x14ac:dyDescent="0.2">
      <c r="A1997" t="str">
        <f>"373 POP"</f>
        <v>373 POP</v>
      </c>
      <c r="B1997" t="str">
        <f>"""Doing school"": how we are creating a ge"</f>
        <v>"Doing school": how we are creating a ge</v>
      </c>
      <c r="C1997">
        <v>357751</v>
      </c>
      <c r="D1997" t="str">
        <f>"Pope, Denise Clark,"</f>
        <v>Pope, Denise Clark,</v>
      </c>
      <c r="F1997" t="str">
        <f>"xvii, 212 p., 23 cm"</f>
        <v>xvii, 212 p., 23 cm</v>
      </c>
      <c r="G1997" s="1">
        <v>19</v>
      </c>
      <c r="H1997">
        <v>2001</v>
      </c>
      <c r="I1997" t="str">
        <f t="shared" si="77"/>
        <v>9: 300 - 399</v>
      </c>
      <c r="K1997" t="str">
        <f t="shared" si="78"/>
        <v>WB - In</v>
      </c>
      <c r="L1997" s="1">
        <v>20</v>
      </c>
      <c r="M1997" t="s">
        <v>1864</v>
      </c>
      <c r="O1997" t="s">
        <v>28</v>
      </c>
      <c r="P1997">
        <v>0</v>
      </c>
      <c r="Q1997">
        <v>0</v>
      </c>
      <c r="R1997">
        <v>0</v>
      </c>
      <c r="S1997" s="2">
        <v>43725</v>
      </c>
      <c r="T1997" s="2">
        <v>43781</v>
      </c>
    </row>
    <row r="1998" spans="1:22" x14ac:dyDescent="0.2">
      <c r="A1998" t="str">
        <f>"373 WAG"</f>
        <v>373 WAG</v>
      </c>
      <c r="B1998" t="str">
        <f>"Creating innovators: the making of young"</f>
        <v>Creating innovators: the making of young</v>
      </c>
      <c r="C1998">
        <v>333212</v>
      </c>
      <c r="D1998" t="str">
        <f>"Wagner, Tony."</f>
        <v>Wagner, Tony.</v>
      </c>
      <c r="F1998" t="str">
        <f>"p. cm."</f>
        <v>p. cm.</v>
      </c>
      <c r="G1998" s="1">
        <v>16</v>
      </c>
      <c r="H1998">
        <v>2012</v>
      </c>
      <c r="I1998" t="str">
        <f t="shared" si="77"/>
        <v>9: 300 - 399</v>
      </c>
      <c r="K1998" t="str">
        <f t="shared" si="78"/>
        <v>WB - In</v>
      </c>
      <c r="L1998" s="1">
        <v>22</v>
      </c>
      <c r="M1998" t="s">
        <v>1865</v>
      </c>
      <c r="O1998" t="s">
        <v>28</v>
      </c>
      <c r="P1998">
        <v>0</v>
      </c>
      <c r="Q1998">
        <v>1</v>
      </c>
      <c r="R1998">
        <v>5</v>
      </c>
      <c r="S1998" s="2">
        <v>42416</v>
      </c>
      <c r="T1998" s="2">
        <v>42423</v>
      </c>
      <c r="U1998" s="2">
        <v>42657</v>
      </c>
      <c r="V1998" s="2">
        <v>43430</v>
      </c>
    </row>
    <row r="1999" spans="1:22" x14ac:dyDescent="0.2">
      <c r="A1999" t="str">
        <f>"373.1 GED"</f>
        <v>373.1 GED</v>
      </c>
      <c r="B1999" t="str">
        <f>"Barron's how to prepare for the GED test"</f>
        <v>Barron's how to prepare for the GED test</v>
      </c>
      <c r="C1999">
        <v>340932</v>
      </c>
      <c r="F1999" t="str">
        <f>"756 p., 28 cm, ill."</f>
        <v>756 p., 28 cm, ill.</v>
      </c>
      <c r="G1999" s="1">
        <v>17</v>
      </c>
      <c r="H1999">
        <v>2017</v>
      </c>
      <c r="I1999" t="str">
        <f t="shared" si="77"/>
        <v>9: 300 - 399</v>
      </c>
      <c r="K1999" t="str">
        <f t="shared" si="78"/>
        <v>WB - In</v>
      </c>
      <c r="L1999" s="1">
        <v>24</v>
      </c>
      <c r="M1999" t="s">
        <v>1866</v>
      </c>
      <c r="O1999" t="s">
        <v>28</v>
      </c>
      <c r="P1999">
        <v>3</v>
      </c>
      <c r="Q1999">
        <v>1</v>
      </c>
      <c r="R1999">
        <v>4</v>
      </c>
      <c r="S1999" s="2">
        <v>42849</v>
      </c>
      <c r="T1999" s="2">
        <v>42850</v>
      </c>
      <c r="U1999" s="2">
        <v>43497</v>
      </c>
      <c r="V1999" s="2">
        <v>42947</v>
      </c>
    </row>
    <row r="2000" spans="1:22" x14ac:dyDescent="0.2">
      <c r="A2000" t="str">
        <f>"373.1 GED"</f>
        <v>373.1 GED</v>
      </c>
      <c r="B2000" t="str">
        <f>"Barron's how to prepare for the GED test"</f>
        <v>Barron's how to prepare for the GED test</v>
      </c>
      <c r="C2000">
        <v>340933</v>
      </c>
      <c r="F2000" t="str">
        <f>"756 p., 28 cm, ill."</f>
        <v>756 p., 28 cm, ill.</v>
      </c>
      <c r="G2000" s="1">
        <v>17</v>
      </c>
      <c r="H2000">
        <v>2017</v>
      </c>
      <c r="I2000" t="str">
        <f t="shared" si="77"/>
        <v>9: 300 - 399</v>
      </c>
      <c r="K2000" t="str">
        <f>"LL - In"</f>
        <v>LL - In</v>
      </c>
      <c r="L2000" s="1">
        <v>24</v>
      </c>
      <c r="M2000" t="s">
        <v>1866</v>
      </c>
      <c r="O2000" t="s">
        <v>28</v>
      </c>
      <c r="P2000">
        <v>1</v>
      </c>
      <c r="Q2000">
        <v>2</v>
      </c>
      <c r="R2000">
        <v>3</v>
      </c>
      <c r="S2000" s="2">
        <v>42849</v>
      </c>
      <c r="T2000" s="2">
        <v>42850</v>
      </c>
      <c r="U2000" s="2">
        <v>43376</v>
      </c>
      <c r="V2000" s="2">
        <v>43592</v>
      </c>
    </row>
    <row r="2001" spans="1:22" x14ac:dyDescent="0.2">
      <c r="A2001" t="str">
        <f>"374 BRO"</f>
        <v>374 BRO</v>
      </c>
      <c r="B2001" t="str">
        <f>"1100 words you need to know, 6th edition"</f>
        <v>1100 words you need to know, 6th edition</v>
      </c>
      <c r="C2001">
        <v>264380</v>
      </c>
      <c r="D2001" t="str">
        <f>"Bromberg, Murray"</f>
        <v>Bromberg, Murray</v>
      </c>
      <c r="F2001" t="str">
        <f>"404 p."</f>
        <v>404 p.</v>
      </c>
      <c r="G2001" s="1">
        <v>13</v>
      </c>
      <c r="H2001">
        <v>2013</v>
      </c>
      <c r="I2001" t="str">
        <f t="shared" si="77"/>
        <v>9: 300 - 399</v>
      </c>
      <c r="K2001" t="str">
        <f>"WB - In"</f>
        <v>WB - In</v>
      </c>
      <c r="L2001" s="1">
        <v>19</v>
      </c>
      <c r="M2001" t="s">
        <v>1867</v>
      </c>
      <c r="O2001" t="s">
        <v>28</v>
      </c>
      <c r="P2001">
        <v>6</v>
      </c>
      <c r="Q2001">
        <v>0</v>
      </c>
      <c r="R2001">
        <v>20</v>
      </c>
      <c r="S2001" s="2">
        <v>41346</v>
      </c>
      <c r="T2001" s="2">
        <v>41348</v>
      </c>
      <c r="U2001" s="2">
        <v>43665</v>
      </c>
    </row>
    <row r="2002" spans="1:22" x14ac:dyDescent="0.2">
      <c r="A2002" t="str">
        <f>"374 CLE"</f>
        <v>374 CLE</v>
      </c>
      <c r="B2002" t="str">
        <f>"1500 words in 15 minutes a day: a year-l"</f>
        <v>1500 words in 15 minutes a day: a year-l</v>
      </c>
      <c r="C2002">
        <v>213051</v>
      </c>
      <c r="D2002" t="str">
        <f>"Cleveland, Ceil"</f>
        <v>Cleveland, Ceil</v>
      </c>
      <c r="F2002" t="str">
        <f>"430 p."</f>
        <v>430 p.</v>
      </c>
      <c r="G2002" s="1">
        <v>8</v>
      </c>
      <c r="H2002">
        <v>2005</v>
      </c>
      <c r="I2002" t="str">
        <f t="shared" si="77"/>
        <v>9: 300 - 399</v>
      </c>
      <c r="K2002" t="str">
        <f>"LL - In"</f>
        <v>LL - In</v>
      </c>
      <c r="L2002" s="1">
        <v>18</v>
      </c>
      <c r="M2002" t="s">
        <v>1868</v>
      </c>
      <c r="O2002" t="s">
        <v>28</v>
      </c>
      <c r="P2002">
        <v>6</v>
      </c>
      <c r="Q2002">
        <v>0</v>
      </c>
      <c r="R2002">
        <v>38</v>
      </c>
      <c r="S2002" s="2">
        <v>39654</v>
      </c>
      <c r="T2002" s="2">
        <v>41053</v>
      </c>
      <c r="U2002" s="2">
        <v>43306</v>
      </c>
      <c r="V2002" s="2">
        <v>41844</v>
      </c>
    </row>
    <row r="2003" spans="1:22" x14ac:dyDescent="0.2">
      <c r="A2003" t="str">
        <f>"374 ROB"</f>
        <v>374 ROB</v>
      </c>
      <c r="B2003" t="str">
        <f>"Word smart II: how to build a more educa"</f>
        <v>Word smart II: how to build a more educa</v>
      </c>
      <c r="C2003">
        <v>156604</v>
      </c>
      <c r="D2003" t="str">
        <f>"Robinson, Adam"</f>
        <v>Robinson, Adam</v>
      </c>
      <c r="E2003" t="str">
        <f>"Princeton Review series"</f>
        <v>Princeton Review series</v>
      </c>
      <c r="F2003" t="str">
        <f>"296 p."</f>
        <v>296 p.</v>
      </c>
      <c r="G2003" s="1">
        <v>1</v>
      </c>
      <c r="H2003">
        <v>1993</v>
      </c>
      <c r="I2003" t="str">
        <f t="shared" si="77"/>
        <v>9: 300 - 399</v>
      </c>
      <c r="K2003" t="str">
        <f>"LL - In"</f>
        <v>LL - In</v>
      </c>
      <c r="L2003" s="1">
        <v>15</v>
      </c>
      <c r="M2003" t="s">
        <v>1869</v>
      </c>
      <c r="O2003" t="s">
        <v>28</v>
      </c>
      <c r="P2003">
        <v>5</v>
      </c>
      <c r="Q2003">
        <v>2</v>
      </c>
      <c r="R2003">
        <v>51</v>
      </c>
      <c r="S2003" s="2">
        <v>37166</v>
      </c>
      <c r="T2003" s="2">
        <v>41053</v>
      </c>
      <c r="U2003" s="2">
        <v>43585</v>
      </c>
      <c r="V2003" s="2">
        <v>42916</v>
      </c>
    </row>
    <row r="2004" spans="1:22" x14ac:dyDescent="0.2">
      <c r="A2004" t="str">
        <f>"374 STA"</f>
        <v>374 STA</v>
      </c>
      <c r="B2004" t="str">
        <f>"Don't go back to school: a handbook for "</f>
        <v xml:space="preserve">Don't go back to school: a handbook for </v>
      </c>
      <c r="C2004">
        <v>274224</v>
      </c>
      <c r="D2004" t="str">
        <f>"Stark, Kio."</f>
        <v>Stark, Kio.</v>
      </c>
      <c r="F2004" t="str">
        <f>"204 p., 21 cm, ill."</f>
        <v>204 p., 21 cm, ill.</v>
      </c>
      <c r="G2004" s="1">
        <v>14</v>
      </c>
      <c r="H2004">
        <v>2013</v>
      </c>
      <c r="I2004" t="str">
        <f t="shared" si="77"/>
        <v>9: 300 - 399</v>
      </c>
      <c r="K2004" t="str">
        <f>"WB - In"</f>
        <v>WB - In</v>
      </c>
      <c r="L2004" s="1">
        <v>21</v>
      </c>
      <c r="M2004" t="s">
        <v>1870</v>
      </c>
      <c r="O2004" t="s">
        <v>28</v>
      </c>
      <c r="P2004">
        <v>1</v>
      </c>
      <c r="Q2004">
        <v>1</v>
      </c>
      <c r="R2004">
        <v>13</v>
      </c>
      <c r="S2004" s="2">
        <v>41793</v>
      </c>
      <c r="T2004" s="2">
        <v>41796</v>
      </c>
      <c r="U2004" s="2">
        <v>43306</v>
      </c>
      <c r="V2004" s="2">
        <v>42967</v>
      </c>
    </row>
    <row r="2005" spans="1:22" x14ac:dyDescent="0.2">
      <c r="A2005" t="str">
        <f>"378 ADM"</f>
        <v>378 ADM</v>
      </c>
      <c r="B2005" t="str">
        <f>"Admission Zen: the stress free pat [DVD]"</f>
        <v>Admission Zen: the stress free pat [DVD]</v>
      </c>
      <c r="C2005">
        <v>242849</v>
      </c>
      <c r="D2005" t="str">
        <f>"Jardine, Carlin"</f>
        <v>Jardine, Carlin</v>
      </c>
      <c r="F2005" t="str">
        <f>"1 disc, 40 min., 4 3/4 in., sd., col."</f>
        <v>1 disc, 40 min., 4 3/4 in., sd., col.</v>
      </c>
      <c r="G2005" s="1">
        <v>10</v>
      </c>
      <c r="H2005">
        <v>2008</v>
      </c>
      <c r="I2005" t="str">
        <f t="shared" si="77"/>
        <v>9: 300 - 399</v>
      </c>
      <c r="K2005" t="str">
        <f>"WB - In"</f>
        <v>WB - In</v>
      </c>
      <c r="L2005" s="1">
        <v>30</v>
      </c>
      <c r="O2005" t="s">
        <v>28</v>
      </c>
      <c r="P2005">
        <v>2</v>
      </c>
      <c r="Q2005">
        <v>0</v>
      </c>
      <c r="R2005">
        <v>23</v>
      </c>
      <c r="S2005" s="2">
        <v>40519</v>
      </c>
      <c r="T2005" s="2">
        <v>43595</v>
      </c>
      <c r="U2005" s="2">
        <v>43296</v>
      </c>
      <c r="V2005" s="2">
        <v>42223</v>
      </c>
    </row>
    <row r="2006" spans="1:22" x14ac:dyDescent="0.2">
      <c r="A2006" t="str">
        <f>"378 AOU"</f>
        <v>378 AOU</v>
      </c>
      <c r="B2006" t="str">
        <f>"Robot-proof: higher education in the age"</f>
        <v>Robot-proof: higher education in the age</v>
      </c>
      <c r="C2006">
        <v>351297</v>
      </c>
      <c r="D2006" t="str">
        <f>"Aoun, Joseph E."</f>
        <v>Aoun, Joseph E.</v>
      </c>
      <c r="F2006" t="str">
        <f>"149 p."</f>
        <v>149 p.</v>
      </c>
      <c r="G2006" s="1">
        <v>18</v>
      </c>
      <c r="H2006">
        <v>2018</v>
      </c>
      <c r="I2006" t="str">
        <f t="shared" si="77"/>
        <v>9: 300 - 399</v>
      </c>
      <c r="K2006" t="str">
        <f>"WB - In"</f>
        <v>WB - In</v>
      </c>
      <c r="L2006" s="1">
        <v>23</v>
      </c>
      <c r="M2006" t="s">
        <v>1871</v>
      </c>
      <c r="O2006" t="s">
        <v>28</v>
      </c>
      <c r="P2006">
        <v>7</v>
      </c>
      <c r="Q2006">
        <v>1</v>
      </c>
      <c r="R2006">
        <v>8</v>
      </c>
      <c r="S2006" s="2">
        <v>43418</v>
      </c>
      <c r="T2006" s="2">
        <v>43614</v>
      </c>
      <c r="U2006" s="2">
        <v>43605</v>
      </c>
      <c r="V2006" s="2">
        <v>43615</v>
      </c>
    </row>
    <row r="2007" spans="1:22" x14ac:dyDescent="0.2">
      <c r="A2007" t="str">
        <f>"378 ARU"</f>
        <v>378 ARU</v>
      </c>
      <c r="B2007" t="str">
        <f>"Academically adrift: limited learning on"</f>
        <v>Academically adrift: limited learning on</v>
      </c>
      <c r="C2007">
        <v>246549</v>
      </c>
      <c r="D2007" t="str">
        <f>"Arum, Richard."</f>
        <v>Arum, Richard.</v>
      </c>
      <c r="F2007" t="str">
        <f>"xi, 259 p., 23 cm., ill."</f>
        <v>xi, 259 p., 23 cm., ill.</v>
      </c>
      <c r="G2007" s="1">
        <v>11</v>
      </c>
      <c r="H2007">
        <v>2011</v>
      </c>
      <c r="I2007" t="str">
        <f t="shared" si="77"/>
        <v>9: 300 - 399</v>
      </c>
      <c r="K2007" t="str">
        <f>"LL - In"</f>
        <v>LL - In</v>
      </c>
      <c r="L2007" s="1">
        <v>20</v>
      </c>
      <c r="M2007" t="s">
        <v>1872</v>
      </c>
      <c r="O2007" t="s">
        <v>28</v>
      </c>
      <c r="P2007">
        <v>0</v>
      </c>
      <c r="Q2007">
        <v>1</v>
      </c>
      <c r="R2007">
        <v>10</v>
      </c>
      <c r="S2007" s="2">
        <v>40627</v>
      </c>
      <c r="T2007" s="2">
        <v>41053</v>
      </c>
      <c r="U2007" s="2">
        <v>42272</v>
      </c>
      <c r="V2007" s="2">
        <v>43757</v>
      </c>
    </row>
    <row r="2008" spans="1:22" x14ac:dyDescent="0.2">
      <c r="A2008" t="str">
        <f>"378 AXT"</f>
        <v>378 AXT</v>
      </c>
      <c r="B2008" t="str">
        <f>"Wisdom's workshop: the rise of the moder"</f>
        <v>Wisdom's workshop: the rise of the moder</v>
      </c>
      <c r="C2008">
        <v>334619</v>
      </c>
      <c r="D2008" t="str">
        <f>"Axtell, James."</f>
        <v>Axtell, James.</v>
      </c>
      <c r="F2008" t="str">
        <f>"417 p."</f>
        <v>417 p.</v>
      </c>
      <c r="G2008" s="1">
        <v>16</v>
      </c>
      <c r="H2008">
        <v>2016</v>
      </c>
      <c r="I2008" t="str">
        <f t="shared" si="77"/>
        <v>9: 300 - 399</v>
      </c>
      <c r="K2008" t="str">
        <f>"LL - In"</f>
        <v>LL - In</v>
      </c>
      <c r="L2008" s="1">
        <v>40</v>
      </c>
      <c r="M2008" t="s">
        <v>1873</v>
      </c>
      <c r="O2008" t="s">
        <v>28</v>
      </c>
      <c r="P2008">
        <v>0</v>
      </c>
      <c r="Q2008">
        <v>1</v>
      </c>
      <c r="R2008">
        <v>3</v>
      </c>
      <c r="S2008" s="2">
        <v>42478</v>
      </c>
      <c r="T2008" s="2">
        <v>42660</v>
      </c>
      <c r="U2008" s="2">
        <v>42567</v>
      </c>
      <c r="V2008" s="2">
        <v>43757</v>
      </c>
    </row>
    <row r="2009" spans="1:22" x14ac:dyDescent="0.2">
      <c r="A2009" t="str">
        <f>"378 BAR"</f>
        <v>378 BAR</v>
      </c>
      <c r="B2009" t="str">
        <f>"Barron's profiles of American colleges 2"</f>
        <v>Barron's profiles of American colleges 2</v>
      </c>
      <c r="C2009">
        <v>296401</v>
      </c>
      <c r="F2009" t="str">
        <f>"1594 p."</f>
        <v>1594 p.</v>
      </c>
      <c r="G2009" s="1">
        <v>17</v>
      </c>
      <c r="H2009">
        <v>2017</v>
      </c>
      <c r="I2009" t="str">
        <f t="shared" si="77"/>
        <v>9: 300 - 399</v>
      </c>
      <c r="K2009" t="str">
        <f>"LL - In"</f>
        <v>LL - In</v>
      </c>
      <c r="L2009" s="1">
        <v>35</v>
      </c>
      <c r="O2009" t="s">
        <v>28</v>
      </c>
      <c r="P2009">
        <v>0</v>
      </c>
      <c r="Q2009">
        <v>1</v>
      </c>
      <c r="R2009">
        <v>1</v>
      </c>
      <c r="S2009" s="2">
        <v>42946</v>
      </c>
      <c r="T2009" s="2">
        <v>42949</v>
      </c>
      <c r="V2009" s="2">
        <v>43757</v>
      </c>
    </row>
    <row r="2010" spans="1:22" x14ac:dyDescent="0.2">
      <c r="A2010" t="str">
        <f>"378 BAR"</f>
        <v>378 BAR</v>
      </c>
      <c r="B2010" t="str">
        <f>"Barron's profiles of American colleges 2"</f>
        <v>Barron's profiles of American colleges 2</v>
      </c>
      <c r="C2010">
        <v>349045</v>
      </c>
      <c r="F2010" t="str">
        <f>"1594 p."</f>
        <v>1594 p.</v>
      </c>
      <c r="G2010" s="1">
        <v>18</v>
      </c>
      <c r="H2010">
        <v>2018</v>
      </c>
      <c r="I2010" t="str">
        <f t="shared" si="77"/>
        <v>9: 300 - 399</v>
      </c>
      <c r="K2010" t="str">
        <f>"WB - In"</f>
        <v>WB - In</v>
      </c>
      <c r="L2010" s="1">
        <v>35</v>
      </c>
      <c r="O2010" t="s">
        <v>28</v>
      </c>
      <c r="P2010">
        <v>5</v>
      </c>
      <c r="Q2010">
        <v>0</v>
      </c>
      <c r="R2010">
        <v>5</v>
      </c>
      <c r="S2010" s="2">
        <v>43321</v>
      </c>
      <c r="T2010" s="2">
        <v>43325</v>
      </c>
      <c r="U2010" s="2">
        <v>43839</v>
      </c>
    </row>
    <row r="2011" spans="1:22" x14ac:dyDescent="0.2">
      <c r="A2011" t="str">
        <f>"378 BAR"</f>
        <v>378 BAR</v>
      </c>
      <c r="B2011" t="str">
        <f>"Barron's profiles of American colleges 2"</f>
        <v>Barron's profiles of American colleges 2</v>
      </c>
      <c r="C2011">
        <v>349046</v>
      </c>
      <c r="F2011" t="str">
        <f>"1594 p."</f>
        <v>1594 p.</v>
      </c>
      <c r="G2011" s="1">
        <v>18</v>
      </c>
      <c r="H2011">
        <v>2018</v>
      </c>
      <c r="I2011" t="str">
        <f t="shared" si="77"/>
        <v>9: 300 - 399</v>
      </c>
      <c r="K2011" t="str">
        <f>"WB - In"</f>
        <v>WB - In</v>
      </c>
      <c r="L2011" s="1">
        <v>35</v>
      </c>
      <c r="O2011" t="s">
        <v>28</v>
      </c>
      <c r="P2011">
        <v>2</v>
      </c>
      <c r="Q2011">
        <v>2</v>
      </c>
      <c r="R2011">
        <v>4</v>
      </c>
      <c r="S2011" s="2">
        <v>43321</v>
      </c>
      <c r="T2011" s="2">
        <v>43325</v>
      </c>
      <c r="U2011" s="2">
        <v>43627</v>
      </c>
      <c r="V2011" s="2">
        <v>43686</v>
      </c>
    </row>
    <row r="2012" spans="1:22" x14ac:dyDescent="0.2">
      <c r="A2012" t="str">
        <f>"378 BAU"</f>
        <v>378 BAU</v>
      </c>
      <c r="B2012" t="str">
        <f>"On writing the college application essay"</f>
        <v>On writing the college application essay</v>
      </c>
      <c r="C2012">
        <v>329315</v>
      </c>
      <c r="D2012" t="str">
        <f>"Bauld, Harry."</f>
        <v>Bauld, Harry.</v>
      </c>
      <c r="F2012" t="str">
        <f>"xviii, 174 p., 21 cm"</f>
        <v>xviii, 174 p., 21 cm</v>
      </c>
      <c r="G2012" s="1">
        <v>15</v>
      </c>
      <c r="H2012">
        <v>2012</v>
      </c>
      <c r="I2012" t="str">
        <f t="shared" si="77"/>
        <v>9: 300 - 399</v>
      </c>
      <c r="K2012" t="str">
        <f>"WB - In"</f>
        <v>WB - In</v>
      </c>
      <c r="L2012" s="1">
        <v>20</v>
      </c>
      <c r="M2012" t="s">
        <v>1874</v>
      </c>
      <c r="O2012" t="s">
        <v>28</v>
      </c>
      <c r="P2012">
        <v>11</v>
      </c>
      <c r="Q2012">
        <v>1</v>
      </c>
      <c r="R2012">
        <v>17</v>
      </c>
      <c r="S2012" s="2">
        <v>42233</v>
      </c>
      <c r="T2012" s="2">
        <v>42247</v>
      </c>
      <c r="U2012" s="2">
        <v>43843</v>
      </c>
      <c r="V2012" s="2">
        <v>43309</v>
      </c>
    </row>
    <row r="2013" spans="1:22" x14ac:dyDescent="0.2">
      <c r="A2013" t="str">
        <f>"378 BEL"</f>
        <v>378 BEL</v>
      </c>
      <c r="B2013" t="str">
        <f>"enlightened college applicant: a new app"</f>
        <v>enlightened college applicant: a new app</v>
      </c>
      <c r="C2013">
        <v>339188</v>
      </c>
      <c r="D2013" t="str">
        <f>"Belasco, Andrew"</f>
        <v>Belasco, Andrew</v>
      </c>
      <c r="F2013" t="str">
        <f>"xi, 240 pages, 24 cm"</f>
        <v>xi, 240 pages, 24 cm</v>
      </c>
      <c r="G2013" s="1">
        <v>17</v>
      </c>
      <c r="H2013">
        <v>2016</v>
      </c>
      <c r="I2013" t="str">
        <f t="shared" si="77"/>
        <v>9: 300 - 399</v>
      </c>
      <c r="K2013" t="str">
        <f>"WB - In"</f>
        <v>WB - In</v>
      </c>
      <c r="L2013" s="1">
        <v>35</v>
      </c>
      <c r="M2013" t="s">
        <v>1875</v>
      </c>
      <c r="O2013" t="s">
        <v>28</v>
      </c>
      <c r="P2013">
        <v>13</v>
      </c>
      <c r="Q2013">
        <v>2</v>
      </c>
      <c r="R2013">
        <v>16</v>
      </c>
      <c r="S2013" s="2">
        <v>42754</v>
      </c>
      <c r="T2013" s="2">
        <v>42947</v>
      </c>
      <c r="U2013" s="2">
        <v>43704</v>
      </c>
      <c r="V2013" s="2">
        <v>43628</v>
      </c>
    </row>
    <row r="2014" spans="1:22" x14ac:dyDescent="0.2">
      <c r="A2014" t="str">
        <f>"378 BEN"</f>
        <v>378 BEN</v>
      </c>
      <c r="B2014" t="str">
        <f>"Perfect phrases for college application "</f>
        <v xml:space="preserve">Perfect phrases for college application </v>
      </c>
      <c r="C2014">
        <v>209909</v>
      </c>
      <c r="D2014" t="str">
        <f>"Bender, Sheila"</f>
        <v>Bender, Sheila</v>
      </c>
      <c r="F2014" t="str">
        <f>"248 p."</f>
        <v>248 p.</v>
      </c>
      <c r="G2014" s="1">
        <v>8</v>
      </c>
      <c r="H2014">
        <v>2008</v>
      </c>
      <c r="I2014" t="str">
        <f t="shared" si="77"/>
        <v>9: 300 - 399</v>
      </c>
      <c r="K2014" t="str">
        <f>"LL - In"</f>
        <v>LL - In</v>
      </c>
      <c r="L2014" s="1">
        <v>15</v>
      </c>
      <c r="M2014" t="s">
        <v>1876</v>
      </c>
      <c r="O2014" t="s">
        <v>28</v>
      </c>
      <c r="P2014">
        <v>3</v>
      </c>
      <c r="Q2014">
        <v>0</v>
      </c>
      <c r="R2014">
        <v>40</v>
      </c>
      <c r="S2014" s="2">
        <v>39556</v>
      </c>
      <c r="T2014" s="2">
        <v>41053</v>
      </c>
      <c r="U2014" s="2">
        <v>43632</v>
      </c>
      <c r="V2014" s="2">
        <v>42443</v>
      </c>
    </row>
    <row r="2015" spans="1:22" x14ac:dyDescent="0.2">
      <c r="A2015" t="str">
        <f>"378 BEN"</f>
        <v>378 BEN</v>
      </c>
      <c r="B2015" t="str">
        <f>"Perfect phrases for college application "</f>
        <v xml:space="preserve">Perfect phrases for college application </v>
      </c>
      <c r="C2015">
        <v>316454</v>
      </c>
      <c r="D2015" t="str">
        <f>"Bender, Sheila"</f>
        <v>Bender, Sheila</v>
      </c>
      <c r="F2015" t="str">
        <f>"248 p."</f>
        <v>248 p.</v>
      </c>
      <c r="G2015" s="1">
        <v>13</v>
      </c>
      <c r="H2015">
        <v>2008</v>
      </c>
      <c r="I2015" t="str">
        <f t="shared" si="77"/>
        <v>9: 300 - 399</v>
      </c>
      <c r="K2015" t="str">
        <f>"WB - In"</f>
        <v>WB - In</v>
      </c>
      <c r="L2015" s="1">
        <v>15</v>
      </c>
      <c r="M2015" t="s">
        <v>1876</v>
      </c>
      <c r="O2015" t="s">
        <v>28</v>
      </c>
      <c r="P2015">
        <v>9</v>
      </c>
      <c r="Q2015">
        <v>0</v>
      </c>
      <c r="R2015">
        <v>27</v>
      </c>
      <c r="S2015" s="2">
        <v>41515</v>
      </c>
      <c r="T2015" s="2">
        <v>41527</v>
      </c>
      <c r="U2015" s="2">
        <v>43843</v>
      </c>
      <c r="V2015" s="2">
        <v>42313</v>
      </c>
    </row>
    <row r="2016" spans="1:22" x14ac:dyDescent="0.2">
      <c r="A2016" t="str">
        <f>"378 BOK"</f>
        <v>378 BOK</v>
      </c>
      <c r="B2016" t="str">
        <f>"Higher education in America"</f>
        <v>Higher education in America</v>
      </c>
      <c r="C2016">
        <v>323581</v>
      </c>
      <c r="D2016" t="str">
        <f>"Bok, Derek Curtis."</f>
        <v>Bok, Derek Curtis.</v>
      </c>
      <c r="F2016" t="str">
        <f>"x, 479 pages, 24 cm"</f>
        <v>x, 479 pages, 24 cm</v>
      </c>
      <c r="G2016" s="1">
        <v>14</v>
      </c>
      <c r="H2016">
        <v>2013</v>
      </c>
      <c r="I2016" t="str">
        <f t="shared" si="77"/>
        <v>9: 300 - 399</v>
      </c>
      <c r="K2016" t="str">
        <f>"LL - In"</f>
        <v>LL - In</v>
      </c>
      <c r="L2016" s="1">
        <v>40</v>
      </c>
      <c r="M2016" t="s">
        <v>1877</v>
      </c>
      <c r="O2016" t="s">
        <v>28</v>
      </c>
      <c r="P2016">
        <v>0</v>
      </c>
      <c r="Q2016">
        <v>0</v>
      </c>
      <c r="R2016">
        <v>4</v>
      </c>
      <c r="S2016" s="2">
        <v>41897</v>
      </c>
      <c r="T2016" s="2">
        <v>41899</v>
      </c>
      <c r="U2016" s="2">
        <v>42143</v>
      </c>
    </row>
    <row r="2017" spans="1:22" x14ac:dyDescent="0.2">
      <c r="A2017" t="str">
        <f>"378 BOL"</f>
        <v>378 BOL</v>
      </c>
      <c r="B2017" t="str">
        <f>"Better than college: how to build a succ"</f>
        <v>Better than college: how to build a succ</v>
      </c>
      <c r="C2017">
        <v>326015</v>
      </c>
      <c r="D2017" t="str">
        <f>"Boles, Blake."</f>
        <v>Boles, Blake.</v>
      </c>
      <c r="F2017" t="str">
        <f>"144 p., 22 cm, ill."</f>
        <v>144 p., 22 cm, ill.</v>
      </c>
      <c r="G2017" s="1">
        <v>15</v>
      </c>
      <c r="H2017">
        <v>2012</v>
      </c>
      <c r="I2017" t="str">
        <f t="shared" si="77"/>
        <v>9: 300 - 399</v>
      </c>
      <c r="K2017" t="str">
        <f>"WB - In"</f>
        <v>WB - In</v>
      </c>
      <c r="L2017" s="1">
        <v>20</v>
      </c>
      <c r="M2017" t="s">
        <v>1878</v>
      </c>
      <c r="O2017" t="s">
        <v>28</v>
      </c>
      <c r="P2017">
        <v>0</v>
      </c>
      <c r="Q2017">
        <v>0</v>
      </c>
      <c r="R2017">
        <v>2</v>
      </c>
      <c r="S2017" s="2">
        <v>42041</v>
      </c>
      <c r="T2017" s="2">
        <v>42045</v>
      </c>
      <c r="U2017" s="2">
        <v>42052</v>
      </c>
    </row>
    <row r="2018" spans="1:22" x14ac:dyDescent="0.2">
      <c r="A2018" t="str">
        <f>"378 BRA"</f>
        <v>378 BRA</v>
      </c>
      <c r="B2018" t="str">
        <f>"freshman survival guide: soulful advice "</f>
        <v xml:space="preserve">freshman survival guide: soulful advice </v>
      </c>
      <c r="C2018">
        <v>342969</v>
      </c>
      <c r="D2018" t="str">
        <f>"Bradbury-Haehl, Nora"</f>
        <v>Bradbury-Haehl, Nora</v>
      </c>
      <c r="F2018" t="str">
        <f>"xxi, 369 pages, 21 cm, illustrations"</f>
        <v>xxi, 369 pages, 21 cm, illustrations</v>
      </c>
      <c r="G2018" s="1">
        <v>17</v>
      </c>
      <c r="H2018">
        <v>2016</v>
      </c>
      <c r="I2018" t="str">
        <f t="shared" si="77"/>
        <v>9: 300 - 399</v>
      </c>
      <c r="K2018" t="str">
        <f>"LL - In"</f>
        <v>LL - In</v>
      </c>
      <c r="L2018" s="1">
        <v>21</v>
      </c>
      <c r="M2018" t="s">
        <v>1879</v>
      </c>
      <c r="O2018" t="s">
        <v>28</v>
      </c>
      <c r="P2018">
        <v>3</v>
      </c>
      <c r="Q2018">
        <v>0</v>
      </c>
      <c r="R2018">
        <v>3</v>
      </c>
      <c r="S2018" s="2">
        <v>42954</v>
      </c>
      <c r="T2018" s="2">
        <v>42969</v>
      </c>
      <c r="U2018" s="2">
        <v>43662</v>
      </c>
    </row>
    <row r="2019" spans="1:22" x14ac:dyDescent="0.2">
      <c r="A2019" t="str">
        <f>"378 BRE"</f>
        <v>378 BRE</v>
      </c>
      <c r="B2019" t="str">
        <f>"How to college: what to know before you "</f>
        <v xml:space="preserve">How to college: what to know before you </v>
      </c>
      <c r="C2019">
        <v>354749</v>
      </c>
      <c r="D2019" t="str">
        <f>"Brenner, Andrea"</f>
        <v>Brenner, Andrea</v>
      </c>
      <c r="F2019" t="str">
        <f>"pages cm"</f>
        <v>pages cm</v>
      </c>
      <c r="G2019" s="1">
        <v>19</v>
      </c>
      <c r="H2019">
        <v>2019</v>
      </c>
      <c r="I2019" t="str">
        <f t="shared" si="77"/>
        <v>9: 300 - 399</v>
      </c>
      <c r="K2019" t="str">
        <f>"WB - In"</f>
        <v>WB - In</v>
      </c>
      <c r="L2019" s="1">
        <v>22</v>
      </c>
      <c r="M2019" t="s">
        <v>1880</v>
      </c>
      <c r="O2019" t="s">
        <v>28</v>
      </c>
      <c r="P2019">
        <v>0</v>
      </c>
      <c r="Q2019">
        <v>1</v>
      </c>
      <c r="R2019">
        <v>1</v>
      </c>
      <c r="S2019" s="2">
        <v>43602</v>
      </c>
      <c r="T2019" s="2">
        <v>43626</v>
      </c>
      <c r="V2019" s="2">
        <v>43628</v>
      </c>
    </row>
    <row r="2020" spans="1:22" x14ac:dyDescent="0.2">
      <c r="A2020" t="str">
        <f>"378 CAM"</f>
        <v>378 CAM</v>
      </c>
      <c r="B2020" t="str">
        <f>"rise of victimhood culture: microaggress"</f>
        <v>rise of victimhood culture: microaggress</v>
      </c>
      <c r="C2020">
        <v>353476</v>
      </c>
      <c r="D2020" t="str">
        <f>"Campbell, Bradley Keith"</f>
        <v>Campbell, Bradley Keith</v>
      </c>
      <c r="F2020" t="str">
        <f>"xxvii, 278 pages, 21 cm"</f>
        <v>xxvii, 278 pages, 21 cm</v>
      </c>
      <c r="G2020" s="1">
        <v>19</v>
      </c>
      <c r="H2020">
        <v>2018</v>
      </c>
      <c r="I2020" t="str">
        <f t="shared" si="77"/>
        <v>9: 300 - 399</v>
      </c>
      <c r="K2020" t="str">
        <f>"WB - In"</f>
        <v>WB - In</v>
      </c>
      <c r="L2020" s="1">
        <v>40</v>
      </c>
      <c r="M2020" t="s">
        <v>1881</v>
      </c>
      <c r="O2020" t="s">
        <v>28</v>
      </c>
      <c r="P2020">
        <v>1</v>
      </c>
      <c r="Q2020">
        <v>0</v>
      </c>
      <c r="R2020">
        <v>1</v>
      </c>
      <c r="S2020" s="2">
        <v>43532</v>
      </c>
      <c r="T2020" s="2">
        <v>43545</v>
      </c>
      <c r="U2020" s="2">
        <v>43549</v>
      </c>
    </row>
    <row r="2021" spans="1:22" x14ac:dyDescent="0.2">
      <c r="A2021" t="str">
        <f>"378 CAR"</f>
        <v>378 CAR</v>
      </c>
      <c r="B2021" t="str">
        <f>"end of college: creating the future of l"</f>
        <v>end of college: creating the future of l</v>
      </c>
      <c r="C2021">
        <v>339134</v>
      </c>
      <c r="D2021" t="str">
        <f>"Carey, Kevin,"</f>
        <v>Carey, Kevin,</v>
      </c>
      <c r="F2021" t="str">
        <f>"277 pages, 21 cm"</f>
        <v>277 pages, 21 cm</v>
      </c>
      <c r="G2021" s="1">
        <v>17</v>
      </c>
      <c r="H2021">
        <v>2016</v>
      </c>
      <c r="I2021" t="str">
        <f t="shared" si="77"/>
        <v>9: 300 - 399</v>
      </c>
      <c r="K2021" t="str">
        <f>"LL - In"</f>
        <v>LL - In</v>
      </c>
      <c r="L2021" s="1">
        <v>21</v>
      </c>
      <c r="M2021" t="s">
        <v>1882</v>
      </c>
      <c r="O2021" t="s">
        <v>28</v>
      </c>
      <c r="P2021">
        <v>6</v>
      </c>
      <c r="Q2021">
        <v>1</v>
      </c>
      <c r="R2021">
        <v>7</v>
      </c>
      <c r="S2021" s="2">
        <v>42754</v>
      </c>
      <c r="T2021" s="2">
        <v>42934</v>
      </c>
      <c r="U2021" s="2">
        <v>42984</v>
      </c>
      <c r="V2021" s="2">
        <v>42916</v>
      </c>
    </row>
    <row r="2022" spans="1:22" x14ac:dyDescent="0.2">
      <c r="A2022" t="str">
        <f>"378 CHA"</f>
        <v>378 CHA</v>
      </c>
      <c r="B2022" t="str">
        <f>"Getting into a top college: an insider's"</f>
        <v>Getting into a top college: an insider's</v>
      </c>
      <c r="C2022">
        <v>341602</v>
      </c>
      <c r="D2022" t="str">
        <f>"Chatterjee, Pria"</f>
        <v>Chatterjee, Pria</v>
      </c>
      <c r="F2022" t="str">
        <f>"vii, 180 pages, 21 cm, illustrations"</f>
        <v>vii, 180 pages, 21 cm, illustrations</v>
      </c>
      <c r="G2022" s="1">
        <v>17</v>
      </c>
      <c r="H2022">
        <v>2015</v>
      </c>
      <c r="I2022" t="str">
        <f t="shared" si="77"/>
        <v>9: 300 - 399</v>
      </c>
      <c r="K2022" t="str">
        <f>"WB - In"</f>
        <v>WB - In</v>
      </c>
      <c r="L2022" s="1">
        <v>28</v>
      </c>
      <c r="M2022" t="s">
        <v>1883</v>
      </c>
      <c r="O2022" t="s">
        <v>28</v>
      </c>
      <c r="P2022">
        <v>7</v>
      </c>
      <c r="Q2022">
        <v>2</v>
      </c>
      <c r="R2022">
        <v>9</v>
      </c>
      <c r="S2022" s="2">
        <v>42886</v>
      </c>
      <c r="T2022" s="2">
        <v>42893</v>
      </c>
      <c r="U2022" s="2">
        <v>43687</v>
      </c>
      <c r="V2022" s="2">
        <v>43693</v>
      </c>
    </row>
    <row r="2023" spans="1:22" x14ac:dyDescent="0.2">
      <c r="A2023" t="str">
        <f>"378 CHI"</f>
        <v>378 CHI</v>
      </c>
      <c r="B2023" t="str">
        <f>"mindful college applicant: cultivating e"</f>
        <v>mindful college applicant: cultivating e</v>
      </c>
      <c r="C2023">
        <v>359477</v>
      </c>
      <c r="D2023" t="str">
        <f>"Chiu, Belinda H. Y."</f>
        <v>Chiu, Belinda H. Y.</v>
      </c>
      <c r="F2023" t="str">
        <f>"291 pages"</f>
        <v>291 pages</v>
      </c>
      <c r="G2023" s="1">
        <v>19</v>
      </c>
      <c r="H2023">
        <v>2019</v>
      </c>
      <c r="I2023" t="str">
        <f t="shared" si="77"/>
        <v>9: 300 - 399</v>
      </c>
      <c r="K2023" t="str">
        <f>"WB - In"</f>
        <v>WB - In</v>
      </c>
      <c r="L2023" s="1">
        <v>37</v>
      </c>
      <c r="M2023" t="s">
        <v>1884</v>
      </c>
      <c r="O2023" t="s">
        <v>28</v>
      </c>
      <c r="P2023">
        <v>0</v>
      </c>
      <c r="Q2023">
        <v>0</v>
      </c>
      <c r="R2023">
        <v>0</v>
      </c>
      <c r="S2023" s="2">
        <v>43802</v>
      </c>
      <c r="T2023" s="2">
        <v>43839</v>
      </c>
    </row>
    <row r="2024" spans="1:22" x14ac:dyDescent="0.2">
      <c r="A2024" t="str">
        <f>"378 CHR"</f>
        <v>378 CHR</v>
      </c>
      <c r="B2024" t="str">
        <f>"innovative university: changing the DNA "</f>
        <v xml:space="preserve">innovative university: changing the DNA </v>
      </c>
      <c r="C2024">
        <v>351834</v>
      </c>
      <c r="D2024" t="str">
        <f>"Christensen, Clayton M."</f>
        <v>Christensen, Clayton M.</v>
      </c>
      <c r="F2024" t="str">
        <f>"xxx, 475 p., 24 cm"</f>
        <v>xxx, 475 p., 24 cm</v>
      </c>
      <c r="G2024" s="1">
        <v>18</v>
      </c>
      <c r="H2024">
        <v>2011</v>
      </c>
      <c r="I2024" t="str">
        <f t="shared" si="77"/>
        <v>9: 300 - 399</v>
      </c>
      <c r="K2024" t="str">
        <f>"WB - In"</f>
        <v>WB - In</v>
      </c>
      <c r="L2024" s="1">
        <v>38</v>
      </c>
      <c r="M2024" t="s">
        <v>1885</v>
      </c>
      <c r="O2024" t="s">
        <v>28</v>
      </c>
      <c r="P2024">
        <v>2</v>
      </c>
      <c r="Q2024">
        <v>0</v>
      </c>
      <c r="R2024">
        <v>2</v>
      </c>
      <c r="S2024" s="2">
        <v>43444</v>
      </c>
      <c r="T2024" s="2">
        <v>43454</v>
      </c>
      <c r="U2024" s="2">
        <v>43499</v>
      </c>
    </row>
    <row r="2025" spans="1:22" x14ac:dyDescent="0.2">
      <c r="A2025" t="str">
        <f>"378 COB"</f>
        <v>378 COB</v>
      </c>
      <c r="B2025" t="str">
        <f>"Letting go: a parents' guide to understa"</f>
        <v>Letting go: a parents' guide to understa</v>
      </c>
      <c r="C2025">
        <v>338959</v>
      </c>
      <c r="D2025" t="str">
        <f>"Coburn, Karen Levin,"</f>
        <v>Coburn, Karen Levin,</v>
      </c>
      <c r="F2025" t="str">
        <f>"xvi, 447 pages, 21 cm"</f>
        <v>xvi, 447 pages, 21 cm</v>
      </c>
      <c r="G2025" s="1">
        <v>16</v>
      </c>
      <c r="H2025">
        <v>2016</v>
      </c>
      <c r="I2025" t="str">
        <f t="shared" si="77"/>
        <v>9: 300 - 399</v>
      </c>
      <c r="K2025" t="str">
        <f>"WB - In"</f>
        <v>WB - In</v>
      </c>
      <c r="L2025" s="1">
        <v>22</v>
      </c>
      <c r="M2025" t="s">
        <v>1886</v>
      </c>
      <c r="O2025" t="s">
        <v>28</v>
      </c>
      <c r="P2025">
        <v>9</v>
      </c>
      <c r="Q2025">
        <v>0</v>
      </c>
      <c r="R2025">
        <v>10</v>
      </c>
      <c r="S2025" s="2">
        <v>42738</v>
      </c>
      <c r="T2025" s="2">
        <v>42747</v>
      </c>
      <c r="U2025" s="2">
        <v>43700</v>
      </c>
    </row>
    <row r="2026" spans="1:22" x14ac:dyDescent="0.2">
      <c r="A2026" t="str">
        <f>"378 COH"</f>
        <v>378 COH</v>
      </c>
      <c r="B2026" t="str">
        <f>"naked roommate: and 107 other issues you"</f>
        <v>naked roommate: and 107 other issues you</v>
      </c>
      <c r="C2026">
        <v>313998</v>
      </c>
      <c r="D2026" t="str">
        <f>"Cohen, Harlan,"</f>
        <v>Cohen, Harlan,</v>
      </c>
      <c r="F2026" t="str">
        <f>"541 p."</f>
        <v>541 p.</v>
      </c>
      <c r="G2026" s="1">
        <v>13</v>
      </c>
      <c r="H2026">
        <v>2013</v>
      </c>
      <c r="I2026" t="str">
        <f t="shared" si="77"/>
        <v>9: 300 - 399</v>
      </c>
      <c r="K2026" t="str">
        <f>"LL - In"</f>
        <v>LL - In</v>
      </c>
      <c r="L2026" s="1">
        <v>20</v>
      </c>
      <c r="M2026" t="s">
        <v>1887</v>
      </c>
      <c r="O2026" t="s">
        <v>28</v>
      </c>
      <c r="P2026">
        <v>2</v>
      </c>
      <c r="Q2026">
        <v>2</v>
      </c>
      <c r="R2026">
        <v>18</v>
      </c>
      <c r="S2026" s="2">
        <v>41404</v>
      </c>
      <c r="T2026" s="2">
        <v>41417</v>
      </c>
      <c r="U2026" s="2">
        <v>43659</v>
      </c>
      <c r="V2026" s="2">
        <v>42810</v>
      </c>
    </row>
    <row r="2027" spans="1:22" x14ac:dyDescent="0.2">
      <c r="A2027" t="str">
        <f>"378 COH"</f>
        <v>378 COH</v>
      </c>
      <c r="B2027" t="str">
        <f>"naked roommate: and 107 other issues you"</f>
        <v>naked roommate: and 107 other issues you</v>
      </c>
      <c r="C2027">
        <v>294584</v>
      </c>
      <c r="D2027" t="str">
        <f>"Cohen, Harlan,"</f>
        <v>Cohen, Harlan,</v>
      </c>
      <c r="F2027" t="str">
        <f>"541 p."</f>
        <v>541 p.</v>
      </c>
      <c r="G2027" s="1">
        <v>17</v>
      </c>
      <c r="H2027">
        <v>2017</v>
      </c>
      <c r="I2027" t="str">
        <f t="shared" si="77"/>
        <v>9: 300 - 399</v>
      </c>
      <c r="K2027" t="str">
        <f>"WB - In"</f>
        <v>WB - In</v>
      </c>
      <c r="L2027" s="1">
        <v>20</v>
      </c>
      <c r="M2027" t="s">
        <v>1888</v>
      </c>
      <c r="O2027" t="s">
        <v>28</v>
      </c>
      <c r="P2027">
        <v>3</v>
      </c>
      <c r="Q2027">
        <v>0</v>
      </c>
      <c r="R2027">
        <v>3</v>
      </c>
      <c r="S2027" s="2">
        <v>42845</v>
      </c>
      <c r="T2027" s="2">
        <v>42849</v>
      </c>
      <c r="U2027" s="2">
        <v>43262</v>
      </c>
    </row>
    <row r="2028" spans="1:22" x14ac:dyDescent="0.2">
      <c r="A2028" t="str">
        <f>"378 COT"</f>
        <v>378 COT</v>
      </c>
      <c r="B2028" t="str">
        <f>"Lower ed: the troubling rise of for-prof"</f>
        <v>Lower ed: the troubling rise of for-prof</v>
      </c>
      <c r="C2028">
        <v>340698</v>
      </c>
      <c r="D2028" t="str">
        <f>"Cottom, Tressie McMillan"</f>
        <v>Cottom, Tressie McMillan</v>
      </c>
      <c r="F2028" t="str">
        <f>"228 pages, 22 cm"</f>
        <v>228 pages, 22 cm</v>
      </c>
      <c r="G2028" s="1">
        <v>17</v>
      </c>
      <c r="H2028">
        <v>2017</v>
      </c>
      <c r="I2028" t="str">
        <f t="shared" si="77"/>
        <v>9: 300 - 399</v>
      </c>
      <c r="K2028" t="str">
        <f>"LL - In"</f>
        <v>LL - In</v>
      </c>
      <c r="L2028" s="1">
        <v>32</v>
      </c>
      <c r="M2028" t="s">
        <v>1889</v>
      </c>
      <c r="O2028" t="s">
        <v>28</v>
      </c>
      <c r="P2028">
        <v>2</v>
      </c>
      <c r="Q2028">
        <v>0</v>
      </c>
      <c r="R2028">
        <v>2</v>
      </c>
      <c r="S2028" s="2">
        <v>42835</v>
      </c>
      <c r="T2028" s="2">
        <v>42991</v>
      </c>
      <c r="U2028" s="2">
        <v>42975</v>
      </c>
    </row>
    <row r="2029" spans="1:22" x14ac:dyDescent="0.2">
      <c r="A2029" t="str">
        <f>"378 CRO"</f>
        <v>378 CRO</v>
      </c>
      <c r="B2029" t="str">
        <f>"Designing the new American university"</f>
        <v>Designing the new American university</v>
      </c>
      <c r="C2029">
        <v>350726</v>
      </c>
      <c r="D2029" t="str">
        <f>"Crow, Michael M."</f>
        <v>Crow, Michael M.</v>
      </c>
      <c r="G2029" s="1">
        <v>18</v>
      </c>
      <c r="H2029">
        <v>2018</v>
      </c>
      <c r="I2029" t="str">
        <f t="shared" si="77"/>
        <v>9: 300 - 399</v>
      </c>
      <c r="K2029" t="str">
        <f>"WB - In"</f>
        <v>WB - In</v>
      </c>
      <c r="L2029" s="1">
        <v>30</v>
      </c>
      <c r="M2029" t="s">
        <v>1890</v>
      </c>
      <c r="O2029" t="s">
        <v>28</v>
      </c>
      <c r="P2029">
        <v>0</v>
      </c>
      <c r="Q2029">
        <v>1</v>
      </c>
      <c r="R2029">
        <v>1</v>
      </c>
      <c r="S2029" s="2">
        <v>43389</v>
      </c>
      <c r="T2029" s="2">
        <v>43398</v>
      </c>
      <c r="V2029" s="2">
        <v>43453</v>
      </c>
    </row>
    <row r="2030" spans="1:22" x14ac:dyDescent="0.2">
      <c r="A2030" t="str">
        <f>"378 DAV"</f>
        <v>378 DAV</v>
      </c>
      <c r="B2030" t="str">
        <f>"new education: how to revolutionize the "</f>
        <v xml:space="preserve">new education: how to revolutionize the </v>
      </c>
      <c r="C2030">
        <v>348637</v>
      </c>
      <c r="D2030" t="str">
        <f>"Davidson, Cathy N.,"</f>
        <v>Davidson, Cathy N.,</v>
      </c>
      <c r="F2030" t="str">
        <f>"vii, 318 pages, 24 cm"</f>
        <v>vii, 318 pages, 24 cm</v>
      </c>
      <c r="G2030" s="1">
        <v>18</v>
      </c>
      <c r="H2030">
        <v>2017</v>
      </c>
      <c r="I2030" t="str">
        <f t="shared" si="77"/>
        <v>9: 300 - 399</v>
      </c>
      <c r="K2030" t="str">
        <f>"WB - In"</f>
        <v>WB - In</v>
      </c>
      <c r="L2030" s="1">
        <v>33</v>
      </c>
      <c r="M2030" t="s">
        <v>1891</v>
      </c>
      <c r="O2030" t="s">
        <v>28</v>
      </c>
      <c r="P2030">
        <v>2</v>
      </c>
      <c r="Q2030">
        <v>0</v>
      </c>
      <c r="R2030">
        <v>2</v>
      </c>
      <c r="S2030" s="2">
        <v>43292</v>
      </c>
      <c r="T2030" s="2">
        <v>43446</v>
      </c>
      <c r="U2030" s="2">
        <v>43497</v>
      </c>
    </row>
    <row r="2031" spans="1:22" x14ac:dyDescent="0.2">
      <c r="A2031" t="str">
        <f>"378 DEL"</f>
        <v>378 DEL</v>
      </c>
      <c r="B2031" t="str">
        <f>"College: what it was, is, and should be"</f>
        <v>College: what it was, is, and should be</v>
      </c>
      <c r="C2031">
        <v>283694</v>
      </c>
      <c r="D2031" t="str">
        <f>"Delbanco, Andrew,"</f>
        <v>Delbanco, Andrew,</v>
      </c>
      <c r="F2031" t="str">
        <f>"xx, 237 pages, 22 cm"</f>
        <v>xx, 237 pages, 22 cm</v>
      </c>
      <c r="G2031" s="1">
        <v>15</v>
      </c>
      <c r="H2031">
        <v>2014</v>
      </c>
      <c r="I2031" t="str">
        <f t="shared" si="77"/>
        <v>9: 300 - 399</v>
      </c>
      <c r="K2031" t="str">
        <f>"LL - In"</f>
        <v>LL - In</v>
      </c>
      <c r="L2031" s="1">
        <v>23</v>
      </c>
      <c r="M2031" t="s">
        <v>1892</v>
      </c>
      <c r="O2031" t="s">
        <v>28</v>
      </c>
      <c r="P2031">
        <v>0</v>
      </c>
      <c r="Q2031">
        <v>0</v>
      </c>
      <c r="R2031">
        <v>1</v>
      </c>
      <c r="S2031" s="2">
        <v>42261</v>
      </c>
      <c r="T2031" s="2">
        <v>42283</v>
      </c>
      <c r="U2031" s="2">
        <v>42672</v>
      </c>
    </row>
    <row r="2032" spans="1:22" x14ac:dyDescent="0.2">
      <c r="A2032" t="str">
        <f>"378 DER"</f>
        <v>378 DER</v>
      </c>
      <c r="B2032" t="str">
        <f>"Excellent sheep: the miseducation of the"</f>
        <v>Excellent sheep: the miseducation of the</v>
      </c>
      <c r="C2032">
        <v>323579</v>
      </c>
      <c r="D2032" t="str">
        <f>"Deresiewicz, William,"</f>
        <v>Deresiewicz, William,</v>
      </c>
      <c r="F2032" t="str">
        <f>"245 pages, 24 cm"</f>
        <v>245 pages, 24 cm</v>
      </c>
      <c r="G2032" s="1">
        <v>14</v>
      </c>
      <c r="H2032">
        <v>2014</v>
      </c>
      <c r="I2032" t="str">
        <f t="shared" si="77"/>
        <v>9: 300 - 399</v>
      </c>
      <c r="K2032" t="str">
        <f>"WB - Out"</f>
        <v>WB - Out</v>
      </c>
      <c r="L2032" s="1">
        <v>31</v>
      </c>
      <c r="M2032" t="s">
        <v>1893</v>
      </c>
      <c r="O2032" t="s">
        <v>28</v>
      </c>
      <c r="P2032">
        <v>10</v>
      </c>
      <c r="Q2032">
        <v>6</v>
      </c>
      <c r="R2032">
        <v>37</v>
      </c>
      <c r="S2032" s="2">
        <v>41897</v>
      </c>
      <c r="T2032" s="2">
        <v>42177</v>
      </c>
      <c r="U2032" s="2">
        <v>43852</v>
      </c>
      <c r="V2032" s="2">
        <v>43558</v>
      </c>
    </row>
    <row r="2033" spans="1:22" x14ac:dyDescent="0.2">
      <c r="A2033" t="str">
        <f>"378 DER"</f>
        <v>378 DER</v>
      </c>
      <c r="B2033" t="str">
        <f>"Excellent sheep: the miseducation of the"</f>
        <v>Excellent sheep: the miseducation of the</v>
      </c>
      <c r="C2033">
        <v>292618</v>
      </c>
      <c r="D2033" t="str">
        <f>"Deresiewicz, William,"</f>
        <v>Deresiewicz, William,</v>
      </c>
      <c r="F2033" t="str">
        <f>"245 pages, 24 cm"</f>
        <v>245 pages, 24 cm</v>
      </c>
      <c r="G2033" s="1">
        <v>16</v>
      </c>
      <c r="H2033">
        <v>2014</v>
      </c>
      <c r="I2033" t="str">
        <f t="shared" si="77"/>
        <v>9: 300 - 399</v>
      </c>
      <c r="K2033" t="str">
        <f>"WB - In"</f>
        <v>WB - In</v>
      </c>
      <c r="L2033" s="1">
        <v>21</v>
      </c>
      <c r="M2033" t="s">
        <v>1893</v>
      </c>
      <c r="O2033" t="s">
        <v>28</v>
      </c>
      <c r="P2033">
        <v>8</v>
      </c>
      <c r="Q2033">
        <v>1</v>
      </c>
      <c r="R2033">
        <v>10</v>
      </c>
      <c r="S2033" s="2">
        <v>42732</v>
      </c>
      <c r="T2033" s="2">
        <v>42738</v>
      </c>
      <c r="U2033" s="2">
        <v>43722</v>
      </c>
      <c r="V2033" s="2">
        <v>43308</v>
      </c>
    </row>
    <row r="2034" spans="1:22" x14ac:dyDescent="0.2">
      <c r="A2034" t="str">
        <f>"378 ESS"</f>
        <v>378 ESS</v>
      </c>
      <c r="B2034" t="str">
        <f>"Essay writing step-by-step: a Newsweek e"</f>
        <v>Essay writing step-by-step: a Newsweek e</v>
      </c>
      <c r="C2034">
        <v>182324</v>
      </c>
      <c r="F2034" t="str">
        <f>"241 p."</f>
        <v>241 p.</v>
      </c>
      <c r="G2034" s="1">
        <v>4</v>
      </c>
      <c r="H2034">
        <v>2003</v>
      </c>
      <c r="I2034" t="str">
        <f t="shared" si="77"/>
        <v>9: 300 - 399</v>
      </c>
      <c r="K2034" t="str">
        <f>"LL - In"</f>
        <v>LL - In</v>
      </c>
      <c r="L2034" s="1">
        <v>17</v>
      </c>
      <c r="M2034" t="s">
        <v>1894</v>
      </c>
      <c r="O2034" t="s">
        <v>28</v>
      </c>
      <c r="P2034">
        <v>11</v>
      </c>
      <c r="Q2034">
        <v>0</v>
      </c>
      <c r="R2034">
        <v>83</v>
      </c>
      <c r="S2034" s="2">
        <v>38287</v>
      </c>
      <c r="T2034" s="2">
        <v>41053</v>
      </c>
      <c r="U2034" s="2">
        <v>43715</v>
      </c>
      <c r="V2034" s="2">
        <v>42443</v>
      </c>
    </row>
    <row r="2035" spans="1:22" x14ac:dyDescent="0.2">
      <c r="A2035" t="str">
        <f>"378 ESS"</f>
        <v>378 ESS</v>
      </c>
      <c r="B2035" t="str">
        <f>"Essays that worked for college applicati"</f>
        <v>Essays that worked for college applicati</v>
      </c>
      <c r="C2035">
        <v>171756</v>
      </c>
      <c r="F2035" t="str">
        <f>"157 p."</f>
        <v>157 p.</v>
      </c>
      <c r="G2035" s="1">
        <v>3</v>
      </c>
      <c r="H2035">
        <v>2003</v>
      </c>
      <c r="I2035" t="str">
        <f t="shared" si="77"/>
        <v>9: 300 - 399</v>
      </c>
      <c r="K2035" t="str">
        <f>"WB - Out"</f>
        <v>WB - Out</v>
      </c>
      <c r="L2035" s="1">
        <v>19</v>
      </c>
      <c r="M2035" t="s">
        <v>1895</v>
      </c>
      <c r="O2035" t="s">
        <v>28</v>
      </c>
      <c r="P2035">
        <v>7</v>
      </c>
      <c r="Q2035">
        <v>0</v>
      </c>
      <c r="R2035">
        <v>83</v>
      </c>
      <c r="S2035" s="2">
        <v>37831</v>
      </c>
      <c r="T2035" s="2">
        <v>41053</v>
      </c>
      <c r="U2035" s="2">
        <v>43843</v>
      </c>
      <c r="V2035" s="2">
        <v>41877</v>
      </c>
    </row>
    <row r="2036" spans="1:22" x14ac:dyDescent="0.2">
      <c r="A2036" t="str">
        <f>"378 FEL"</f>
        <v>378 FEL</v>
      </c>
      <c r="B2036" t="str">
        <f>"undergraduate experience: focusing insti"</f>
        <v>undergraduate experience: focusing insti</v>
      </c>
      <c r="C2036">
        <v>402318</v>
      </c>
      <c r="D2036" t="str">
        <f>"Felten, Peter"</f>
        <v>Felten, Peter</v>
      </c>
      <c r="F2036" t="str">
        <f>"xx, 247 pages, 24 cm"</f>
        <v>xx, 247 pages, 24 cm</v>
      </c>
      <c r="G2036" s="1">
        <v>18</v>
      </c>
      <c r="H2036">
        <v>2016</v>
      </c>
      <c r="I2036" t="str">
        <f t="shared" si="77"/>
        <v>9: 300 - 399</v>
      </c>
      <c r="K2036" t="str">
        <f>"LL - In"</f>
        <v>LL - In</v>
      </c>
      <c r="L2036" s="1">
        <v>38</v>
      </c>
      <c r="M2036" t="s">
        <v>1896</v>
      </c>
      <c r="O2036" t="s">
        <v>28</v>
      </c>
      <c r="P2036">
        <v>2</v>
      </c>
      <c r="Q2036">
        <v>0</v>
      </c>
      <c r="R2036">
        <v>2</v>
      </c>
      <c r="S2036" s="2">
        <v>43305</v>
      </c>
      <c r="T2036" s="2">
        <v>43307</v>
      </c>
      <c r="U2036" s="2">
        <v>43326</v>
      </c>
    </row>
    <row r="2037" spans="1:22" x14ac:dyDescent="0.2">
      <c r="A2037" t="str">
        <f>"378 FER"</f>
        <v>378 FER</v>
      </c>
      <c r="B2037" t="str">
        <f>"Crazy U: one dad's crash course in getti"</f>
        <v>Crazy U: one dad's crash course in getti</v>
      </c>
      <c r="C2037">
        <v>148519</v>
      </c>
      <c r="D2037" t="str">
        <f>"Ferguson, Andrew"</f>
        <v>Ferguson, Andrew</v>
      </c>
      <c r="F2037" t="str">
        <f>"226 p."</f>
        <v>226 p.</v>
      </c>
      <c r="G2037" s="1">
        <v>11</v>
      </c>
      <c r="H2037">
        <v>2011</v>
      </c>
      <c r="I2037" t="str">
        <f t="shared" si="77"/>
        <v>9: 300 - 399</v>
      </c>
      <c r="K2037" t="str">
        <f>"LL - In"</f>
        <v>LL - In</v>
      </c>
      <c r="L2037" s="1">
        <v>30</v>
      </c>
      <c r="M2037" t="s">
        <v>1897</v>
      </c>
      <c r="O2037" t="s">
        <v>28</v>
      </c>
      <c r="P2037">
        <v>4</v>
      </c>
      <c r="Q2037">
        <v>0</v>
      </c>
      <c r="R2037">
        <v>43</v>
      </c>
      <c r="S2037" s="2">
        <v>40604</v>
      </c>
      <c r="T2037" s="2">
        <v>42103</v>
      </c>
      <c r="U2037" s="2">
        <v>43668</v>
      </c>
    </row>
    <row r="2038" spans="1:22" x14ac:dyDescent="0.2">
      <c r="A2038" t="str">
        <f>"378 FIF"</f>
        <v>378 FIF</v>
      </c>
      <c r="B2038" t="str">
        <f>"50 successful Harvard application essays"</f>
        <v>50 successful Harvard application essays</v>
      </c>
      <c r="C2038">
        <v>120181</v>
      </c>
      <c r="F2038" t="str">
        <f>"180 p., 21 cm."</f>
        <v>180 p., 21 cm.</v>
      </c>
      <c r="G2038" s="1">
        <v>5</v>
      </c>
      <c r="H2038">
        <v>2005</v>
      </c>
      <c r="I2038" t="str">
        <f t="shared" si="77"/>
        <v>9: 300 - 399</v>
      </c>
      <c r="K2038" t="str">
        <f>"WB - Out"</f>
        <v>WB - Out</v>
      </c>
      <c r="L2038" s="1">
        <v>18</v>
      </c>
      <c r="M2038" t="s">
        <v>1898</v>
      </c>
      <c r="O2038" t="s">
        <v>28</v>
      </c>
      <c r="P2038">
        <v>13</v>
      </c>
      <c r="Q2038">
        <v>0</v>
      </c>
      <c r="R2038">
        <v>82</v>
      </c>
      <c r="S2038" s="2">
        <v>38617</v>
      </c>
      <c r="T2038" s="2">
        <v>41053</v>
      </c>
      <c r="U2038" s="2">
        <v>43843</v>
      </c>
      <c r="V2038" s="2">
        <v>42238</v>
      </c>
    </row>
    <row r="2039" spans="1:22" x14ac:dyDescent="0.2">
      <c r="A2039" t="str">
        <f>"378 FIF"</f>
        <v>378 FIF</v>
      </c>
      <c r="B2039" t="str">
        <f>"50 successful Harvard application essays"</f>
        <v>50 successful Harvard application essays</v>
      </c>
      <c r="C2039">
        <v>213171</v>
      </c>
      <c r="F2039" t="str">
        <f>"180 p., 21 cm."</f>
        <v>180 p., 21 cm.</v>
      </c>
      <c r="G2039" s="1">
        <v>8</v>
      </c>
      <c r="H2039">
        <v>2005</v>
      </c>
      <c r="I2039" t="str">
        <f t="shared" si="77"/>
        <v>9: 300 - 399</v>
      </c>
      <c r="K2039" t="str">
        <f>"LL - In"</f>
        <v>LL - In</v>
      </c>
      <c r="L2039" s="1">
        <v>20</v>
      </c>
      <c r="M2039" t="s">
        <v>1898</v>
      </c>
      <c r="O2039" t="s">
        <v>28</v>
      </c>
      <c r="P2039">
        <v>11</v>
      </c>
      <c r="Q2039">
        <v>1</v>
      </c>
      <c r="R2039">
        <v>53</v>
      </c>
      <c r="S2039" s="2">
        <v>39666</v>
      </c>
      <c r="T2039" s="2">
        <v>41053</v>
      </c>
      <c r="U2039" s="2">
        <v>43668</v>
      </c>
      <c r="V2039" s="2">
        <v>42826</v>
      </c>
    </row>
    <row r="2040" spans="1:22" x14ac:dyDescent="0.2">
      <c r="A2040" t="str">
        <f>"378 FIS"</f>
        <v>378 FIS</v>
      </c>
      <c r="B2040" t="str">
        <f>"Fiske guide to colleges, 2017"</f>
        <v>Fiske guide to colleges, 2017</v>
      </c>
      <c r="C2040">
        <v>340432</v>
      </c>
      <c r="F2040" t="str">
        <f>"xl, 828 pages, 27 cm"</f>
        <v>xl, 828 pages, 27 cm</v>
      </c>
      <c r="G2040" s="1">
        <v>17</v>
      </c>
      <c r="H2040">
        <v>2015</v>
      </c>
      <c r="I2040" t="str">
        <f t="shared" si="77"/>
        <v>9: 300 - 399</v>
      </c>
      <c r="K2040" t="str">
        <f>"WB - In"</f>
        <v>WB - In</v>
      </c>
      <c r="L2040" s="1">
        <v>30</v>
      </c>
      <c r="M2040" t="s">
        <v>1899</v>
      </c>
      <c r="O2040" t="s">
        <v>28</v>
      </c>
      <c r="P2040">
        <v>15</v>
      </c>
      <c r="Q2040">
        <v>2</v>
      </c>
      <c r="R2040">
        <v>17</v>
      </c>
      <c r="S2040" s="2">
        <v>42821</v>
      </c>
      <c r="T2040" s="2">
        <v>42824</v>
      </c>
      <c r="U2040" s="2">
        <v>43716</v>
      </c>
      <c r="V2040" s="2">
        <v>43228</v>
      </c>
    </row>
    <row r="2041" spans="1:22" x14ac:dyDescent="0.2">
      <c r="A2041" t="str">
        <f>"378 FIS"</f>
        <v>378 FIS</v>
      </c>
      <c r="B2041" t="str">
        <f>"Admissions by design: stop the madness a"</f>
        <v>Admissions by design: stop the madness a</v>
      </c>
      <c r="C2041">
        <v>287759</v>
      </c>
      <c r="D2041" t="str">
        <f>"Fisher, Lisa"</f>
        <v>Fisher, Lisa</v>
      </c>
      <c r="F2041" t="str">
        <f>"251 p."</f>
        <v>251 p.</v>
      </c>
      <c r="G2041" s="1">
        <v>16</v>
      </c>
      <c r="H2041">
        <v>2016</v>
      </c>
      <c r="I2041" t="str">
        <f t="shared" si="77"/>
        <v>9: 300 - 399</v>
      </c>
      <c r="K2041" t="str">
        <f>"WB - In"</f>
        <v>WB - In</v>
      </c>
      <c r="L2041" s="1">
        <v>23</v>
      </c>
      <c r="M2041" t="s">
        <v>1900</v>
      </c>
      <c r="O2041" t="s">
        <v>28</v>
      </c>
      <c r="P2041">
        <v>8</v>
      </c>
      <c r="Q2041">
        <v>1</v>
      </c>
      <c r="R2041">
        <v>13</v>
      </c>
      <c r="S2041" s="2">
        <v>42486</v>
      </c>
      <c r="T2041" s="2">
        <v>42655</v>
      </c>
      <c r="U2041" s="2">
        <v>43502</v>
      </c>
      <c r="V2041" s="2">
        <v>43761</v>
      </c>
    </row>
    <row r="2042" spans="1:22" x14ac:dyDescent="0.2">
      <c r="A2042" t="str">
        <f>"378 FIS"</f>
        <v>378 FIS</v>
      </c>
      <c r="B2042" t="str">
        <f>"Fiske real college essays that work"</f>
        <v>Fiske real college essays that work</v>
      </c>
      <c r="C2042">
        <v>333038</v>
      </c>
      <c r="D2042" t="str">
        <f>"Fiske, Edward B."</f>
        <v>Fiske, Edward B.</v>
      </c>
      <c r="F2042" t="str">
        <f>"vii, 352 pages, 23 cm"</f>
        <v>vii, 352 pages, 23 cm</v>
      </c>
      <c r="G2042" s="1">
        <v>16</v>
      </c>
      <c r="H2042">
        <v>2014</v>
      </c>
      <c r="I2042" t="str">
        <f t="shared" si="77"/>
        <v>9: 300 - 399</v>
      </c>
      <c r="K2042" t="str">
        <f>"WB - In"</f>
        <v>WB - In</v>
      </c>
      <c r="L2042" s="1">
        <v>20</v>
      </c>
      <c r="M2042" t="s">
        <v>1901</v>
      </c>
      <c r="O2042" t="s">
        <v>28</v>
      </c>
      <c r="P2042">
        <v>14</v>
      </c>
      <c r="Q2042">
        <v>1</v>
      </c>
      <c r="R2042">
        <v>20</v>
      </c>
      <c r="S2042" s="2">
        <v>42411</v>
      </c>
      <c r="T2042" s="2">
        <v>42423</v>
      </c>
      <c r="U2042" s="2">
        <v>43687</v>
      </c>
      <c r="V2042" s="2">
        <v>43643</v>
      </c>
    </row>
    <row r="2043" spans="1:22" x14ac:dyDescent="0.2">
      <c r="A2043" t="str">
        <f>"378 FIS"</f>
        <v>378 FIS</v>
      </c>
      <c r="B2043" t="str">
        <f>"Fiske real college essays that work"</f>
        <v>Fiske real college essays that work</v>
      </c>
      <c r="C2043">
        <v>358871</v>
      </c>
      <c r="D2043" t="str">
        <f>"Fiske, Edward B."</f>
        <v>Fiske, Edward B.</v>
      </c>
      <c r="F2043" t="str">
        <f>"vii, 352 pages, 23 cm"</f>
        <v>vii, 352 pages, 23 cm</v>
      </c>
      <c r="G2043" s="1">
        <v>19</v>
      </c>
      <c r="H2043">
        <v>2014</v>
      </c>
      <c r="I2043" t="str">
        <f t="shared" si="77"/>
        <v>9: 300 - 399</v>
      </c>
      <c r="K2043" t="str">
        <f>"LL - In"</f>
        <v>LL - In</v>
      </c>
      <c r="L2043" s="1">
        <v>21</v>
      </c>
      <c r="M2043" t="s">
        <v>1901</v>
      </c>
      <c r="O2043" t="s">
        <v>28</v>
      </c>
      <c r="P2043">
        <v>0</v>
      </c>
      <c r="Q2043">
        <v>0</v>
      </c>
      <c r="R2043">
        <v>0</v>
      </c>
      <c r="S2043" s="2">
        <v>43769</v>
      </c>
      <c r="T2043" s="2">
        <v>43781</v>
      </c>
    </row>
    <row r="2044" spans="1:22" x14ac:dyDescent="0.2">
      <c r="A2044" t="str">
        <f>"378 FOU"</f>
        <v>378 FOU</v>
      </c>
      <c r="B2044" t="str">
        <f>"Four-year colleges 2018"</f>
        <v>Four-year colleges 2018</v>
      </c>
      <c r="C2044">
        <v>296302</v>
      </c>
      <c r="F2044" t="str">
        <f>"1795 p."</f>
        <v>1795 p.</v>
      </c>
      <c r="G2044" s="1">
        <v>17</v>
      </c>
      <c r="H2044">
        <v>2017</v>
      </c>
      <c r="I2044" t="str">
        <f t="shared" si="77"/>
        <v>9: 300 - 399</v>
      </c>
      <c r="K2044" t="str">
        <f>"WB - In"</f>
        <v>WB - In</v>
      </c>
      <c r="L2044" s="1">
        <v>38</v>
      </c>
      <c r="O2044" t="s">
        <v>28</v>
      </c>
      <c r="P2044">
        <v>4</v>
      </c>
      <c r="Q2044">
        <v>0</v>
      </c>
      <c r="R2044">
        <v>4</v>
      </c>
      <c r="S2044" s="2">
        <v>42936</v>
      </c>
      <c r="T2044" s="2">
        <v>42941</v>
      </c>
      <c r="U2044" s="2">
        <v>43099</v>
      </c>
    </row>
    <row r="2045" spans="1:22" x14ac:dyDescent="0.2">
      <c r="A2045" t="str">
        <f>"378 FOU"</f>
        <v>378 FOU</v>
      </c>
      <c r="B2045" t="str">
        <f>"Four-year colleges 2020"</f>
        <v>Four-year colleges 2020</v>
      </c>
      <c r="C2045">
        <v>358997</v>
      </c>
      <c r="F2045" t="str">
        <f>"1276 p."</f>
        <v>1276 p.</v>
      </c>
      <c r="G2045" s="1">
        <v>17</v>
      </c>
      <c r="H2045">
        <v>2019</v>
      </c>
      <c r="I2045" t="str">
        <f t="shared" si="77"/>
        <v>9: 300 - 399</v>
      </c>
      <c r="K2045" t="str">
        <f>"WB - In"</f>
        <v>WB - In</v>
      </c>
      <c r="L2045" s="1">
        <v>38</v>
      </c>
      <c r="O2045" t="s">
        <v>28</v>
      </c>
      <c r="P2045">
        <v>1</v>
      </c>
      <c r="Q2045">
        <v>0</v>
      </c>
      <c r="R2045">
        <v>1</v>
      </c>
      <c r="S2045" s="2">
        <v>43811</v>
      </c>
      <c r="T2045" s="2">
        <v>43819</v>
      </c>
      <c r="U2045" s="2">
        <v>43839</v>
      </c>
    </row>
    <row r="2046" spans="1:22" x14ac:dyDescent="0.2">
      <c r="A2046" t="str">
        <f>"378 FRA"</f>
        <v>378 FRA</v>
      </c>
      <c r="B2046" t="str">
        <f>"Princeton Review: the best 384 colleges"</f>
        <v>Princeton Review: the best 384 colleges</v>
      </c>
      <c r="C2046">
        <v>349688</v>
      </c>
      <c r="D2046" t="str">
        <f>"Franek, Robert"</f>
        <v>Franek, Robert</v>
      </c>
      <c r="F2046" t="str">
        <f>"845 pages, 27 cm"</f>
        <v>845 pages, 27 cm</v>
      </c>
      <c r="G2046" s="1">
        <v>18</v>
      </c>
      <c r="H2046">
        <v>2018</v>
      </c>
      <c r="I2046" t="str">
        <f t="shared" si="77"/>
        <v>9: 300 - 399</v>
      </c>
      <c r="K2046" t="str">
        <f>"WB - In"</f>
        <v>WB - In</v>
      </c>
      <c r="L2046" s="1">
        <v>30</v>
      </c>
      <c r="M2046" t="s">
        <v>1902</v>
      </c>
      <c r="O2046" t="s">
        <v>28</v>
      </c>
      <c r="P2046">
        <v>10</v>
      </c>
      <c r="Q2046">
        <v>0</v>
      </c>
      <c r="R2046">
        <v>10</v>
      </c>
      <c r="S2046" s="2">
        <v>43347</v>
      </c>
      <c r="T2046" s="2">
        <v>43357</v>
      </c>
      <c r="U2046" s="2">
        <v>43752</v>
      </c>
    </row>
    <row r="2047" spans="1:22" x14ac:dyDescent="0.2">
      <c r="A2047" t="str">
        <f>"378 FRA"</f>
        <v>378 FRA</v>
      </c>
      <c r="B2047" t="str">
        <f>"Princeton Review: the best 385 colleges"</f>
        <v>Princeton Review: the best 385 colleges</v>
      </c>
      <c r="C2047">
        <v>356625</v>
      </c>
      <c r="D2047" t="str">
        <f>"Franek, Robert"</f>
        <v>Franek, Robert</v>
      </c>
      <c r="F2047" t="str">
        <f>"845 pages, 27 cm"</f>
        <v>845 pages, 27 cm</v>
      </c>
      <c r="G2047" s="1">
        <v>19</v>
      </c>
      <c r="H2047">
        <v>2019</v>
      </c>
      <c r="I2047" t="str">
        <f t="shared" si="77"/>
        <v>9: 300 - 399</v>
      </c>
      <c r="K2047" t="str">
        <f>"LL - In"</f>
        <v>LL - In</v>
      </c>
      <c r="L2047" s="1">
        <v>30</v>
      </c>
      <c r="M2047" t="s">
        <v>1903</v>
      </c>
      <c r="O2047" t="s">
        <v>28</v>
      </c>
      <c r="P2047">
        <v>3</v>
      </c>
      <c r="Q2047">
        <v>0</v>
      </c>
      <c r="R2047">
        <v>3</v>
      </c>
      <c r="S2047" s="2">
        <v>43683</v>
      </c>
      <c r="T2047" s="2">
        <v>43696</v>
      </c>
      <c r="U2047" s="2">
        <v>43783</v>
      </c>
    </row>
    <row r="2048" spans="1:22" x14ac:dyDescent="0.2">
      <c r="A2048" t="str">
        <f>"378 GAR"</f>
        <v>378 GAR</v>
      </c>
      <c r="B2048" t="str">
        <f>"U Chic: the college girl's guide to ever"</f>
        <v>U Chic: the college girl's guide to ever</v>
      </c>
      <c r="C2048">
        <v>342989</v>
      </c>
      <c r="D2048" t="str">
        <f>"Garton, Christie."</f>
        <v>Garton, Christie.</v>
      </c>
      <c r="F2048" t="str">
        <f>"xxii, 439 pages, 18 cm"</f>
        <v>xxii, 439 pages, 18 cm</v>
      </c>
      <c r="G2048" s="1">
        <v>17</v>
      </c>
      <c r="H2048">
        <v>2017</v>
      </c>
      <c r="I2048" t="str">
        <f t="shared" si="77"/>
        <v>9: 300 - 399</v>
      </c>
      <c r="K2048" t="str">
        <f>"LL - In"</f>
        <v>LL - In</v>
      </c>
      <c r="L2048" s="1">
        <v>20</v>
      </c>
      <c r="M2048" t="s">
        <v>1904</v>
      </c>
      <c r="O2048" t="s">
        <v>28</v>
      </c>
      <c r="P2048">
        <v>0</v>
      </c>
      <c r="Q2048">
        <v>0</v>
      </c>
      <c r="R2048">
        <v>0</v>
      </c>
      <c r="S2048" s="2">
        <v>42954</v>
      </c>
      <c r="T2048" s="2">
        <v>42961</v>
      </c>
    </row>
    <row r="2049" spans="1:22" x14ac:dyDescent="0.2">
      <c r="A2049" t="str">
        <f>"378 GAR"</f>
        <v>378 GAR</v>
      </c>
      <c r="B2049" t="str">
        <f>"Uchic college girls: real advice for you"</f>
        <v>Uchic college girls: real advice for you</v>
      </c>
      <c r="C2049">
        <v>328343</v>
      </c>
      <c r="D2049" t="str">
        <f>"Garton, Christie."</f>
        <v>Garton, Christie.</v>
      </c>
      <c r="F2049" t="str">
        <f>"407 p."</f>
        <v>407 p.</v>
      </c>
      <c r="G2049" s="1">
        <v>15</v>
      </c>
      <c r="H2049">
        <v>2015</v>
      </c>
      <c r="I2049" t="str">
        <f t="shared" si="77"/>
        <v>9: 300 - 399</v>
      </c>
      <c r="K2049" t="str">
        <f>"WB - In"</f>
        <v>WB - In</v>
      </c>
      <c r="L2049" s="1">
        <v>20</v>
      </c>
      <c r="M2049" t="s">
        <v>1905</v>
      </c>
      <c r="O2049" t="s">
        <v>28</v>
      </c>
      <c r="P2049">
        <v>3</v>
      </c>
      <c r="Q2049">
        <v>0</v>
      </c>
      <c r="R2049">
        <v>7</v>
      </c>
      <c r="S2049" s="2">
        <v>42185</v>
      </c>
      <c r="T2049" s="2">
        <v>42205</v>
      </c>
      <c r="U2049" s="2">
        <v>43647</v>
      </c>
      <c r="V2049" s="2">
        <v>42567</v>
      </c>
    </row>
    <row r="2050" spans="1:22" x14ac:dyDescent="0.2">
      <c r="A2050" t="str">
        <f>"378 GEL"</f>
        <v>378 GEL</v>
      </c>
      <c r="B2050" t="str">
        <f>"Conquering the college admissions essay "</f>
        <v xml:space="preserve">Conquering the college admissions essay </v>
      </c>
      <c r="C2050">
        <v>129484</v>
      </c>
      <c r="D2050" t="str">
        <f>"Gelb, Alan"</f>
        <v>Gelb, Alan</v>
      </c>
      <c r="F2050" t="str">
        <f>"193 p."</f>
        <v>193 p.</v>
      </c>
      <c r="G2050" s="1">
        <v>8</v>
      </c>
      <c r="H2050">
        <v>2008</v>
      </c>
      <c r="I2050" t="str">
        <f t="shared" si="77"/>
        <v>9: 300 - 399</v>
      </c>
      <c r="K2050" t="str">
        <f>"LL - In"</f>
        <v>LL - In</v>
      </c>
      <c r="L2050" s="1">
        <v>17</v>
      </c>
      <c r="M2050" t="s">
        <v>1906</v>
      </c>
      <c r="O2050" t="s">
        <v>28</v>
      </c>
      <c r="P2050">
        <v>10</v>
      </c>
      <c r="Q2050">
        <v>2</v>
      </c>
      <c r="R2050">
        <v>51</v>
      </c>
      <c r="S2050" s="2">
        <v>39512</v>
      </c>
      <c r="T2050" s="2">
        <v>41053</v>
      </c>
      <c r="U2050" s="2">
        <v>43668</v>
      </c>
      <c r="V2050" s="2">
        <v>43286</v>
      </c>
    </row>
    <row r="2051" spans="1:22" x14ac:dyDescent="0.2">
      <c r="A2051" t="str">
        <f>"378 GEL"</f>
        <v>378 GEL</v>
      </c>
      <c r="B2051" t="str">
        <f>"Conquering the college admissions essay "</f>
        <v xml:space="preserve">Conquering the college admissions essay </v>
      </c>
      <c r="C2051">
        <v>329846</v>
      </c>
      <c r="D2051" t="str">
        <f>"Gelb, Alan"</f>
        <v>Gelb, Alan</v>
      </c>
      <c r="F2051" t="str">
        <f>"xii, 210 pages, 18 cm"</f>
        <v>xii, 210 pages, 18 cm</v>
      </c>
      <c r="G2051" s="1">
        <v>15</v>
      </c>
      <c r="H2051">
        <v>2013</v>
      </c>
      <c r="I2051" t="str">
        <f t="shared" si="77"/>
        <v>9: 300 - 399</v>
      </c>
      <c r="K2051" t="str">
        <f t="shared" ref="K2051:K2056" si="79">"WB - In"</f>
        <v>WB - In</v>
      </c>
      <c r="L2051" s="1">
        <v>17</v>
      </c>
      <c r="M2051" t="s">
        <v>1907</v>
      </c>
      <c r="O2051" t="s">
        <v>28</v>
      </c>
      <c r="P2051">
        <v>14</v>
      </c>
      <c r="Q2051">
        <v>2</v>
      </c>
      <c r="R2051">
        <v>19</v>
      </c>
      <c r="S2051" s="2">
        <v>42255</v>
      </c>
      <c r="T2051" s="2">
        <v>42276</v>
      </c>
      <c r="U2051" s="2">
        <v>43819</v>
      </c>
      <c r="V2051" s="2">
        <v>43833</v>
      </c>
    </row>
    <row r="2052" spans="1:22" x14ac:dyDescent="0.2">
      <c r="A2052" t="str">
        <f>"378 GOL"</f>
        <v>378 GOL</v>
      </c>
      <c r="B2052" t="str">
        <f>"price of admission: how America's ruling"</f>
        <v>price of admission: how America's ruling</v>
      </c>
      <c r="C2052">
        <v>123678</v>
      </c>
      <c r="D2052" t="str">
        <f>"Golden, Daniel"</f>
        <v>Golden, Daniel</v>
      </c>
      <c r="F2052" t="str">
        <f>"323 p., 25 cm."</f>
        <v>323 p., 25 cm.</v>
      </c>
      <c r="G2052" s="1">
        <v>6</v>
      </c>
      <c r="H2052">
        <v>2006</v>
      </c>
      <c r="I2052" t="str">
        <f t="shared" si="77"/>
        <v>9: 300 - 399</v>
      </c>
      <c r="K2052" t="str">
        <f t="shared" si="79"/>
        <v>WB - In</v>
      </c>
      <c r="L2052" s="1">
        <v>31</v>
      </c>
      <c r="M2052" t="s">
        <v>1908</v>
      </c>
      <c r="O2052" t="s">
        <v>28</v>
      </c>
      <c r="P2052">
        <v>0</v>
      </c>
      <c r="Q2052">
        <v>0</v>
      </c>
      <c r="R2052">
        <v>54</v>
      </c>
      <c r="S2052" s="2">
        <v>38988</v>
      </c>
      <c r="T2052" s="2">
        <v>41053</v>
      </c>
      <c r="U2052" s="2">
        <v>42720</v>
      </c>
      <c r="V2052" s="2">
        <v>41878</v>
      </c>
    </row>
    <row r="2053" spans="1:22" x14ac:dyDescent="0.2">
      <c r="A2053" t="str">
        <f>"378 GRA"</f>
        <v>378 GRA</v>
      </c>
      <c r="B2053" t="str">
        <f>"Graduate admissions essays: write your w"</f>
        <v>Graduate admissions essays: write your w</v>
      </c>
      <c r="C2053">
        <v>349503</v>
      </c>
      <c r="F2053" t="str">
        <f>"v., 26 cm, ill."</f>
        <v>v., 26 cm, ill.</v>
      </c>
      <c r="G2053" s="1">
        <v>18</v>
      </c>
      <c r="I2053" t="str">
        <f t="shared" si="77"/>
        <v>9: 300 - 399</v>
      </c>
      <c r="K2053" t="str">
        <f t="shared" si="79"/>
        <v>WB - In</v>
      </c>
      <c r="L2053" s="1">
        <v>27</v>
      </c>
      <c r="M2053" t="s">
        <v>1909</v>
      </c>
      <c r="O2053" t="s">
        <v>28</v>
      </c>
      <c r="P2053">
        <v>0</v>
      </c>
      <c r="Q2053">
        <v>0</v>
      </c>
      <c r="R2053">
        <v>0</v>
      </c>
      <c r="S2053" s="2">
        <v>43334</v>
      </c>
      <c r="T2053" s="2">
        <v>43341</v>
      </c>
    </row>
    <row r="2054" spans="1:22" x14ac:dyDescent="0.2">
      <c r="A2054" t="str">
        <f>"378 HAC"</f>
        <v>378 HAC</v>
      </c>
      <c r="B2054" t="str">
        <f>"Higher education?: how colleges are wast"</f>
        <v>Higher education?: how colleges are wast</v>
      </c>
      <c r="C2054">
        <v>144674</v>
      </c>
      <c r="D2054" t="str">
        <f>"Hacker, Andrew."</f>
        <v>Hacker, Andrew.</v>
      </c>
      <c r="F2054" t="str">
        <f>"271 p., 25 cm."</f>
        <v>271 p., 25 cm.</v>
      </c>
      <c r="G2054" s="1">
        <v>10</v>
      </c>
      <c r="H2054">
        <v>2010</v>
      </c>
      <c r="I2054" t="str">
        <f t="shared" si="77"/>
        <v>9: 300 - 399</v>
      </c>
      <c r="K2054" t="str">
        <f t="shared" si="79"/>
        <v>WB - In</v>
      </c>
      <c r="L2054" s="1">
        <v>31</v>
      </c>
      <c r="M2054" t="s">
        <v>1910</v>
      </c>
      <c r="O2054" t="s">
        <v>28</v>
      </c>
      <c r="P2054">
        <v>0</v>
      </c>
      <c r="Q2054">
        <v>0</v>
      </c>
      <c r="R2054">
        <v>15</v>
      </c>
      <c r="S2054" s="2">
        <v>40415</v>
      </c>
      <c r="T2054" s="2">
        <v>41053</v>
      </c>
      <c r="U2054" s="2">
        <v>41426</v>
      </c>
      <c r="V2054" s="2">
        <v>41878</v>
      </c>
    </row>
    <row r="2055" spans="1:22" x14ac:dyDescent="0.2">
      <c r="A2055" t="str">
        <f>"378 HAH"</f>
        <v>378 HAH</v>
      </c>
      <c r="B2055" t="str">
        <f>"complete guide to writing effective coll"</f>
        <v>complete guide to writing effective coll</v>
      </c>
      <c r="C2055">
        <v>356557</v>
      </c>
      <c r="D2055" t="str">
        <f>"Hahn, Kathy L."</f>
        <v>Hahn, Kathy L.</v>
      </c>
      <c r="F2055" t="str">
        <f>"256 pages, 23 cm   1 CD-Rom (4 3/4in.), illustrations (some color)"</f>
        <v>256 pages, 23 cm   1 CD-Rom (4 3/4in.), illustrations (some color)</v>
      </c>
      <c r="G2055" s="1">
        <v>19</v>
      </c>
      <c r="H2055">
        <v>2016</v>
      </c>
      <c r="I2055" t="str">
        <f t="shared" si="77"/>
        <v>9: 300 - 399</v>
      </c>
      <c r="K2055" t="str">
        <f t="shared" si="79"/>
        <v>WB - In</v>
      </c>
      <c r="L2055" s="1">
        <v>27</v>
      </c>
      <c r="M2055" t="s">
        <v>1911</v>
      </c>
      <c r="O2055" t="s">
        <v>28</v>
      </c>
      <c r="P2055">
        <v>3</v>
      </c>
      <c r="Q2055">
        <v>0</v>
      </c>
      <c r="R2055">
        <v>3</v>
      </c>
      <c r="S2055" s="2">
        <v>43675</v>
      </c>
      <c r="T2055" s="2">
        <v>43684</v>
      </c>
      <c r="U2055" s="2">
        <v>43843</v>
      </c>
    </row>
    <row r="2056" spans="1:22" x14ac:dyDescent="0.2">
      <c r="A2056" t="str">
        <f>"378 HOW"</f>
        <v>378 HOW</v>
      </c>
      <c r="B2056" t="str">
        <f>"How to survive your freshman year"</f>
        <v>How to survive your freshman year</v>
      </c>
      <c r="C2056">
        <v>313805</v>
      </c>
      <c r="F2056" t="str">
        <f>"434 p."</f>
        <v>434 p.</v>
      </c>
      <c r="G2056" s="1">
        <v>13</v>
      </c>
      <c r="H2056">
        <v>2013</v>
      </c>
      <c r="I2056" t="str">
        <f t="shared" ref="I2056:I2119" si="80">"9: 300 - 399"</f>
        <v>9: 300 - 399</v>
      </c>
      <c r="K2056" t="str">
        <f t="shared" si="79"/>
        <v>WB - In</v>
      </c>
      <c r="L2056" s="1">
        <v>21</v>
      </c>
      <c r="M2056" t="s">
        <v>1912</v>
      </c>
      <c r="O2056" t="s">
        <v>28</v>
      </c>
      <c r="P2056">
        <v>3</v>
      </c>
      <c r="Q2056">
        <v>0</v>
      </c>
      <c r="R2056">
        <v>9</v>
      </c>
      <c r="S2056" s="2">
        <v>41395</v>
      </c>
      <c r="T2056" s="2">
        <v>41411</v>
      </c>
      <c r="U2056" s="2">
        <v>43563</v>
      </c>
    </row>
    <row r="2057" spans="1:22" x14ac:dyDescent="0.2">
      <c r="A2057" t="str">
        <f>"378 IM"</f>
        <v>378 IM</v>
      </c>
      <c r="B2057" t="str">
        <f>"I'm going to college-- not you!: survivi"</f>
        <v>I'm going to college-- not you!: survivi</v>
      </c>
      <c r="C2057">
        <v>322449</v>
      </c>
      <c r="F2057" t="str">
        <f>"xii, 276 p., 21 cm"</f>
        <v>xii, 276 p., 21 cm</v>
      </c>
      <c r="G2057" s="1">
        <v>14</v>
      </c>
      <c r="H2057">
        <v>2010</v>
      </c>
      <c r="I2057" t="str">
        <f t="shared" si="80"/>
        <v>9: 300 - 399</v>
      </c>
      <c r="K2057" t="str">
        <f>"LL - In"</f>
        <v>LL - In</v>
      </c>
      <c r="L2057" s="1">
        <v>23</v>
      </c>
      <c r="M2057" t="s">
        <v>1913</v>
      </c>
      <c r="O2057" t="s">
        <v>28</v>
      </c>
      <c r="P2057">
        <v>1</v>
      </c>
      <c r="Q2057">
        <v>1</v>
      </c>
      <c r="R2057">
        <v>15</v>
      </c>
      <c r="S2057" s="2">
        <v>41827</v>
      </c>
      <c r="T2057" s="2">
        <v>41829</v>
      </c>
      <c r="U2057" s="2">
        <v>43561</v>
      </c>
      <c r="V2057" s="2">
        <v>43230</v>
      </c>
    </row>
    <row r="2058" spans="1:22" x14ac:dyDescent="0.2">
      <c r="A2058" t="str">
        <f>"378 INS"</f>
        <v>378 INS</v>
      </c>
      <c r="B2058" t="str">
        <f>"insider's guide to the colleges 2015"</f>
        <v>insider's guide to the colleges 2015</v>
      </c>
      <c r="C2058">
        <v>274725</v>
      </c>
      <c r="F2058" t="str">
        <f>"945 p."</f>
        <v>945 p.</v>
      </c>
      <c r="G2058" s="1">
        <v>14</v>
      </c>
      <c r="H2058">
        <v>2014</v>
      </c>
      <c r="I2058" t="str">
        <f t="shared" si="80"/>
        <v>9: 300 - 399</v>
      </c>
      <c r="K2058" t="str">
        <f>"WB - In"</f>
        <v>WB - In</v>
      </c>
      <c r="L2058" s="1">
        <v>30</v>
      </c>
      <c r="M2058" t="s">
        <v>1914</v>
      </c>
      <c r="O2058" t="s">
        <v>28</v>
      </c>
      <c r="P2058">
        <v>7</v>
      </c>
      <c r="Q2058">
        <v>0</v>
      </c>
      <c r="R2058">
        <v>24</v>
      </c>
      <c r="S2058" s="2">
        <v>41823</v>
      </c>
      <c r="T2058" s="2">
        <v>41835</v>
      </c>
      <c r="U2058" s="2">
        <v>43627</v>
      </c>
      <c r="V2058" s="2">
        <v>42295</v>
      </c>
    </row>
    <row r="2059" spans="1:22" x14ac:dyDescent="0.2">
      <c r="A2059" t="str">
        <f>"378 JON"</f>
        <v>378 JON</v>
      </c>
      <c r="B2059" t="str">
        <f>"Less stress, more success: a new approac"</f>
        <v>Less stress, more success: a new approac</v>
      </c>
      <c r="C2059">
        <v>127019</v>
      </c>
      <c r="D2059" t="str">
        <f>"Jones, Marilee"</f>
        <v>Jones, Marilee</v>
      </c>
      <c r="F2059" t="str">
        <f>"235 p., 23 cm., ill."</f>
        <v>235 p., 23 cm., ill.</v>
      </c>
      <c r="G2059" s="1">
        <v>7</v>
      </c>
      <c r="H2059">
        <v>2006</v>
      </c>
      <c r="I2059" t="str">
        <f t="shared" si="80"/>
        <v>9: 300 - 399</v>
      </c>
      <c r="K2059" t="str">
        <f>"WB - In"</f>
        <v>WB - In</v>
      </c>
      <c r="L2059" s="1">
        <v>20</v>
      </c>
      <c r="M2059" t="s">
        <v>1915</v>
      </c>
      <c r="O2059" t="s">
        <v>28</v>
      </c>
      <c r="P2059">
        <v>4</v>
      </c>
      <c r="Q2059">
        <v>0</v>
      </c>
      <c r="R2059">
        <v>38</v>
      </c>
      <c r="S2059" s="2">
        <v>39275</v>
      </c>
      <c r="T2059" s="2">
        <v>41053</v>
      </c>
      <c r="U2059" s="2">
        <v>43452</v>
      </c>
      <c r="V2059" s="2">
        <v>41877</v>
      </c>
    </row>
    <row r="2060" spans="1:22" x14ac:dyDescent="0.2">
      <c r="A2060" t="str">
        <f>"378 KW"</f>
        <v>378 KW</v>
      </c>
      <c r="B2060" t="str">
        <f>"K &amp; W guide to colleges for students wit"</f>
        <v>K &amp; W guide to colleges for students wit</v>
      </c>
      <c r="C2060">
        <v>321918</v>
      </c>
      <c r="F2060" t="str">
        <f>"v., 26 cm"</f>
        <v>v., 26 cm</v>
      </c>
      <c r="G2060" s="1">
        <v>14</v>
      </c>
      <c r="H2060">
        <v>1999</v>
      </c>
      <c r="I2060" t="str">
        <f t="shared" si="80"/>
        <v>9: 300 - 399</v>
      </c>
      <c r="K2060" t="str">
        <f>"LL - In"</f>
        <v>LL - In</v>
      </c>
      <c r="L2060" s="1">
        <v>35</v>
      </c>
      <c r="M2060" t="s">
        <v>1916</v>
      </c>
      <c r="O2060" t="s">
        <v>28</v>
      </c>
      <c r="P2060">
        <v>2</v>
      </c>
      <c r="Q2060">
        <v>1</v>
      </c>
      <c r="R2060">
        <v>8</v>
      </c>
      <c r="S2060" s="2">
        <v>41807</v>
      </c>
      <c r="T2060" s="2">
        <v>41809</v>
      </c>
      <c r="U2060" s="2">
        <v>43558</v>
      </c>
      <c r="V2060" s="2">
        <v>43166</v>
      </c>
    </row>
    <row r="2061" spans="1:22" x14ac:dyDescent="0.2">
      <c r="A2061" t="str">
        <f>"378 KWA"</f>
        <v>378 KWA</v>
      </c>
      <c r="B2061" t="str">
        <f>"K&amp;W guide to colleges for students with "</f>
        <v xml:space="preserve">K&amp;W guide to colleges for students with </v>
      </c>
      <c r="C2061">
        <v>356390</v>
      </c>
      <c r="D2061" t="str">
        <f>"Kravets, Marybeth."</f>
        <v>Kravets, Marybeth.</v>
      </c>
      <c r="F2061" t="str">
        <f>"xi, 721 pages, 27 cm"</f>
        <v>xi, 721 pages, 27 cm</v>
      </c>
      <c r="G2061" s="1">
        <v>19</v>
      </c>
      <c r="H2061">
        <v>2019</v>
      </c>
      <c r="I2061" t="str">
        <f t="shared" si="80"/>
        <v>9: 300 - 399</v>
      </c>
      <c r="K2061" t="str">
        <f>"WB - In"</f>
        <v>WB - In</v>
      </c>
      <c r="L2061" s="1">
        <v>37</v>
      </c>
      <c r="M2061" t="s">
        <v>1917</v>
      </c>
      <c r="O2061" t="s">
        <v>28</v>
      </c>
      <c r="P2061">
        <v>1</v>
      </c>
      <c r="Q2061">
        <v>1</v>
      </c>
      <c r="R2061">
        <v>2</v>
      </c>
      <c r="S2061" s="2">
        <v>43671</v>
      </c>
      <c r="T2061" s="2">
        <v>43696</v>
      </c>
      <c r="U2061" s="2">
        <v>43703</v>
      </c>
      <c r="V2061" s="2">
        <v>43698</v>
      </c>
    </row>
    <row r="2062" spans="1:22" x14ac:dyDescent="0.2">
      <c r="A2062" t="str">
        <f>"378 LAN"</f>
        <v>378 LAN</v>
      </c>
      <c r="B2062" t="str">
        <f>"Cracking the AP English language and com"</f>
        <v>Cracking the AP English language and com</v>
      </c>
      <c r="C2062">
        <v>349439</v>
      </c>
      <c r="F2062" t="str">
        <f>"245 pages, 28 cm, illustrations, map"</f>
        <v>245 pages, 28 cm, illustrations, map</v>
      </c>
      <c r="G2062" s="1">
        <v>18</v>
      </c>
      <c r="H2062">
        <v>2018</v>
      </c>
      <c r="I2062" t="str">
        <f t="shared" si="80"/>
        <v>9: 300 - 399</v>
      </c>
      <c r="K2062" t="str">
        <f>"WB - In"</f>
        <v>WB - In</v>
      </c>
      <c r="L2062" s="1">
        <v>24</v>
      </c>
      <c r="M2062" t="s">
        <v>1918</v>
      </c>
      <c r="O2062" t="s">
        <v>28</v>
      </c>
      <c r="P2062">
        <v>1</v>
      </c>
      <c r="Q2062">
        <v>0</v>
      </c>
      <c r="R2062">
        <v>1</v>
      </c>
      <c r="S2062" s="2">
        <v>43333</v>
      </c>
      <c r="T2062" s="2">
        <v>43336</v>
      </c>
      <c r="U2062" s="2">
        <v>43365</v>
      </c>
    </row>
    <row r="2063" spans="1:22" x14ac:dyDescent="0.2">
      <c r="A2063" t="str">
        <f>"378 MAM"</f>
        <v>378 MAM</v>
      </c>
      <c r="B2063" t="str">
        <f>"College admission: from application to a"</f>
        <v>College admission: from application to a</v>
      </c>
      <c r="C2063">
        <v>304406</v>
      </c>
      <c r="D2063" t="str">
        <f>"Mamlet, Robin."</f>
        <v>Mamlet, Robin.</v>
      </c>
      <c r="F2063" t="str">
        <f>"xviii, 405 p., 24 cm., ill."</f>
        <v>xviii, 405 p., 24 cm., ill.</v>
      </c>
      <c r="G2063" s="1">
        <v>11</v>
      </c>
      <c r="H2063">
        <v>2011</v>
      </c>
      <c r="I2063" t="str">
        <f t="shared" si="80"/>
        <v>9: 300 - 399</v>
      </c>
      <c r="K2063" t="str">
        <f>"LL - In"</f>
        <v>LL - In</v>
      </c>
      <c r="L2063" s="1">
        <v>25</v>
      </c>
      <c r="M2063" t="s">
        <v>1919</v>
      </c>
      <c r="O2063" t="s">
        <v>28</v>
      </c>
      <c r="P2063">
        <v>7</v>
      </c>
      <c r="Q2063">
        <v>2</v>
      </c>
      <c r="R2063">
        <v>39</v>
      </c>
      <c r="S2063" s="2">
        <v>40877</v>
      </c>
      <c r="T2063" s="2">
        <v>41053</v>
      </c>
      <c r="U2063" s="2">
        <v>43742</v>
      </c>
      <c r="V2063" s="2">
        <v>43699</v>
      </c>
    </row>
    <row r="2064" spans="1:22" x14ac:dyDescent="0.2">
      <c r="A2064" t="str">
        <f>"378 MAR"</f>
        <v>378 MAR</v>
      </c>
      <c r="B2064" t="str">
        <f>"Find the perfect college for you: 82 exc"</f>
        <v>Find the perfect college for you: 82 exc</v>
      </c>
      <c r="C2064">
        <v>343009</v>
      </c>
      <c r="D2064" t="str">
        <f>"Marie, Rosalind P."</f>
        <v>Marie, Rosalind P.</v>
      </c>
      <c r="F2064" t="str">
        <f>"385 p."</f>
        <v>385 p.</v>
      </c>
      <c r="G2064" s="1">
        <v>17</v>
      </c>
      <c r="H2064">
        <v>2016</v>
      </c>
      <c r="I2064" t="str">
        <f t="shared" si="80"/>
        <v>9: 300 - 399</v>
      </c>
      <c r="K2064" t="str">
        <f>"LL - In"</f>
        <v>LL - In</v>
      </c>
      <c r="L2064" s="1">
        <v>25</v>
      </c>
      <c r="M2064" t="s">
        <v>1920</v>
      </c>
      <c r="O2064" t="s">
        <v>28</v>
      </c>
      <c r="P2064">
        <v>5</v>
      </c>
      <c r="Q2064">
        <v>1</v>
      </c>
      <c r="R2064">
        <v>6</v>
      </c>
      <c r="S2064" s="2">
        <v>42955</v>
      </c>
      <c r="T2064" s="2">
        <v>42961</v>
      </c>
      <c r="U2064" s="2">
        <v>43623</v>
      </c>
      <c r="V2064" s="2">
        <v>43606</v>
      </c>
    </row>
    <row r="2065" spans="1:22" x14ac:dyDescent="0.2">
      <c r="A2065" t="str">
        <f>"378 MAR"</f>
        <v>378 MAR</v>
      </c>
      <c r="B2065" t="str">
        <f>"Follow your interests to find the right "</f>
        <v xml:space="preserve">Follow your interests to find the right </v>
      </c>
      <c r="C2065">
        <v>338163</v>
      </c>
      <c r="D2065" t="str">
        <f>"Marthers, Janet"</f>
        <v>Marthers, Janet</v>
      </c>
      <c r="F2065" t="str">
        <f>"xii, 421 pages, 26 cm"</f>
        <v>xii, 421 pages, 26 cm</v>
      </c>
      <c r="G2065" s="1">
        <v>16</v>
      </c>
      <c r="H2065">
        <v>2016</v>
      </c>
      <c r="I2065" t="str">
        <f t="shared" si="80"/>
        <v>9: 300 - 399</v>
      </c>
      <c r="K2065" t="str">
        <f>"WB - In"</f>
        <v>WB - In</v>
      </c>
      <c r="L2065" s="1">
        <v>34</v>
      </c>
      <c r="M2065" t="s">
        <v>1921</v>
      </c>
      <c r="O2065" t="s">
        <v>28</v>
      </c>
      <c r="P2065">
        <v>4</v>
      </c>
      <c r="Q2065">
        <v>0</v>
      </c>
      <c r="R2065">
        <v>4</v>
      </c>
      <c r="S2065" s="2">
        <v>42674</v>
      </c>
      <c r="T2065" s="2">
        <v>42704</v>
      </c>
      <c r="U2065" s="2">
        <v>43502</v>
      </c>
    </row>
    <row r="2066" spans="1:22" x14ac:dyDescent="0.2">
      <c r="A2066" t="str">
        <f>"378 MCG"</f>
        <v>378 MCG</v>
      </c>
      <c r="B2066" t="str">
        <f>"college application essay"</f>
        <v>college application essay</v>
      </c>
      <c r="C2066">
        <v>329313</v>
      </c>
      <c r="D2066" t="str">
        <f>"McGinty, Sarah Myers"</f>
        <v>McGinty, Sarah Myers</v>
      </c>
      <c r="F2066" t="str">
        <f>"160 pages, 23 cm, illustrations"</f>
        <v>160 pages, 23 cm, illustrations</v>
      </c>
      <c r="G2066" s="1">
        <v>15</v>
      </c>
      <c r="H2066">
        <v>2015</v>
      </c>
      <c r="I2066" t="str">
        <f t="shared" si="80"/>
        <v>9: 300 - 399</v>
      </c>
      <c r="K2066" t="str">
        <f>"WB - In"</f>
        <v>WB - In</v>
      </c>
      <c r="L2066" s="1">
        <v>21</v>
      </c>
      <c r="M2066" t="s">
        <v>1922</v>
      </c>
      <c r="O2066" t="s">
        <v>28</v>
      </c>
      <c r="P2066">
        <v>17</v>
      </c>
      <c r="Q2066">
        <v>1</v>
      </c>
      <c r="R2066">
        <v>23</v>
      </c>
      <c r="S2066" s="2">
        <v>42233</v>
      </c>
      <c r="T2066" s="2">
        <v>42247</v>
      </c>
      <c r="U2066" s="2">
        <v>43843</v>
      </c>
      <c r="V2066" s="2">
        <v>43643</v>
      </c>
    </row>
    <row r="2067" spans="1:22" x14ac:dyDescent="0.2">
      <c r="A2067" t="str">
        <f>"378 MOL"</f>
        <v>378 MOL</v>
      </c>
      <c r="B2067" t="str">
        <f>"What's the deal with college admissions?"</f>
        <v>What's the deal with college admissions?</v>
      </c>
      <c r="C2067">
        <v>289000</v>
      </c>
      <c r="D2067" t="str">
        <f>"Molarsky, Mona"</f>
        <v>Molarsky, Mona</v>
      </c>
      <c r="F2067" t="str">
        <f>"135 p."</f>
        <v>135 p.</v>
      </c>
      <c r="G2067" s="1">
        <v>16</v>
      </c>
      <c r="H2067">
        <v>2015</v>
      </c>
      <c r="I2067" t="str">
        <f t="shared" si="80"/>
        <v>9: 300 - 399</v>
      </c>
      <c r="K2067" t="str">
        <f>"WB - In"</f>
        <v>WB - In</v>
      </c>
      <c r="L2067" s="1">
        <v>13</v>
      </c>
      <c r="M2067" t="s">
        <v>1923</v>
      </c>
      <c r="O2067" t="s">
        <v>28</v>
      </c>
      <c r="P2067">
        <v>5</v>
      </c>
      <c r="Q2067">
        <v>1</v>
      </c>
      <c r="R2067">
        <v>8</v>
      </c>
      <c r="S2067" s="2">
        <v>42544</v>
      </c>
      <c r="T2067" s="2">
        <v>42576</v>
      </c>
      <c r="U2067" s="2">
        <v>43687</v>
      </c>
      <c r="V2067" s="2">
        <v>43693</v>
      </c>
    </row>
    <row r="2068" spans="1:22" x14ac:dyDescent="0.2">
      <c r="A2068" t="str">
        <f>"378 MUI"</f>
        <v>378 MUI</v>
      </c>
      <c r="B2068" t="str">
        <f>"Finding your U: navigating the college a"</f>
        <v>Finding your U: navigating the college a</v>
      </c>
      <c r="C2068">
        <v>286801</v>
      </c>
      <c r="D2068" t="str">
        <f>"Muir, Judith"</f>
        <v>Muir, Judith</v>
      </c>
      <c r="G2068" s="1">
        <v>16</v>
      </c>
      <c r="H2068">
        <v>2015</v>
      </c>
      <c r="I2068" t="str">
        <f t="shared" si="80"/>
        <v>9: 300 - 399</v>
      </c>
      <c r="K2068" t="str">
        <f>"LL - In"</f>
        <v>LL - In</v>
      </c>
      <c r="L2068" s="1">
        <v>25</v>
      </c>
      <c r="M2068" t="s">
        <v>1924</v>
      </c>
      <c r="O2068" t="s">
        <v>28</v>
      </c>
      <c r="P2068">
        <v>4</v>
      </c>
      <c r="Q2068">
        <v>1</v>
      </c>
      <c r="R2068">
        <v>6</v>
      </c>
      <c r="S2068" s="2">
        <v>42437</v>
      </c>
      <c r="T2068" s="2">
        <v>42451</v>
      </c>
      <c r="U2068" s="2">
        <v>43717</v>
      </c>
      <c r="V2068" s="2">
        <v>43128</v>
      </c>
    </row>
    <row r="2069" spans="1:22" x14ac:dyDescent="0.2">
      <c r="A2069" t="str">
        <f>"378 NEW"</f>
        <v>378 NEW</v>
      </c>
      <c r="B2069" t="str">
        <f>"idea of a university"</f>
        <v>idea of a university</v>
      </c>
      <c r="C2069">
        <v>293094</v>
      </c>
      <c r="D2069" t="str">
        <f>"Newman, John Henry"</f>
        <v>Newman, John Henry</v>
      </c>
      <c r="G2069" s="1">
        <v>17</v>
      </c>
      <c r="H2069">
        <v>2015</v>
      </c>
      <c r="I2069" t="str">
        <f t="shared" si="80"/>
        <v>9: 300 - 399</v>
      </c>
      <c r="K2069" t="str">
        <f>"LL - In"</f>
        <v>LL - In</v>
      </c>
      <c r="L2069" s="1">
        <v>16</v>
      </c>
      <c r="M2069" t="s">
        <v>1925</v>
      </c>
      <c r="O2069" t="s">
        <v>28</v>
      </c>
      <c r="P2069">
        <v>1</v>
      </c>
      <c r="Q2069">
        <v>0</v>
      </c>
      <c r="R2069">
        <v>1</v>
      </c>
      <c r="S2069" s="2">
        <v>42779</v>
      </c>
      <c r="T2069" s="2">
        <v>42788</v>
      </c>
      <c r="U2069" s="2">
        <v>42789</v>
      </c>
    </row>
    <row r="2070" spans="1:22" x14ac:dyDescent="0.2">
      <c r="A2070" t="str">
        <f>"378 NEW"</f>
        <v>378 NEW</v>
      </c>
      <c r="B2070" t="str">
        <f>"How to be a high school superstar: a rev"</f>
        <v>How to be a high school superstar: a rev</v>
      </c>
      <c r="C2070">
        <v>319665</v>
      </c>
      <c r="D2070" t="str">
        <f>"Newport, Cal."</f>
        <v>Newport, Cal.</v>
      </c>
      <c r="F2070" t="str">
        <f>"xxvi, 244 p., 21 cm"</f>
        <v>xxvi, 244 p., 21 cm</v>
      </c>
      <c r="G2070" s="1">
        <v>14</v>
      </c>
      <c r="H2070">
        <v>2010</v>
      </c>
      <c r="I2070" t="str">
        <f t="shared" si="80"/>
        <v>9: 300 - 399</v>
      </c>
      <c r="K2070" t="str">
        <f>"LL - In"</f>
        <v>LL - In</v>
      </c>
      <c r="L2070" s="1">
        <v>18</v>
      </c>
      <c r="M2070" t="s">
        <v>1926</v>
      </c>
      <c r="O2070" t="s">
        <v>28</v>
      </c>
      <c r="P2070">
        <v>14</v>
      </c>
      <c r="Q2070">
        <v>0</v>
      </c>
      <c r="R2070">
        <v>37</v>
      </c>
      <c r="S2070" s="2">
        <v>41670</v>
      </c>
      <c r="T2070" s="2">
        <v>41681</v>
      </c>
      <c r="U2070" s="2">
        <v>43717</v>
      </c>
    </row>
    <row r="2071" spans="1:22" x14ac:dyDescent="0.2">
      <c r="A2071" t="str">
        <f>"378 NEW"</f>
        <v>378 NEW</v>
      </c>
      <c r="B2071" t="str">
        <f>"How to become a straight-A student: the "</f>
        <v xml:space="preserve">How to become a straight-A student: the </v>
      </c>
      <c r="C2071">
        <v>330785</v>
      </c>
      <c r="D2071" t="str">
        <f>"Newport, Cal."</f>
        <v>Newport, Cal.</v>
      </c>
      <c r="F2071" t="str">
        <f>"vi, 217 p., 21 cm"</f>
        <v>vi, 217 p., 21 cm</v>
      </c>
      <c r="G2071" s="1">
        <v>15</v>
      </c>
      <c r="H2071">
        <v>2007</v>
      </c>
      <c r="I2071" t="str">
        <f t="shared" si="80"/>
        <v>9: 300 - 399</v>
      </c>
      <c r="K2071" t="str">
        <f>"LL - In"</f>
        <v>LL - In</v>
      </c>
      <c r="L2071" s="1">
        <v>19</v>
      </c>
      <c r="M2071" t="s">
        <v>1927</v>
      </c>
      <c r="O2071" t="s">
        <v>28</v>
      </c>
      <c r="P2071">
        <v>11</v>
      </c>
      <c r="Q2071">
        <v>0</v>
      </c>
      <c r="R2071">
        <v>20</v>
      </c>
      <c r="S2071" s="2">
        <v>42300</v>
      </c>
      <c r="T2071" s="2">
        <v>42310</v>
      </c>
      <c r="U2071" s="2">
        <v>43715</v>
      </c>
    </row>
    <row r="2072" spans="1:22" x14ac:dyDescent="0.2">
      <c r="A2072" t="str">
        <f>"378 NEW"</f>
        <v>378 NEW</v>
      </c>
      <c r="B2072" t="str">
        <f>"How to become a straight-A student: the "</f>
        <v xml:space="preserve">How to become a straight-A student: the </v>
      </c>
      <c r="C2072">
        <v>408202</v>
      </c>
      <c r="D2072" t="str">
        <f>"Newport, Cal."</f>
        <v>Newport, Cal.</v>
      </c>
      <c r="F2072" t="str">
        <f>"vi, 217 p., 21 cm"</f>
        <v>vi, 217 p., 21 cm</v>
      </c>
      <c r="G2072" s="1">
        <v>19</v>
      </c>
      <c r="H2072">
        <v>2007</v>
      </c>
      <c r="I2072" t="str">
        <f t="shared" si="80"/>
        <v>9: 300 - 399</v>
      </c>
      <c r="K2072" t="str">
        <f>"WB - In"</f>
        <v>WB - In</v>
      </c>
      <c r="L2072" s="1">
        <v>19</v>
      </c>
      <c r="M2072" t="s">
        <v>1927</v>
      </c>
      <c r="O2072" t="s">
        <v>28</v>
      </c>
      <c r="P2072">
        <v>0</v>
      </c>
      <c r="Q2072">
        <v>0</v>
      </c>
      <c r="R2072">
        <v>0</v>
      </c>
      <c r="S2072" s="2">
        <v>43756</v>
      </c>
      <c r="T2072" s="2">
        <v>43804</v>
      </c>
    </row>
    <row r="2073" spans="1:22" x14ac:dyDescent="0.2">
      <c r="A2073" t="str">
        <f>"378 ORR"</f>
        <v>378 ORR</v>
      </c>
      <c r="B2073" t="str">
        <f>"America's best colleges for B students: "</f>
        <v xml:space="preserve">America's best colleges for B students: </v>
      </c>
      <c r="C2073">
        <v>328906</v>
      </c>
      <c r="D2073" t="str">
        <f>"Orr, Tamra"</f>
        <v>Orr, Tamra</v>
      </c>
      <c r="F2073" t="str">
        <f>"xiv, 600 pages, 27 cm"</f>
        <v>xiv, 600 pages, 27 cm</v>
      </c>
      <c r="G2073" s="1">
        <v>15</v>
      </c>
      <c r="H2073">
        <v>2015</v>
      </c>
      <c r="I2073" t="str">
        <f t="shared" si="80"/>
        <v>9: 300 - 399</v>
      </c>
      <c r="K2073" t="str">
        <f>"WB - In"</f>
        <v>WB - In</v>
      </c>
      <c r="L2073" s="1">
        <v>25</v>
      </c>
      <c r="M2073" t="s">
        <v>1928</v>
      </c>
      <c r="O2073" t="s">
        <v>28</v>
      </c>
      <c r="P2073">
        <v>2</v>
      </c>
      <c r="Q2073">
        <v>1</v>
      </c>
      <c r="R2073">
        <v>7</v>
      </c>
      <c r="S2073" s="2">
        <v>42212</v>
      </c>
      <c r="T2073" s="2">
        <v>42227</v>
      </c>
      <c r="U2073" s="2">
        <v>43642</v>
      </c>
      <c r="V2073" s="2">
        <v>43292</v>
      </c>
    </row>
    <row r="2074" spans="1:22" x14ac:dyDescent="0.2">
      <c r="A2074" t="str">
        <f>"378 OSH"</f>
        <v>378 OSH</v>
      </c>
      <c r="B2074" t="str">
        <f>"college solution: a guide for everyone l"</f>
        <v>college solution: a guide for everyone l</v>
      </c>
      <c r="C2074">
        <v>308706</v>
      </c>
      <c r="D2074" t="str">
        <f>"O'Shaughnessy, Lynn,"</f>
        <v>O'Shaughnessy, Lynn,</v>
      </c>
      <c r="F2074" t="str">
        <f>"xvi, 266 p., 23 cm."</f>
        <v>xvi, 266 p., 23 cm.</v>
      </c>
      <c r="G2074" s="1">
        <v>12</v>
      </c>
      <c r="H2074">
        <v>2012</v>
      </c>
      <c r="I2074" t="str">
        <f t="shared" si="80"/>
        <v>9: 300 - 399</v>
      </c>
      <c r="K2074" t="str">
        <f>"LL - In"</f>
        <v>LL - In</v>
      </c>
      <c r="L2074" s="1">
        <v>30</v>
      </c>
      <c r="M2074" t="s">
        <v>1929</v>
      </c>
      <c r="O2074" t="s">
        <v>28</v>
      </c>
      <c r="P2074">
        <v>5</v>
      </c>
      <c r="Q2074">
        <v>0</v>
      </c>
      <c r="R2074">
        <v>31</v>
      </c>
      <c r="S2074" s="2">
        <v>41113</v>
      </c>
      <c r="T2074" s="2">
        <v>41121</v>
      </c>
      <c r="U2074" s="2">
        <v>43627</v>
      </c>
    </row>
    <row r="2075" spans="1:22" x14ac:dyDescent="0.2">
      <c r="A2075" t="str">
        <f>"378 POP"</f>
        <v>378 POP</v>
      </c>
      <c r="B2075" t="str">
        <f>"Colleges that change lives: 40 schools t"</f>
        <v>Colleges that change lives: 40 schools t</v>
      </c>
      <c r="C2075">
        <v>309262</v>
      </c>
      <c r="D2075" t="str">
        <f>"Pope, Loren"</f>
        <v>Pope, Loren</v>
      </c>
      <c r="F2075" t="str">
        <f>"340 p."</f>
        <v>340 p.</v>
      </c>
      <c r="G2075" s="1">
        <v>12</v>
      </c>
      <c r="H2075">
        <v>2012</v>
      </c>
      <c r="I2075" t="str">
        <f t="shared" si="80"/>
        <v>9: 300 - 399</v>
      </c>
      <c r="K2075" t="str">
        <f>"WB - In"</f>
        <v>WB - In</v>
      </c>
      <c r="L2075" s="1">
        <v>22</v>
      </c>
      <c r="M2075" t="s">
        <v>1930</v>
      </c>
      <c r="O2075" t="s">
        <v>28</v>
      </c>
      <c r="P2075">
        <v>8</v>
      </c>
      <c r="Q2075">
        <v>5</v>
      </c>
      <c r="R2075">
        <v>30</v>
      </c>
      <c r="S2075" s="2">
        <v>41152</v>
      </c>
      <c r="T2075" s="2">
        <v>41162</v>
      </c>
      <c r="U2075" s="2">
        <v>43726</v>
      </c>
      <c r="V2075" s="2">
        <v>43384</v>
      </c>
    </row>
    <row r="2076" spans="1:22" x14ac:dyDescent="0.2">
      <c r="A2076" t="str">
        <f>"378 POP"</f>
        <v>378 POP</v>
      </c>
      <c r="B2076" t="str">
        <f>"Looking beyond the Ivy League: finding t"</f>
        <v>Looking beyond the Ivy League: finding t</v>
      </c>
      <c r="C2076">
        <v>133598</v>
      </c>
      <c r="D2076" t="str">
        <f>"Pope, Loren"</f>
        <v>Pope, Loren</v>
      </c>
      <c r="F2076" t="str">
        <f>"xvii, 267 p., 20 cm."</f>
        <v>xvii, 267 p., 20 cm.</v>
      </c>
      <c r="G2076" s="1">
        <v>8</v>
      </c>
      <c r="H2076">
        <v>2007</v>
      </c>
      <c r="I2076" t="str">
        <f t="shared" si="80"/>
        <v>9: 300 - 399</v>
      </c>
      <c r="K2076" t="str">
        <f>"WB - In"</f>
        <v>WB - In</v>
      </c>
      <c r="L2076" s="1">
        <v>20</v>
      </c>
      <c r="M2076" t="s">
        <v>1931</v>
      </c>
      <c r="O2076" t="s">
        <v>28</v>
      </c>
      <c r="P2076">
        <v>6</v>
      </c>
      <c r="Q2076">
        <v>0</v>
      </c>
      <c r="R2076">
        <v>48</v>
      </c>
      <c r="S2076" s="2">
        <v>39777</v>
      </c>
      <c r="T2076" s="2">
        <v>41053</v>
      </c>
      <c r="U2076" s="2">
        <v>43722</v>
      </c>
      <c r="V2076" s="2">
        <v>42604</v>
      </c>
    </row>
    <row r="2077" spans="1:22" x14ac:dyDescent="0.2">
      <c r="A2077" t="str">
        <f>"378 ROB"</f>
        <v>378 ROB</v>
      </c>
      <c r="B2077" t="str">
        <f>"thinking student's guide to college: 75 "</f>
        <v xml:space="preserve">thinking student's guide to college: 75 </v>
      </c>
      <c r="C2077">
        <v>315525</v>
      </c>
      <c r="D2077" t="str">
        <f>"Roberts, Andrew Lawrence,"</f>
        <v>Roberts, Andrew Lawrence,</v>
      </c>
      <c r="F2077" t="str">
        <f>"174 p., 23 cm."</f>
        <v>174 p., 23 cm.</v>
      </c>
      <c r="G2077" s="1">
        <v>13</v>
      </c>
      <c r="H2077">
        <v>2010</v>
      </c>
      <c r="I2077" t="str">
        <f t="shared" si="80"/>
        <v>9: 300 - 399</v>
      </c>
      <c r="K2077" t="str">
        <f>"WB - In"</f>
        <v>WB - In</v>
      </c>
      <c r="L2077" s="1">
        <v>19</v>
      </c>
      <c r="M2077" t="s">
        <v>1932</v>
      </c>
      <c r="O2077" t="s">
        <v>28</v>
      </c>
      <c r="P2077">
        <v>5</v>
      </c>
      <c r="Q2077">
        <v>1</v>
      </c>
      <c r="R2077">
        <v>18</v>
      </c>
      <c r="S2077" s="2">
        <v>41465</v>
      </c>
      <c r="T2077" s="2">
        <v>41478</v>
      </c>
      <c r="U2077" s="2">
        <v>43406</v>
      </c>
      <c r="V2077" s="2">
        <v>42774</v>
      </c>
    </row>
    <row r="2078" spans="1:22" x14ac:dyDescent="0.2">
      <c r="A2078" t="str">
        <f>"378 ROT"</f>
        <v>378 ROT</v>
      </c>
      <c r="B2078" t="str">
        <f>"neurotic parent's guide to college admis"</f>
        <v>neurotic parent's guide to college admis</v>
      </c>
      <c r="C2078">
        <v>318200</v>
      </c>
      <c r="D2078" t="str">
        <f>"Rothman, J. D."</f>
        <v>Rothman, J. D.</v>
      </c>
      <c r="F2078" t="str">
        <f>"256 p., 21 cm, ill."</f>
        <v>256 p., 21 cm, ill.</v>
      </c>
      <c r="G2078" s="1">
        <v>13</v>
      </c>
      <c r="H2078">
        <v>2012</v>
      </c>
      <c r="I2078" t="str">
        <f t="shared" si="80"/>
        <v>9: 300 - 399</v>
      </c>
      <c r="K2078" t="str">
        <f>"WB - In"</f>
        <v>WB - In</v>
      </c>
      <c r="L2078" s="1">
        <v>22</v>
      </c>
      <c r="M2078" t="s">
        <v>1933</v>
      </c>
      <c r="O2078" t="s">
        <v>28</v>
      </c>
      <c r="P2078">
        <v>8</v>
      </c>
      <c r="Q2078">
        <v>2</v>
      </c>
      <c r="R2078">
        <v>30</v>
      </c>
      <c r="S2078" s="2">
        <v>41604</v>
      </c>
      <c r="T2078" s="2">
        <v>41625</v>
      </c>
      <c r="U2078" s="2">
        <v>43687</v>
      </c>
      <c r="V2078" s="2">
        <v>43693</v>
      </c>
    </row>
    <row r="2079" spans="1:22" x14ac:dyDescent="0.2">
      <c r="A2079" t="str">
        <f>"378 SAW"</f>
        <v>378 SAW</v>
      </c>
      <c r="B2079" t="str">
        <f>"College essay essentials: a step-by-step"</f>
        <v>College essay essentials: a step-by-step</v>
      </c>
      <c r="C2079">
        <v>346641</v>
      </c>
      <c r="D2079" t="str">
        <f>"Sawyer, Ethan"</f>
        <v>Sawyer, Ethan</v>
      </c>
      <c r="F2079" t="str">
        <f>"xvii, 237 pages, 21 cm"</f>
        <v>xvii, 237 pages, 21 cm</v>
      </c>
      <c r="G2079" s="1">
        <v>18</v>
      </c>
      <c r="H2079">
        <v>2016</v>
      </c>
      <c r="I2079" t="str">
        <f t="shared" si="80"/>
        <v>9: 300 - 399</v>
      </c>
      <c r="K2079" t="str">
        <f>"WB - In"</f>
        <v>WB - In</v>
      </c>
      <c r="L2079" s="1">
        <v>20</v>
      </c>
      <c r="M2079" t="s">
        <v>1934</v>
      </c>
      <c r="O2079" t="s">
        <v>28</v>
      </c>
      <c r="P2079">
        <v>11</v>
      </c>
      <c r="Q2079">
        <v>2</v>
      </c>
      <c r="R2079">
        <v>13</v>
      </c>
      <c r="S2079" s="2">
        <v>43172</v>
      </c>
      <c r="T2079" s="2">
        <v>43179</v>
      </c>
      <c r="U2079" s="2">
        <v>43843</v>
      </c>
      <c r="V2079" s="2">
        <v>43833</v>
      </c>
    </row>
    <row r="2080" spans="1:22" x14ac:dyDescent="0.2">
      <c r="A2080" t="str">
        <f>"378 SCH"</f>
        <v>378 SCH</v>
      </c>
      <c r="B2080" t="str">
        <f>"Campus visits &amp; college interviews: a co"</f>
        <v>Campus visits &amp; college interviews: a co</v>
      </c>
      <c r="C2080">
        <v>317355</v>
      </c>
      <c r="D2080" t="str">
        <f>"Schneider, Zola Dincin."</f>
        <v>Schneider, Zola Dincin.</v>
      </c>
      <c r="F2080" t="str">
        <f>"xvi, 184 p., 23 cm, ill."</f>
        <v>xvi, 184 p., 23 cm, ill.</v>
      </c>
      <c r="G2080" s="1">
        <v>13</v>
      </c>
      <c r="H2080">
        <v>2012</v>
      </c>
      <c r="I2080" t="str">
        <f t="shared" si="80"/>
        <v>9: 300 - 399</v>
      </c>
      <c r="K2080" t="str">
        <f>"LL - In"</f>
        <v>LL - In</v>
      </c>
      <c r="L2080" s="1">
        <v>20</v>
      </c>
      <c r="M2080" t="s">
        <v>1935</v>
      </c>
      <c r="O2080" t="s">
        <v>28</v>
      </c>
      <c r="P2080">
        <v>6</v>
      </c>
      <c r="Q2080">
        <v>1</v>
      </c>
      <c r="R2080">
        <v>24</v>
      </c>
      <c r="S2080" s="2">
        <v>41568</v>
      </c>
      <c r="T2080" s="2">
        <v>41583</v>
      </c>
      <c r="U2080" s="2">
        <v>43627</v>
      </c>
      <c r="V2080" s="2">
        <v>43263</v>
      </c>
    </row>
    <row r="2081" spans="1:22" x14ac:dyDescent="0.2">
      <c r="A2081" t="str">
        <f>"378 SEL"</f>
        <v>378 SEL</v>
      </c>
      <c r="B2081" t="str">
        <f>"College (un)bound: the future of higher "</f>
        <v xml:space="preserve">College (un)bound: the future of higher </v>
      </c>
      <c r="C2081">
        <v>323576</v>
      </c>
      <c r="D2081" t="str">
        <f>"Selingo, Jeffrey J."</f>
        <v>Selingo, Jeffrey J.</v>
      </c>
      <c r="F2081" t="str">
        <f>"xviii, 238 pages, 24 cm"</f>
        <v>xviii, 238 pages, 24 cm</v>
      </c>
      <c r="G2081" s="1">
        <v>14</v>
      </c>
      <c r="H2081">
        <v>2013</v>
      </c>
      <c r="I2081" t="str">
        <f t="shared" si="80"/>
        <v>9: 300 - 399</v>
      </c>
      <c r="K2081" t="str">
        <f>"WB - In"</f>
        <v>WB - In</v>
      </c>
      <c r="L2081" s="1">
        <v>31</v>
      </c>
      <c r="M2081" t="s">
        <v>1936</v>
      </c>
      <c r="O2081" t="s">
        <v>28</v>
      </c>
      <c r="P2081">
        <v>2</v>
      </c>
      <c r="Q2081">
        <v>1</v>
      </c>
      <c r="R2081">
        <v>13</v>
      </c>
      <c r="S2081" s="2">
        <v>41897</v>
      </c>
      <c r="T2081" s="2">
        <v>41899</v>
      </c>
      <c r="U2081" s="2">
        <v>43564</v>
      </c>
      <c r="V2081" s="2">
        <v>43278</v>
      </c>
    </row>
    <row r="2082" spans="1:22" x14ac:dyDescent="0.2">
      <c r="A2082" t="str">
        <f>"378 SHU"</f>
        <v>378 SHU</v>
      </c>
      <c r="B2082" t="str">
        <f>"College admissions cracked: saving your "</f>
        <v xml:space="preserve">College admissions cracked: saving your </v>
      </c>
      <c r="C2082">
        <v>359368</v>
      </c>
      <c r="D2082" t="str">
        <f>"Shulman, Jill Margaret"</f>
        <v>Shulman, Jill Margaret</v>
      </c>
      <c r="F2082" t="str">
        <f>"viii, 309 pages, 24 cm"</f>
        <v>viii, 309 pages, 24 cm</v>
      </c>
      <c r="G2082" s="1">
        <v>19</v>
      </c>
      <c r="H2082">
        <v>2019</v>
      </c>
      <c r="I2082" t="str">
        <f t="shared" si="80"/>
        <v>9: 300 - 399</v>
      </c>
      <c r="K2082" t="str">
        <f>"WB - In"</f>
        <v>WB - In</v>
      </c>
      <c r="L2082" s="1">
        <v>25</v>
      </c>
      <c r="M2082" t="s">
        <v>1937</v>
      </c>
      <c r="O2082" t="s">
        <v>28</v>
      </c>
      <c r="P2082">
        <v>0</v>
      </c>
      <c r="Q2082">
        <v>0</v>
      </c>
      <c r="R2082">
        <v>0</v>
      </c>
      <c r="S2082" s="2">
        <v>43788</v>
      </c>
      <c r="T2082" s="2">
        <v>43805</v>
      </c>
    </row>
    <row r="2083" spans="1:22" x14ac:dyDescent="0.2">
      <c r="A2083" t="str">
        <f>"378 SPR"</f>
        <v>378 SPR</v>
      </c>
      <c r="B2083" t="str">
        <f>"Admission matters: what students and par"</f>
        <v>Admission matters: what students and par</v>
      </c>
      <c r="C2083">
        <v>354723</v>
      </c>
      <c r="D2083" t="str">
        <f>"Springer, Sally P.,"</f>
        <v>Springer, Sally P.,</v>
      </c>
      <c r="F2083" t="str">
        <f>"xvi, 399 pages, 24 cm"</f>
        <v>xvi, 399 pages, 24 cm</v>
      </c>
      <c r="G2083" s="1">
        <v>19</v>
      </c>
      <c r="H2083">
        <v>2017</v>
      </c>
      <c r="I2083" t="str">
        <f t="shared" si="80"/>
        <v>9: 300 - 399</v>
      </c>
      <c r="K2083" t="str">
        <f>"LL - In"</f>
        <v>LL - In</v>
      </c>
      <c r="L2083" s="1">
        <v>25</v>
      </c>
      <c r="M2083" t="s">
        <v>1938</v>
      </c>
      <c r="O2083" t="s">
        <v>28</v>
      </c>
      <c r="P2083">
        <v>2</v>
      </c>
      <c r="Q2083">
        <v>1</v>
      </c>
      <c r="R2083">
        <v>3</v>
      </c>
      <c r="S2083" s="2">
        <v>43595</v>
      </c>
      <c r="T2083" s="2">
        <v>43626</v>
      </c>
      <c r="U2083" s="2">
        <v>43717</v>
      </c>
      <c r="V2083" s="2">
        <v>43628</v>
      </c>
    </row>
    <row r="2084" spans="1:22" x14ac:dyDescent="0.2">
      <c r="A2084" t="str">
        <f>"378 STE"</f>
        <v>378 STE</v>
      </c>
      <c r="B2084" t="str">
        <f>"Hacking your education: ditch the lectur"</f>
        <v>Hacking your education: ditch the lectur</v>
      </c>
      <c r="C2084">
        <v>317372</v>
      </c>
      <c r="D2084" t="str">
        <f>"Stephens, Dale J."</f>
        <v>Stephens, Dale J.</v>
      </c>
      <c r="F2084" t="str">
        <f>"xiv, 194 p., 19 cm"</f>
        <v>xiv, 194 p., 19 cm</v>
      </c>
      <c r="G2084" s="1">
        <v>13</v>
      </c>
      <c r="H2084">
        <v>2013</v>
      </c>
      <c r="I2084" t="str">
        <f t="shared" si="80"/>
        <v>9: 300 - 399</v>
      </c>
      <c r="K2084" t="str">
        <f>"WB - In"</f>
        <v>WB - In</v>
      </c>
      <c r="L2084" s="1">
        <v>20</v>
      </c>
      <c r="M2084" t="s">
        <v>1939</v>
      </c>
      <c r="O2084" t="s">
        <v>28</v>
      </c>
      <c r="P2084">
        <v>1</v>
      </c>
      <c r="Q2084">
        <v>0</v>
      </c>
      <c r="R2084">
        <v>16</v>
      </c>
      <c r="S2084" s="2">
        <v>41568</v>
      </c>
      <c r="T2084" s="2">
        <v>41821</v>
      </c>
      <c r="U2084" s="2">
        <v>42774</v>
      </c>
    </row>
    <row r="2085" spans="1:22" x14ac:dyDescent="0.2">
      <c r="A2085" t="str">
        <f>"378 TAN"</f>
        <v>378 TAN</v>
      </c>
      <c r="B2085" t="str">
        <f>"Accepted: 50 successful college admissio"</f>
        <v>Accepted: 50 successful college admissio</v>
      </c>
      <c r="C2085">
        <v>408234</v>
      </c>
      <c r="D2085" t="str">
        <f>"Tanabe, Gen S."</f>
        <v>Tanabe, Gen S.</v>
      </c>
      <c r="F2085" t="str">
        <f>"224 p., 23 cm., ill."</f>
        <v>224 p., 23 cm., ill.</v>
      </c>
      <c r="G2085" s="1">
        <v>19</v>
      </c>
      <c r="H2085">
        <v>2011</v>
      </c>
      <c r="I2085" t="str">
        <f t="shared" si="80"/>
        <v>9: 300 - 399</v>
      </c>
      <c r="K2085" t="str">
        <f>"WB - In"</f>
        <v>WB - In</v>
      </c>
      <c r="L2085" s="1">
        <v>20</v>
      </c>
      <c r="M2085" t="s">
        <v>1940</v>
      </c>
      <c r="O2085" t="s">
        <v>28</v>
      </c>
      <c r="P2085">
        <v>0</v>
      </c>
      <c r="Q2085">
        <v>0</v>
      </c>
      <c r="R2085">
        <v>0</v>
      </c>
      <c r="S2085" s="2">
        <v>43759</v>
      </c>
      <c r="T2085" s="2">
        <v>43767</v>
      </c>
    </row>
    <row r="2086" spans="1:22" x14ac:dyDescent="0.2">
      <c r="A2086" t="str">
        <f>"378 TAN"</f>
        <v>378 TAN</v>
      </c>
      <c r="B2086" t="str">
        <f>"Accepted: 50 successful college admissio"</f>
        <v>Accepted: 50 successful college admissio</v>
      </c>
      <c r="C2086">
        <v>359244</v>
      </c>
      <c r="D2086" t="str">
        <f>"Tanabe, Gen S."</f>
        <v>Tanabe, Gen S.</v>
      </c>
      <c r="F2086" t="str">
        <f>"224 p., 23 cm., ill."</f>
        <v>224 p., 23 cm., ill.</v>
      </c>
      <c r="G2086" s="1">
        <v>19</v>
      </c>
      <c r="H2086">
        <v>2011</v>
      </c>
      <c r="I2086" t="str">
        <f t="shared" si="80"/>
        <v>9: 300 - 399</v>
      </c>
      <c r="K2086" t="str">
        <f>"WB - Out"</f>
        <v>WB - Out</v>
      </c>
      <c r="L2086" s="1">
        <v>20</v>
      </c>
      <c r="M2086" t="s">
        <v>1940</v>
      </c>
      <c r="O2086" t="s">
        <v>28</v>
      </c>
      <c r="P2086">
        <v>1</v>
      </c>
      <c r="Q2086">
        <v>0</v>
      </c>
      <c r="R2086">
        <v>1</v>
      </c>
      <c r="S2086" s="2">
        <v>43782</v>
      </c>
      <c r="T2086" s="2">
        <v>43791</v>
      </c>
      <c r="U2086" s="2">
        <v>43857</v>
      </c>
    </row>
    <row r="2087" spans="1:22" x14ac:dyDescent="0.2">
      <c r="A2087" t="str">
        <f>"378 TRE"</f>
        <v>378 TRE</v>
      </c>
      <c r="B2087" t="str">
        <f>"university we need: reforming American h"</f>
        <v>university we need: reforming American h</v>
      </c>
      <c r="C2087">
        <v>350178</v>
      </c>
      <c r="D2087" t="str">
        <f>"Treadgold, Warren"</f>
        <v>Treadgold, Warren</v>
      </c>
      <c r="F2087" t="str">
        <f>"x, 184 pages, 23 cm"</f>
        <v>x, 184 pages, 23 cm</v>
      </c>
      <c r="G2087" s="1">
        <v>18</v>
      </c>
      <c r="H2087">
        <v>2018</v>
      </c>
      <c r="I2087" t="str">
        <f t="shared" si="80"/>
        <v>9: 300 - 399</v>
      </c>
      <c r="K2087" t="str">
        <f>"WB - In"</f>
        <v>WB - In</v>
      </c>
      <c r="L2087" s="1">
        <v>29</v>
      </c>
      <c r="M2087" t="s">
        <v>1941</v>
      </c>
      <c r="O2087" t="s">
        <v>28</v>
      </c>
      <c r="P2087">
        <v>4</v>
      </c>
      <c r="Q2087">
        <v>0</v>
      </c>
      <c r="R2087">
        <v>5</v>
      </c>
      <c r="S2087" s="2">
        <v>43368</v>
      </c>
      <c r="T2087" s="2">
        <v>43523</v>
      </c>
      <c r="U2087" s="2">
        <v>43481</v>
      </c>
    </row>
    <row r="2088" spans="1:22" x14ac:dyDescent="0.2">
      <c r="A2088" t="str">
        <f>"378 TYL"</f>
        <v>378 TYL</v>
      </c>
      <c r="B2088" t="str">
        <f>"Been there, should've done that: 995 tip"</f>
        <v>Been there, should've done that: 995 tip</v>
      </c>
      <c r="C2088">
        <v>316046</v>
      </c>
      <c r="D2088" t="str">
        <f>"Tyler, Suzette."</f>
        <v>Tyler, Suzette.</v>
      </c>
      <c r="F2088" t="str">
        <f>"268 p., 13 x 19 cm"</f>
        <v>268 p., 13 x 19 cm</v>
      </c>
      <c r="G2088" s="1">
        <v>13</v>
      </c>
      <c r="H2088">
        <v>2008</v>
      </c>
      <c r="I2088" t="str">
        <f t="shared" si="80"/>
        <v>9: 300 - 399</v>
      </c>
      <c r="K2088" t="str">
        <f>"LL - In"</f>
        <v>LL - In</v>
      </c>
      <c r="L2088" s="1">
        <v>18</v>
      </c>
      <c r="M2088" t="s">
        <v>1942</v>
      </c>
      <c r="O2088" t="s">
        <v>28</v>
      </c>
      <c r="P2088">
        <v>3</v>
      </c>
      <c r="Q2088">
        <v>0</v>
      </c>
      <c r="R2088">
        <v>12</v>
      </c>
      <c r="S2088" s="2">
        <v>41495</v>
      </c>
      <c r="T2088" s="2">
        <v>41514</v>
      </c>
      <c r="U2088" s="2">
        <v>43662</v>
      </c>
      <c r="V2088" s="2">
        <v>42389</v>
      </c>
    </row>
    <row r="2089" spans="1:22" x14ac:dyDescent="0.2">
      <c r="A2089" t="str">
        <f>"378 USN"</f>
        <v>378 USN</v>
      </c>
      <c r="B2089" t="str">
        <f>"Best colleges 2019: find the best colleg"</f>
        <v>Best colleges 2019: find the best colleg</v>
      </c>
      <c r="C2089">
        <v>350943</v>
      </c>
      <c r="F2089" t="str">
        <f>"168 p."</f>
        <v>168 p.</v>
      </c>
      <c r="G2089" s="1">
        <v>18</v>
      </c>
      <c r="H2089">
        <v>2018</v>
      </c>
      <c r="I2089" t="str">
        <f t="shared" si="80"/>
        <v>9: 300 - 399</v>
      </c>
      <c r="K2089" t="str">
        <f>"WB - In"</f>
        <v>WB - In</v>
      </c>
      <c r="L2089" s="1">
        <v>23</v>
      </c>
      <c r="M2089" t="s">
        <v>1943</v>
      </c>
      <c r="O2089" t="s">
        <v>28</v>
      </c>
      <c r="P2089">
        <v>3</v>
      </c>
      <c r="Q2089">
        <v>0</v>
      </c>
      <c r="R2089">
        <v>3</v>
      </c>
      <c r="S2089" s="2">
        <v>43402</v>
      </c>
      <c r="T2089" s="2">
        <v>43420</v>
      </c>
      <c r="U2089" s="2">
        <v>43726</v>
      </c>
    </row>
    <row r="2090" spans="1:22" x14ac:dyDescent="0.2">
      <c r="A2090" t="str">
        <f>"378 USN"</f>
        <v>378 USN</v>
      </c>
      <c r="B2090" t="str">
        <f>"U.S. News &amp; World Report: best colleges "</f>
        <v xml:space="preserve">U.S. News &amp; World Report: best colleges </v>
      </c>
      <c r="C2090">
        <v>284018</v>
      </c>
      <c r="F2090" t="str">
        <f>"var. paging"</f>
        <v>var. paging</v>
      </c>
      <c r="G2090" s="1">
        <v>15</v>
      </c>
      <c r="H2090">
        <v>2015</v>
      </c>
      <c r="I2090" t="str">
        <f t="shared" si="80"/>
        <v>9: 300 - 399</v>
      </c>
      <c r="K2090" t="str">
        <f>"LL - In"</f>
        <v>LL - In</v>
      </c>
      <c r="L2090" s="1">
        <v>35</v>
      </c>
      <c r="M2090" t="s">
        <v>1944</v>
      </c>
      <c r="O2090" t="s">
        <v>28</v>
      </c>
      <c r="P2090">
        <v>5</v>
      </c>
      <c r="Q2090">
        <v>0</v>
      </c>
      <c r="R2090">
        <v>10</v>
      </c>
      <c r="S2090" s="2">
        <v>42284</v>
      </c>
      <c r="T2090" s="2">
        <v>42297</v>
      </c>
      <c r="U2090" s="2">
        <v>43621</v>
      </c>
    </row>
    <row r="2091" spans="1:22" x14ac:dyDescent="0.2">
      <c r="A2091" t="str">
        <f>"378 WEL"</f>
        <v>378 WEL</v>
      </c>
      <c r="B2091" t="str">
        <f>"Admissions essay boot camp: how to write"</f>
        <v>Admissions essay boot camp: how to write</v>
      </c>
      <c r="C2091">
        <v>323710</v>
      </c>
      <c r="D2091" t="str">
        <f>"Wellington, Ashley,"</f>
        <v>Wellington, Ashley,</v>
      </c>
      <c r="F2091" t="str">
        <f>"ix, 164 pages, 21 cm"</f>
        <v>ix, 164 pages, 21 cm</v>
      </c>
      <c r="G2091" s="1">
        <v>14</v>
      </c>
      <c r="H2091">
        <v>2014</v>
      </c>
      <c r="I2091" t="str">
        <f t="shared" si="80"/>
        <v>9: 300 - 399</v>
      </c>
      <c r="K2091" t="str">
        <f>"LL - In"</f>
        <v>LL - In</v>
      </c>
      <c r="L2091" s="1">
        <v>20</v>
      </c>
      <c r="M2091" t="s">
        <v>1945</v>
      </c>
      <c r="O2091" t="s">
        <v>28</v>
      </c>
      <c r="P2091">
        <v>12</v>
      </c>
      <c r="Q2091">
        <v>1</v>
      </c>
      <c r="R2091">
        <v>29</v>
      </c>
      <c r="S2091" s="2">
        <v>41898</v>
      </c>
      <c r="T2091" s="2">
        <v>41905</v>
      </c>
      <c r="U2091" s="2">
        <v>43668</v>
      </c>
      <c r="V2091" s="2">
        <v>43715</v>
      </c>
    </row>
    <row r="2092" spans="1:22" x14ac:dyDescent="0.2">
      <c r="A2092" t="str">
        <f>"378 WIE"</f>
        <v>378 WIE</v>
      </c>
      <c r="B2092" t="str">
        <f>"Gap to great: a parent's guide to the ga"</f>
        <v>Gap to great: a parent's guide to the ga</v>
      </c>
      <c r="C2092">
        <v>348282</v>
      </c>
      <c r="D2092" t="str">
        <f>"Wien, Andrea"</f>
        <v>Wien, Andrea</v>
      </c>
      <c r="F2092" t="str">
        <f>"233 pages, 22 cm"</f>
        <v>233 pages, 22 cm</v>
      </c>
      <c r="G2092" s="1">
        <v>18</v>
      </c>
      <c r="H2092">
        <v>2015</v>
      </c>
      <c r="I2092" t="str">
        <f t="shared" si="80"/>
        <v>9: 300 - 399</v>
      </c>
      <c r="K2092" t="str">
        <f>"LL - In"</f>
        <v>LL - In</v>
      </c>
      <c r="L2092" s="1">
        <v>20</v>
      </c>
      <c r="M2092" t="s">
        <v>1946</v>
      </c>
      <c r="O2092" t="s">
        <v>28</v>
      </c>
      <c r="P2092">
        <v>3</v>
      </c>
      <c r="Q2092">
        <v>0</v>
      </c>
      <c r="R2092">
        <v>3</v>
      </c>
      <c r="S2092" s="2">
        <v>43269</v>
      </c>
      <c r="T2092" s="2">
        <v>43272</v>
      </c>
      <c r="U2092" s="2">
        <v>43655</v>
      </c>
    </row>
    <row r="2093" spans="1:22" x14ac:dyDescent="0.2">
      <c r="A2093" t="str">
        <f>"378 WIL"</f>
        <v>378 WIL</v>
      </c>
      <c r="B2093" t="str">
        <f>"review of fifty public university honors"</f>
        <v>review of fifty public university honors</v>
      </c>
      <c r="C2093">
        <v>272846</v>
      </c>
      <c r="D2093" t="str">
        <f>"Willingham, John"</f>
        <v>Willingham, John</v>
      </c>
      <c r="F2093" t="str">
        <f>"217 p."</f>
        <v>217 p.</v>
      </c>
      <c r="G2093" s="1">
        <v>14</v>
      </c>
      <c r="H2093">
        <v>2012</v>
      </c>
      <c r="I2093" t="str">
        <f t="shared" si="80"/>
        <v>9: 300 - 399</v>
      </c>
      <c r="K2093" t="str">
        <f>"LL - In"</f>
        <v>LL - In</v>
      </c>
      <c r="L2093" s="1">
        <v>18</v>
      </c>
      <c r="M2093" t="s">
        <v>1947</v>
      </c>
      <c r="O2093" t="s">
        <v>28</v>
      </c>
      <c r="P2093">
        <v>4</v>
      </c>
      <c r="Q2093">
        <v>0</v>
      </c>
      <c r="R2093">
        <v>13</v>
      </c>
      <c r="S2093" s="2">
        <v>41737</v>
      </c>
      <c r="T2093" s="2">
        <v>41746</v>
      </c>
      <c r="U2093" s="2">
        <v>43621</v>
      </c>
    </row>
    <row r="2094" spans="1:22" x14ac:dyDescent="0.2">
      <c r="A2094" t="str">
        <f>"378 WIS"</f>
        <v>378 WIS</v>
      </c>
      <c r="B2094" t="str">
        <f>"What colleges don't tell you: and other "</f>
        <v xml:space="preserve">What colleges don't tell you: and other </v>
      </c>
      <c r="C2094">
        <v>213172</v>
      </c>
      <c r="D2094" t="str">
        <f>"Wissner-Gross, Elizabeth"</f>
        <v>Wissner-Gross, Elizabeth</v>
      </c>
      <c r="F2094" t="str">
        <f>"307 p."</f>
        <v>307 p.</v>
      </c>
      <c r="G2094" s="1">
        <v>8</v>
      </c>
      <c r="H2094">
        <v>2006</v>
      </c>
      <c r="I2094" t="str">
        <f t="shared" si="80"/>
        <v>9: 300 - 399</v>
      </c>
      <c r="K2094" t="str">
        <f>"WB - In"</f>
        <v>WB - In</v>
      </c>
      <c r="L2094" s="1">
        <v>20</v>
      </c>
      <c r="M2094" t="s">
        <v>1948</v>
      </c>
      <c r="O2094" t="s">
        <v>28</v>
      </c>
      <c r="P2094">
        <v>9</v>
      </c>
      <c r="Q2094">
        <v>1</v>
      </c>
      <c r="R2094">
        <v>76</v>
      </c>
      <c r="S2094" s="2">
        <v>39666</v>
      </c>
      <c r="T2094" s="2">
        <v>41053</v>
      </c>
      <c r="U2094" s="2">
        <v>43542</v>
      </c>
      <c r="V2094" s="2">
        <v>43714</v>
      </c>
    </row>
    <row r="2095" spans="1:22" x14ac:dyDescent="0.2">
      <c r="A2095" t="str">
        <f>"378 ZAU"</f>
        <v>378 ZAU</v>
      </c>
      <c r="B2095" t="str">
        <f>"Conning Harvard: Adam Wheeler, the con a"</f>
        <v>Conning Harvard: Adam Wheeler, the con a</v>
      </c>
      <c r="C2095">
        <v>272321</v>
      </c>
      <c r="D2095" t="str">
        <f>"Zauzmer, Julie."</f>
        <v>Zauzmer, Julie.</v>
      </c>
      <c r="F2095" t="str">
        <f>"x, 230 p., 23 cm"</f>
        <v>x, 230 p., 23 cm</v>
      </c>
      <c r="G2095" s="1">
        <v>14</v>
      </c>
      <c r="H2095">
        <v>2012</v>
      </c>
      <c r="I2095" t="str">
        <f t="shared" si="80"/>
        <v>9: 300 - 399</v>
      </c>
      <c r="K2095" t="str">
        <f>"WB - In"</f>
        <v>WB - In</v>
      </c>
      <c r="L2095" s="1">
        <v>20</v>
      </c>
      <c r="M2095" t="s">
        <v>1949</v>
      </c>
      <c r="O2095" t="s">
        <v>28</v>
      </c>
      <c r="P2095">
        <v>2</v>
      </c>
      <c r="Q2095">
        <v>0</v>
      </c>
      <c r="R2095">
        <v>13</v>
      </c>
      <c r="S2095" s="2">
        <v>41730</v>
      </c>
      <c r="T2095" s="2">
        <v>41731</v>
      </c>
      <c r="U2095" s="2">
        <v>43268</v>
      </c>
      <c r="V2095" s="2">
        <v>41981</v>
      </c>
    </row>
    <row r="2096" spans="1:22" x14ac:dyDescent="0.2">
      <c r="A2096" t="str">
        <f t="shared" ref="A2096:A2107" si="81">"378.1 ACT"</f>
        <v>378.1 ACT</v>
      </c>
      <c r="B2096" t="str">
        <f>"ACT prep 2019"</f>
        <v>ACT prep 2019</v>
      </c>
      <c r="C2096">
        <v>347995</v>
      </c>
      <c r="F2096" t="str">
        <f>"906 p."</f>
        <v>906 p.</v>
      </c>
      <c r="G2096" s="1">
        <v>18</v>
      </c>
      <c r="H2096">
        <v>2018</v>
      </c>
      <c r="I2096" t="str">
        <f t="shared" si="80"/>
        <v>9: 300 - 399</v>
      </c>
      <c r="K2096" t="str">
        <f>"LL - In"</f>
        <v>LL - In</v>
      </c>
      <c r="L2096" s="1">
        <v>25</v>
      </c>
      <c r="M2096" t="s">
        <v>1950</v>
      </c>
      <c r="O2096" t="s">
        <v>28</v>
      </c>
      <c r="P2096">
        <v>10</v>
      </c>
      <c r="Q2096">
        <v>2</v>
      </c>
      <c r="R2096">
        <v>12</v>
      </c>
      <c r="S2096" s="2">
        <v>43256</v>
      </c>
      <c r="T2096" s="2">
        <v>43257</v>
      </c>
      <c r="U2096" s="2">
        <v>43715</v>
      </c>
      <c r="V2096" s="2">
        <v>43696</v>
      </c>
    </row>
    <row r="2097" spans="1:22" x14ac:dyDescent="0.2">
      <c r="A2097" t="str">
        <f t="shared" si="81"/>
        <v>378.1 ACT</v>
      </c>
      <c r="B2097" t="str">
        <f>"ACT prep 2019"</f>
        <v>ACT prep 2019</v>
      </c>
      <c r="C2097">
        <v>347996</v>
      </c>
      <c r="F2097" t="str">
        <f>"906 p."</f>
        <v>906 p.</v>
      </c>
      <c r="G2097" s="1">
        <v>18</v>
      </c>
      <c r="H2097">
        <v>2018</v>
      </c>
      <c r="I2097" t="str">
        <f t="shared" si="80"/>
        <v>9: 300 - 399</v>
      </c>
      <c r="K2097" t="str">
        <f>"WB - In"</f>
        <v>WB - In</v>
      </c>
      <c r="L2097" s="1">
        <v>25</v>
      </c>
      <c r="M2097" t="s">
        <v>1950</v>
      </c>
      <c r="O2097" t="s">
        <v>28</v>
      </c>
      <c r="P2097">
        <v>10</v>
      </c>
      <c r="Q2097">
        <v>0</v>
      </c>
      <c r="R2097">
        <v>10</v>
      </c>
      <c r="S2097" s="2">
        <v>43256</v>
      </c>
      <c r="T2097" s="2">
        <v>43257</v>
      </c>
      <c r="U2097" s="2">
        <v>43718</v>
      </c>
    </row>
    <row r="2098" spans="1:22" x14ac:dyDescent="0.2">
      <c r="A2098" t="str">
        <f t="shared" si="81"/>
        <v>378.1 ACT</v>
      </c>
      <c r="B2098" t="str">
        <f>"ACT prep 2020"</f>
        <v>ACT prep 2020</v>
      </c>
      <c r="C2098">
        <v>355907</v>
      </c>
      <c r="F2098" t="str">
        <f>"864 p."</f>
        <v>864 p.</v>
      </c>
      <c r="G2098" s="1">
        <v>19</v>
      </c>
      <c r="H2098">
        <v>2019</v>
      </c>
      <c r="I2098" t="str">
        <f t="shared" si="80"/>
        <v>9: 300 - 399</v>
      </c>
      <c r="K2098" t="str">
        <f>"WB - Problem"</f>
        <v>WB - Problem</v>
      </c>
      <c r="L2098" s="1">
        <v>25</v>
      </c>
      <c r="M2098" t="s">
        <v>1951</v>
      </c>
      <c r="O2098" t="s">
        <v>28</v>
      </c>
      <c r="P2098">
        <v>2</v>
      </c>
      <c r="Q2098">
        <v>0</v>
      </c>
      <c r="R2098">
        <v>2</v>
      </c>
      <c r="S2098" s="2">
        <v>43669</v>
      </c>
      <c r="T2098" s="2">
        <v>43675</v>
      </c>
      <c r="U2098" s="2">
        <v>43755</v>
      </c>
    </row>
    <row r="2099" spans="1:22" x14ac:dyDescent="0.2">
      <c r="A2099" t="str">
        <f t="shared" si="81"/>
        <v>378.1 ACT</v>
      </c>
      <c r="B2099" t="str">
        <f>"ACT prep 2020"</f>
        <v>ACT prep 2020</v>
      </c>
      <c r="C2099">
        <v>355908</v>
      </c>
      <c r="F2099" t="str">
        <f>"864 p."</f>
        <v>864 p.</v>
      </c>
      <c r="G2099" s="1">
        <v>19</v>
      </c>
      <c r="H2099">
        <v>2019</v>
      </c>
      <c r="I2099" t="str">
        <f t="shared" si="80"/>
        <v>9: 300 - 399</v>
      </c>
      <c r="K2099" t="str">
        <f>"LL - In"</f>
        <v>LL - In</v>
      </c>
      <c r="L2099" s="1">
        <v>25</v>
      </c>
      <c r="M2099" t="s">
        <v>1951</v>
      </c>
      <c r="O2099" t="s">
        <v>28</v>
      </c>
      <c r="P2099">
        <v>2</v>
      </c>
      <c r="Q2099">
        <v>0</v>
      </c>
      <c r="R2099">
        <v>2</v>
      </c>
      <c r="S2099" s="2">
        <v>43669</v>
      </c>
      <c r="T2099" s="2">
        <v>43675</v>
      </c>
      <c r="U2099" s="2">
        <v>43804</v>
      </c>
    </row>
    <row r="2100" spans="1:22" x14ac:dyDescent="0.2">
      <c r="A2100" t="str">
        <f t="shared" si="81"/>
        <v>378.1 ACT</v>
      </c>
      <c r="B2100" t="str">
        <f>"ACT prep 2020"</f>
        <v>ACT prep 2020</v>
      </c>
      <c r="C2100">
        <v>359640</v>
      </c>
      <c r="F2100" t="str">
        <f>"vi, 833 pages, 28 cm, illustrations, charts"</f>
        <v>vi, 833 pages, 28 cm, illustrations, charts</v>
      </c>
      <c r="G2100" s="1">
        <v>19</v>
      </c>
      <c r="H2100">
        <v>2019</v>
      </c>
      <c r="I2100" t="str">
        <f t="shared" si="80"/>
        <v>9: 300 - 399</v>
      </c>
      <c r="K2100" t="str">
        <f>"WB - In"</f>
        <v>WB - In</v>
      </c>
      <c r="L2100" s="1">
        <v>25</v>
      </c>
      <c r="M2100" t="s">
        <v>1952</v>
      </c>
      <c r="O2100" t="s">
        <v>28</v>
      </c>
      <c r="P2100">
        <v>0</v>
      </c>
      <c r="Q2100">
        <v>0</v>
      </c>
      <c r="R2100">
        <v>0</v>
      </c>
      <c r="S2100" s="2">
        <v>43811</v>
      </c>
      <c r="T2100" s="2">
        <v>43819</v>
      </c>
    </row>
    <row r="2101" spans="1:22" x14ac:dyDescent="0.2">
      <c r="A2101" t="str">
        <f t="shared" si="81"/>
        <v>378.1 ACT</v>
      </c>
      <c r="B2101" t="str">
        <f>"ACT prep 2020"</f>
        <v>ACT prep 2020</v>
      </c>
      <c r="C2101">
        <v>359641</v>
      </c>
      <c r="F2101" t="str">
        <f>"vi, 833 pages, 28 cm, illustrations, charts"</f>
        <v>vi, 833 pages, 28 cm, illustrations, charts</v>
      </c>
      <c r="G2101" s="1">
        <v>19</v>
      </c>
      <c r="H2101">
        <v>2019</v>
      </c>
      <c r="I2101" t="str">
        <f t="shared" si="80"/>
        <v>9: 300 - 399</v>
      </c>
      <c r="K2101" t="str">
        <f>"LL - In"</f>
        <v>LL - In</v>
      </c>
      <c r="L2101" s="1">
        <v>19.989999999999998</v>
      </c>
      <c r="M2101" t="s">
        <v>1952</v>
      </c>
      <c r="O2101" t="s">
        <v>28</v>
      </c>
      <c r="P2101">
        <v>0</v>
      </c>
      <c r="Q2101">
        <v>0</v>
      </c>
      <c r="R2101">
        <v>0</v>
      </c>
      <c r="S2101" s="2">
        <v>43811</v>
      </c>
      <c r="T2101" s="2">
        <v>43819</v>
      </c>
    </row>
    <row r="2102" spans="1:22" x14ac:dyDescent="0.2">
      <c r="A2102" t="str">
        <f t="shared" si="81"/>
        <v>378.1 ACT</v>
      </c>
      <c r="B2102" t="str">
        <f>"Peterson's ACT prep guide 2019: the ulti"</f>
        <v>Peterson's ACT prep guide 2019: the ulti</v>
      </c>
      <c r="C2102">
        <v>355399</v>
      </c>
      <c r="F2102" t="str">
        <f>"1015 p."</f>
        <v>1015 p.</v>
      </c>
      <c r="G2102" s="1">
        <v>19</v>
      </c>
      <c r="H2102">
        <v>2019</v>
      </c>
      <c r="I2102" t="str">
        <f t="shared" si="80"/>
        <v>9: 300 - 399</v>
      </c>
      <c r="K2102" t="str">
        <f>"LL - In"</f>
        <v>LL - In</v>
      </c>
      <c r="L2102" s="1">
        <v>25</v>
      </c>
      <c r="M2102" t="s">
        <v>1953</v>
      </c>
      <c r="O2102" t="s">
        <v>28</v>
      </c>
      <c r="P2102">
        <v>2</v>
      </c>
      <c r="Q2102">
        <v>0</v>
      </c>
      <c r="R2102">
        <v>2</v>
      </c>
      <c r="S2102" s="2">
        <v>43636</v>
      </c>
      <c r="T2102" s="2">
        <v>43640</v>
      </c>
      <c r="U2102" s="2">
        <v>43660</v>
      </c>
    </row>
    <row r="2103" spans="1:22" x14ac:dyDescent="0.2">
      <c r="A2103" t="str">
        <f t="shared" si="81"/>
        <v>378.1 ACT</v>
      </c>
      <c r="B2103" t="str">
        <f>"Up your score ACT 2018-2019: the undergr"</f>
        <v>Up your score ACT 2018-2019: the undergr</v>
      </c>
      <c r="C2103">
        <v>347066</v>
      </c>
      <c r="D2103" t="str">
        <f>"Arp, Chris"</f>
        <v>Arp, Chris</v>
      </c>
      <c r="F2103" t="str">
        <f>"viii, 360 pages, 24 cm, illustrations"</f>
        <v>viii, 360 pages, 24 cm, illustrations</v>
      </c>
      <c r="G2103" s="1">
        <v>18</v>
      </c>
      <c r="H2103">
        <v>2017</v>
      </c>
      <c r="I2103" t="str">
        <f t="shared" si="80"/>
        <v>9: 300 - 399</v>
      </c>
      <c r="K2103" t="str">
        <f>"WB - In"</f>
        <v>WB - In</v>
      </c>
      <c r="L2103" s="1">
        <v>20</v>
      </c>
      <c r="M2103" t="s">
        <v>1954</v>
      </c>
      <c r="O2103" t="s">
        <v>28</v>
      </c>
      <c r="P2103">
        <v>13</v>
      </c>
      <c r="Q2103">
        <v>0</v>
      </c>
      <c r="R2103">
        <v>13</v>
      </c>
      <c r="S2103" s="2">
        <v>43192</v>
      </c>
      <c r="T2103" s="2">
        <v>43209</v>
      </c>
      <c r="U2103" s="2">
        <v>43708</v>
      </c>
    </row>
    <row r="2104" spans="1:22" x14ac:dyDescent="0.2">
      <c r="A2104" t="str">
        <f t="shared" si="81"/>
        <v>378.1 ACT</v>
      </c>
      <c r="B2104" t="str">
        <f>"ACT prep black book: ""the most effective"</f>
        <v>ACT prep black book: "the most effective</v>
      </c>
      <c r="C2104">
        <v>341395</v>
      </c>
      <c r="D2104" t="str">
        <f>"Barrett, Mike."</f>
        <v>Barrett, Mike.</v>
      </c>
      <c r="F2104" t="str">
        <f>"435 pages, 28 cm, illustrations"</f>
        <v>435 pages, 28 cm, illustrations</v>
      </c>
      <c r="G2104" s="1">
        <v>17</v>
      </c>
      <c r="H2104">
        <v>2014</v>
      </c>
      <c r="I2104" t="str">
        <f t="shared" si="80"/>
        <v>9: 300 - 399</v>
      </c>
      <c r="K2104" t="str">
        <f>"WB - In"</f>
        <v>WB - In</v>
      </c>
      <c r="L2104" s="1">
        <v>27</v>
      </c>
      <c r="M2104" t="s">
        <v>1955</v>
      </c>
      <c r="O2104" t="s">
        <v>28</v>
      </c>
      <c r="P2104">
        <v>13</v>
      </c>
      <c r="Q2104">
        <v>1</v>
      </c>
      <c r="R2104">
        <v>14</v>
      </c>
      <c r="S2104" s="2">
        <v>42870</v>
      </c>
      <c r="T2104" s="2">
        <v>42880</v>
      </c>
      <c r="U2104" s="2">
        <v>43708</v>
      </c>
      <c r="V2104" s="2">
        <v>43165</v>
      </c>
    </row>
    <row r="2105" spans="1:22" x14ac:dyDescent="0.2">
      <c r="A2105" t="str">
        <f t="shared" si="81"/>
        <v>378.1 ACT</v>
      </c>
      <c r="B2105" t="str">
        <f>"Mighty Oak test prep to mastering the ne"</f>
        <v>Mighty Oak test prep to mastering the ne</v>
      </c>
      <c r="C2105">
        <v>296746</v>
      </c>
      <c r="D2105" t="str">
        <f>"Burnett, Shane"</f>
        <v>Burnett, Shane</v>
      </c>
      <c r="F2105" t="str">
        <f>"36 p."</f>
        <v>36 p.</v>
      </c>
      <c r="G2105" s="1">
        <v>17</v>
      </c>
      <c r="H2105">
        <v>2016</v>
      </c>
      <c r="I2105" t="str">
        <f t="shared" si="80"/>
        <v>9: 300 - 399</v>
      </c>
      <c r="K2105" t="str">
        <f>"WB - In"</f>
        <v>WB - In</v>
      </c>
      <c r="L2105" s="1">
        <v>13</v>
      </c>
      <c r="M2105" t="s">
        <v>1956</v>
      </c>
      <c r="O2105" t="s">
        <v>28</v>
      </c>
      <c r="P2105">
        <v>9</v>
      </c>
      <c r="Q2105">
        <v>0</v>
      </c>
      <c r="R2105">
        <v>9</v>
      </c>
      <c r="S2105" s="2">
        <v>42977</v>
      </c>
      <c r="T2105" s="2">
        <v>42983</v>
      </c>
      <c r="U2105" s="2">
        <v>43708</v>
      </c>
    </row>
    <row r="2106" spans="1:22" x14ac:dyDescent="0.2">
      <c r="A2106" t="str">
        <f t="shared" si="81"/>
        <v>378.1 ACT</v>
      </c>
      <c r="B2106" t="str">
        <f>"How to write a new killer ACT essay"</f>
        <v>How to write a new killer ACT essay</v>
      </c>
      <c r="C2106">
        <v>296747</v>
      </c>
      <c r="D2106" t="str">
        <f>"Clements, Tom"</f>
        <v>Clements, Tom</v>
      </c>
      <c r="F2106" t="str">
        <f>"93 p."</f>
        <v>93 p.</v>
      </c>
      <c r="G2106" s="1">
        <v>17</v>
      </c>
      <c r="H2106">
        <v>2015</v>
      </c>
      <c r="I2106" t="str">
        <f t="shared" si="80"/>
        <v>9: 300 - 399</v>
      </c>
      <c r="K2106" t="str">
        <f>"WB - In"</f>
        <v>WB - In</v>
      </c>
      <c r="L2106" s="1">
        <v>30</v>
      </c>
      <c r="M2106" t="s">
        <v>1957</v>
      </c>
      <c r="O2106" t="s">
        <v>28</v>
      </c>
      <c r="P2106">
        <v>6</v>
      </c>
      <c r="Q2106">
        <v>0</v>
      </c>
      <c r="R2106">
        <v>6</v>
      </c>
      <c r="S2106" s="2">
        <v>42977</v>
      </c>
      <c r="T2106" s="2">
        <v>42983</v>
      </c>
      <c r="U2106" s="2">
        <v>43456</v>
      </c>
    </row>
    <row r="2107" spans="1:22" x14ac:dyDescent="0.2">
      <c r="A2107" t="str">
        <f t="shared" si="81"/>
        <v>378.1 ACT</v>
      </c>
      <c r="B2107" t="str">
        <f>"College Panda's ACT essay: the battle-te"</f>
        <v>College Panda's ACT essay: the battle-te</v>
      </c>
      <c r="C2107">
        <v>296748</v>
      </c>
      <c r="D2107" t="str">
        <f>"Phu, Nielson"</f>
        <v>Phu, Nielson</v>
      </c>
      <c r="F2107" t="str">
        <f>"52 p."</f>
        <v>52 p.</v>
      </c>
      <c r="G2107" s="1">
        <v>17</v>
      </c>
      <c r="H2107">
        <v>2016</v>
      </c>
      <c r="I2107" t="str">
        <f t="shared" si="80"/>
        <v>9: 300 - 399</v>
      </c>
      <c r="K2107" t="str">
        <f>"WB - In"</f>
        <v>WB - In</v>
      </c>
      <c r="L2107" s="1">
        <v>25</v>
      </c>
      <c r="M2107" t="s">
        <v>1958</v>
      </c>
      <c r="O2107" t="s">
        <v>28</v>
      </c>
      <c r="P2107">
        <v>7</v>
      </c>
      <c r="Q2107">
        <v>0</v>
      </c>
      <c r="R2107">
        <v>7</v>
      </c>
      <c r="S2107" s="2">
        <v>42977</v>
      </c>
      <c r="T2107" s="2">
        <v>42983</v>
      </c>
      <c r="U2107" s="2">
        <v>43456</v>
      </c>
    </row>
    <row r="2108" spans="1:22" x14ac:dyDescent="0.2">
      <c r="A2108" t="str">
        <f>"378.1 ALL"</f>
        <v>378.1 ALL</v>
      </c>
      <c r="B2108" t="str">
        <f>"SAT hacks: the definitive guide to the n"</f>
        <v>SAT hacks: the definitive guide to the n</v>
      </c>
      <c r="C2108">
        <v>286991</v>
      </c>
      <c r="D2108" t="str">
        <f>"Allen, Nathan"</f>
        <v>Allen, Nathan</v>
      </c>
      <c r="F2108" t="str">
        <f>"513 p."</f>
        <v>513 p.</v>
      </c>
      <c r="G2108" s="1">
        <v>16</v>
      </c>
      <c r="H2108">
        <v>2015</v>
      </c>
      <c r="I2108" t="str">
        <f t="shared" si="80"/>
        <v>9: 300 - 399</v>
      </c>
      <c r="K2108" t="str">
        <f t="shared" ref="K2108:K2113" si="82">"LL - In"</f>
        <v>LL - In</v>
      </c>
      <c r="L2108" s="1">
        <v>35</v>
      </c>
      <c r="M2108" t="s">
        <v>1959</v>
      </c>
      <c r="O2108" t="s">
        <v>28</v>
      </c>
      <c r="P2108">
        <v>11</v>
      </c>
      <c r="Q2108">
        <v>0</v>
      </c>
      <c r="R2108">
        <v>14</v>
      </c>
      <c r="S2108" s="2">
        <v>42459</v>
      </c>
      <c r="T2108" s="2">
        <v>42485</v>
      </c>
      <c r="U2108" s="2">
        <v>43651</v>
      </c>
    </row>
    <row r="2109" spans="1:22" x14ac:dyDescent="0.2">
      <c r="A2109" t="str">
        <f>"378.1 ARE"</f>
        <v>378.1 ARE</v>
      </c>
      <c r="B2109" t="str">
        <f>"Are you ready for the SAT &amp; ACT?: buildi"</f>
        <v>Are you ready for the SAT &amp; ACT?: buildi</v>
      </c>
      <c r="C2109">
        <v>286804</v>
      </c>
      <c r="F2109" t="str">
        <f>"xi, 239 pages, 28 cm, illustrations"</f>
        <v>xi, 239 pages, 28 cm, illustrations</v>
      </c>
      <c r="G2109" s="1">
        <v>16</v>
      </c>
      <c r="H2109">
        <v>2015</v>
      </c>
      <c r="I2109" t="str">
        <f t="shared" si="80"/>
        <v>9: 300 - 399</v>
      </c>
      <c r="K2109" t="str">
        <f t="shared" si="82"/>
        <v>LL - In</v>
      </c>
      <c r="L2109" s="1">
        <v>20</v>
      </c>
      <c r="M2109" t="s">
        <v>1960</v>
      </c>
      <c r="O2109" t="s">
        <v>28</v>
      </c>
      <c r="P2109">
        <v>14</v>
      </c>
      <c r="Q2109">
        <v>1</v>
      </c>
      <c r="R2109">
        <v>17</v>
      </c>
      <c r="S2109" s="2">
        <v>42437</v>
      </c>
      <c r="T2109" s="2">
        <v>42447</v>
      </c>
      <c r="U2109" s="2">
        <v>43804</v>
      </c>
      <c r="V2109" s="2">
        <v>43213</v>
      </c>
    </row>
    <row r="2110" spans="1:22" x14ac:dyDescent="0.2">
      <c r="A2110" t="str">
        <f>"378.1 ATI"</f>
        <v>378.1 ATI</v>
      </c>
      <c r="B2110" t="str">
        <f>"ATI TEAS: strategies, practice &amp; review "</f>
        <v xml:space="preserve">ATI TEAS: strategies, practice &amp; review </v>
      </c>
      <c r="C2110">
        <v>344431</v>
      </c>
      <c r="F2110" t="str">
        <f>"xxiv, 423 pages, 28 cm, illustrations"</f>
        <v>xxiv, 423 pages, 28 cm, illustrations</v>
      </c>
      <c r="G2110" s="1">
        <v>17</v>
      </c>
      <c r="H2110">
        <v>2017</v>
      </c>
      <c r="I2110" t="str">
        <f t="shared" si="80"/>
        <v>9: 300 - 399</v>
      </c>
      <c r="K2110" t="str">
        <f t="shared" si="82"/>
        <v>LL - In</v>
      </c>
      <c r="L2110" s="1">
        <v>45</v>
      </c>
      <c r="M2110" t="s">
        <v>1961</v>
      </c>
      <c r="O2110" t="s">
        <v>28</v>
      </c>
      <c r="P2110">
        <v>3</v>
      </c>
      <c r="Q2110">
        <v>0</v>
      </c>
      <c r="R2110">
        <v>3</v>
      </c>
      <c r="S2110" s="2">
        <v>43040</v>
      </c>
      <c r="T2110" s="2">
        <v>43045</v>
      </c>
      <c r="U2110" s="2">
        <v>43668</v>
      </c>
    </row>
    <row r="2111" spans="1:22" x14ac:dyDescent="0.2">
      <c r="A2111" t="str">
        <f>"378.1 ATI"</f>
        <v>378.1 ATI</v>
      </c>
      <c r="B2111" t="str">
        <f>"ATI TEAS study manual: TEAS 6 study guid"</f>
        <v>ATI TEAS study manual: TEAS 6 study guid</v>
      </c>
      <c r="C2111">
        <v>298232</v>
      </c>
      <c r="F2111" t="str">
        <f>"234 p., 28 cm, illustrations"</f>
        <v>234 p., 28 cm, illustrations</v>
      </c>
      <c r="G2111" s="1">
        <v>17</v>
      </c>
      <c r="H2111">
        <v>2017</v>
      </c>
      <c r="I2111" t="str">
        <f t="shared" si="80"/>
        <v>9: 300 - 399</v>
      </c>
      <c r="K2111" t="str">
        <f t="shared" si="82"/>
        <v>LL - In</v>
      </c>
      <c r="L2111" s="1">
        <v>38</v>
      </c>
      <c r="M2111" t="s">
        <v>1962</v>
      </c>
      <c r="O2111" t="s">
        <v>28</v>
      </c>
      <c r="P2111">
        <v>4</v>
      </c>
      <c r="Q2111">
        <v>0</v>
      </c>
      <c r="R2111">
        <v>4</v>
      </c>
      <c r="S2111" s="2">
        <v>43054</v>
      </c>
      <c r="T2111" s="2">
        <v>43060</v>
      </c>
      <c r="U2111" s="2">
        <v>43668</v>
      </c>
    </row>
    <row r="2112" spans="1:22" x14ac:dyDescent="0.2">
      <c r="A2112" t="str">
        <f>"378.1 ATI"</f>
        <v>378.1 ATI</v>
      </c>
      <c r="B2112" t="str">
        <f>"Ati Teas 6 study guide 2018-2019: Ati Te"</f>
        <v>Ati Teas 6 study guide 2018-2019: Ati Te</v>
      </c>
      <c r="C2112">
        <v>402067</v>
      </c>
      <c r="D2112" t="str">
        <f>"Ati Teas Exam Prep Team."</f>
        <v>Ati Teas Exam Prep Team.</v>
      </c>
      <c r="F2112" t="str">
        <f>"215 p."</f>
        <v>215 p.</v>
      </c>
      <c r="G2112" s="1">
        <v>18</v>
      </c>
      <c r="H2112">
        <v>2018</v>
      </c>
      <c r="I2112" t="str">
        <f t="shared" si="80"/>
        <v>9: 300 - 399</v>
      </c>
      <c r="K2112" t="str">
        <f t="shared" si="82"/>
        <v>LL - In</v>
      </c>
      <c r="L2112" s="1">
        <v>40</v>
      </c>
      <c r="M2112" t="s">
        <v>1963</v>
      </c>
      <c r="O2112" t="s">
        <v>28</v>
      </c>
      <c r="P2112">
        <v>4</v>
      </c>
      <c r="Q2112">
        <v>0</v>
      </c>
      <c r="R2112">
        <v>4</v>
      </c>
      <c r="S2112" s="2">
        <v>43277</v>
      </c>
      <c r="T2112" s="2">
        <v>43287</v>
      </c>
      <c r="U2112" s="2">
        <v>43668</v>
      </c>
    </row>
    <row r="2113" spans="1:22" x14ac:dyDescent="0.2">
      <c r="A2113" t="str">
        <f>"378.1 BAS"</f>
        <v>378.1 BAS</v>
      </c>
      <c r="B2113" t="str">
        <f>"basics: a comprehensive outline of nursi"</f>
        <v>basics: a comprehensive outline of nursi</v>
      </c>
      <c r="C2113">
        <v>348509</v>
      </c>
      <c r="F2113" t="str">
        <f>"vii, 701 pages, 28 cm, illustrations"</f>
        <v>vii, 701 pages, 28 cm, illustrations</v>
      </c>
      <c r="G2113" s="1">
        <v>18</v>
      </c>
      <c r="H2113">
        <v>2018</v>
      </c>
      <c r="I2113" t="str">
        <f t="shared" si="80"/>
        <v>9: 300 - 399</v>
      </c>
      <c r="K2113" t="str">
        <f t="shared" si="82"/>
        <v>LL - In</v>
      </c>
      <c r="L2113" s="1">
        <v>45</v>
      </c>
      <c r="M2113" t="s">
        <v>1964</v>
      </c>
      <c r="O2113" t="s">
        <v>28</v>
      </c>
      <c r="P2113">
        <v>2</v>
      </c>
      <c r="Q2113">
        <v>0</v>
      </c>
      <c r="R2113">
        <v>2</v>
      </c>
      <c r="S2113" s="2">
        <v>43283</v>
      </c>
      <c r="T2113" s="2">
        <v>43307</v>
      </c>
      <c r="U2113" s="2">
        <v>43794</v>
      </c>
    </row>
    <row r="2114" spans="1:22" x14ac:dyDescent="0.2">
      <c r="A2114" t="str">
        <f>"378.1 BIO"</f>
        <v>378.1 BIO</v>
      </c>
      <c r="B2114" t="str">
        <f>"AP biology test prep book: 2019 &amp; 2020"</f>
        <v>AP biology test prep book: 2019 &amp; 2020</v>
      </c>
      <c r="C2114">
        <v>408409</v>
      </c>
      <c r="F2114" t="str">
        <f>"150 p."</f>
        <v>150 p.</v>
      </c>
      <c r="G2114" s="1">
        <v>18</v>
      </c>
      <c r="H2114">
        <v>2019</v>
      </c>
      <c r="I2114" t="str">
        <f t="shared" si="80"/>
        <v>9: 300 - 399</v>
      </c>
      <c r="K2114" t="str">
        <f>"LL - Out"</f>
        <v>LL - Out</v>
      </c>
      <c r="L2114" s="1">
        <v>18</v>
      </c>
      <c r="O2114" t="s">
        <v>28</v>
      </c>
      <c r="P2114">
        <v>1</v>
      </c>
      <c r="Q2114">
        <v>0</v>
      </c>
      <c r="R2114">
        <v>1</v>
      </c>
      <c r="S2114" s="2">
        <v>43787</v>
      </c>
      <c r="T2114" s="2">
        <v>43791</v>
      </c>
      <c r="U2114" s="2">
        <v>43856</v>
      </c>
    </row>
    <row r="2115" spans="1:22" x14ac:dyDescent="0.2">
      <c r="A2115" t="str">
        <f>"378.1 BIO"</f>
        <v>378.1 BIO</v>
      </c>
      <c r="B2115" t="str">
        <f>"Cracking the AP biology exam 2019"</f>
        <v>Cracking the AP biology exam 2019</v>
      </c>
      <c r="C2115">
        <v>349160</v>
      </c>
      <c r="E2115" t="str">
        <f>"Princeton Review series"</f>
        <v>Princeton Review series</v>
      </c>
      <c r="F2115" t="str">
        <f>"xi, 381 p."</f>
        <v>xi, 381 p.</v>
      </c>
      <c r="G2115" s="1">
        <v>18</v>
      </c>
      <c r="H2115">
        <v>2018</v>
      </c>
      <c r="I2115" t="str">
        <f t="shared" si="80"/>
        <v>9: 300 - 399</v>
      </c>
      <c r="K2115" t="str">
        <f>"WB - In"</f>
        <v>WB - In</v>
      </c>
      <c r="L2115" s="1">
        <v>24</v>
      </c>
      <c r="M2115" t="s">
        <v>1965</v>
      </c>
      <c r="O2115" t="s">
        <v>28</v>
      </c>
      <c r="P2115">
        <v>2</v>
      </c>
      <c r="Q2115">
        <v>0</v>
      </c>
      <c r="R2115">
        <v>2</v>
      </c>
      <c r="S2115" s="2">
        <v>43321</v>
      </c>
      <c r="T2115" s="2">
        <v>43329</v>
      </c>
      <c r="U2115" s="2">
        <v>43703</v>
      </c>
    </row>
    <row r="2116" spans="1:22" x14ac:dyDescent="0.2">
      <c r="A2116" t="str">
        <f>"378.1 CAL"</f>
        <v>378.1 CAL</v>
      </c>
      <c r="B2116" t="str">
        <f>"Barron's AP calculus"</f>
        <v>Barron's AP calculus</v>
      </c>
      <c r="C2116">
        <v>293591</v>
      </c>
      <c r="D2116" t="str">
        <f>"Hockett, Shirley O."</f>
        <v>Hockett, Shirley O.</v>
      </c>
      <c r="F2116" t="str">
        <f>"644 p."</f>
        <v>644 p.</v>
      </c>
      <c r="G2116" s="1">
        <v>17</v>
      </c>
      <c r="H2116">
        <v>2017</v>
      </c>
      <c r="I2116" t="str">
        <f t="shared" si="80"/>
        <v>9: 300 - 399</v>
      </c>
      <c r="K2116" t="str">
        <f>"LL - In"</f>
        <v>LL - In</v>
      </c>
      <c r="L2116" s="1">
        <v>24</v>
      </c>
      <c r="M2116" t="s">
        <v>1966</v>
      </c>
      <c r="O2116" t="s">
        <v>28</v>
      </c>
      <c r="P2116">
        <v>6</v>
      </c>
      <c r="Q2116">
        <v>2</v>
      </c>
      <c r="R2116">
        <v>8</v>
      </c>
      <c r="S2116" s="2">
        <v>42795</v>
      </c>
      <c r="T2116" s="2">
        <v>42801</v>
      </c>
      <c r="U2116" s="2">
        <v>43580</v>
      </c>
      <c r="V2116" s="2">
        <v>43408</v>
      </c>
    </row>
    <row r="2117" spans="1:22" x14ac:dyDescent="0.2">
      <c r="A2117" t="str">
        <f>"378.1 CAL"</f>
        <v>378.1 CAL</v>
      </c>
      <c r="B2117" t="str">
        <f>"Barron's AP calculus"</f>
        <v>Barron's AP calculus</v>
      </c>
      <c r="C2117">
        <v>356721</v>
      </c>
      <c r="D2117" t="str">
        <f>"Hockett, Shirley O."</f>
        <v>Hockett, Shirley O.</v>
      </c>
      <c r="F2117" t="str">
        <f>"658 p."</f>
        <v>658 p.</v>
      </c>
      <c r="G2117" s="1">
        <v>17</v>
      </c>
      <c r="H2117">
        <v>2019</v>
      </c>
      <c r="I2117" t="str">
        <f t="shared" si="80"/>
        <v>9: 300 - 399</v>
      </c>
      <c r="K2117" t="str">
        <f>"WB - In"</f>
        <v>WB - In</v>
      </c>
      <c r="L2117" s="1">
        <v>24</v>
      </c>
      <c r="M2117" t="s">
        <v>1967</v>
      </c>
      <c r="O2117" t="s">
        <v>28</v>
      </c>
      <c r="P2117">
        <v>0</v>
      </c>
      <c r="Q2117">
        <v>0</v>
      </c>
      <c r="R2117">
        <v>0</v>
      </c>
      <c r="S2117" s="2">
        <v>43717</v>
      </c>
      <c r="T2117" s="2">
        <v>43734</v>
      </c>
    </row>
    <row r="2118" spans="1:22" x14ac:dyDescent="0.2">
      <c r="A2118" t="str">
        <f>"378.1 CAL"</f>
        <v>378.1 CAL</v>
      </c>
      <c r="B2118" t="str">
        <f>"Cracking the AP calculus AB exam 2019"</f>
        <v>Cracking the AP calculus AB exam 2019</v>
      </c>
      <c r="C2118">
        <v>349124</v>
      </c>
      <c r="D2118" t="str">
        <f>"Kahn, David S."</f>
        <v>Kahn, David S.</v>
      </c>
      <c r="E2118" t="str">
        <f>"Princeton Review series"</f>
        <v>Princeton Review series</v>
      </c>
      <c r="F2118" t="str">
        <f>"xvii, 664 p."</f>
        <v>xvii, 664 p.</v>
      </c>
      <c r="G2118" s="1">
        <v>18</v>
      </c>
      <c r="H2118">
        <v>2018</v>
      </c>
      <c r="I2118" t="str">
        <f t="shared" si="80"/>
        <v>9: 300 - 399</v>
      </c>
      <c r="K2118" t="str">
        <f>"WB - In"</f>
        <v>WB - In</v>
      </c>
      <c r="L2118" s="1">
        <v>25</v>
      </c>
      <c r="M2118" t="s">
        <v>1968</v>
      </c>
      <c r="O2118" t="s">
        <v>28</v>
      </c>
      <c r="P2118">
        <v>2</v>
      </c>
      <c r="Q2118">
        <v>0</v>
      </c>
      <c r="R2118">
        <v>2</v>
      </c>
      <c r="S2118" s="2">
        <v>43319</v>
      </c>
      <c r="T2118" s="2">
        <v>43322</v>
      </c>
      <c r="U2118" s="2">
        <v>43577</v>
      </c>
    </row>
    <row r="2119" spans="1:22" x14ac:dyDescent="0.2">
      <c r="A2119" t="str">
        <f>"378.1 CAL"</f>
        <v>378.1 CAL</v>
      </c>
      <c r="B2119" t="str">
        <f>"Cracking the AP calculus BC exam 2019"</f>
        <v>Cracking the AP calculus BC exam 2019</v>
      </c>
      <c r="C2119">
        <v>349161</v>
      </c>
      <c r="D2119" t="str">
        <f>"Kahn, David S."</f>
        <v>Kahn, David S.</v>
      </c>
      <c r="E2119" t="str">
        <f>"Princeton Review series"</f>
        <v>Princeton Review series</v>
      </c>
      <c r="F2119" t="str">
        <f>"xvii, 794 p."</f>
        <v>xvii, 794 p.</v>
      </c>
      <c r="G2119" s="1">
        <v>18</v>
      </c>
      <c r="H2119">
        <v>2018</v>
      </c>
      <c r="I2119" t="str">
        <f t="shared" si="80"/>
        <v>9: 300 - 399</v>
      </c>
      <c r="K2119" t="str">
        <f>"LL - Out"</f>
        <v>LL - Out</v>
      </c>
      <c r="L2119" s="1">
        <v>25</v>
      </c>
      <c r="M2119" t="s">
        <v>1969</v>
      </c>
      <c r="O2119" t="s">
        <v>28</v>
      </c>
      <c r="P2119">
        <v>6</v>
      </c>
      <c r="Q2119">
        <v>0</v>
      </c>
      <c r="R2119">
        <v>6</v>
      </c>
      <c r="S2119" s="2">
        <v>43321</v>
      </c>
      <c r="T2119" s="2">
        <v>43329</v>
      </c>
      <c r="U2119" s="2">
        <v>43856</v>
      </c>
    </row>
    <row r="2120" spans="1:22" x14ac:dyDescent="0.2">
      <c r="A2120" t="str">
        <f>"378.1 CHE"</f>
        <v>378.1 CHE</v>
      </c>
      <c r="B2120" t="str">
        <f>"Cracking the AP chemistry exam 2020"</f>
        <v>Cracking the AP chemistry exam 2020</v>
      </c>
      <c r="C2120">
        <v>356626</v>
      </c>
      <c r="D2120" t="str">
        <f>"Foglino, Paul"</f>
        <v>Foglino, Paul</v>
      </c>
      <c r="F2120" t="str">
        <f>"368 p."</f>
        <v>368 p.</v>
      </c>
      <c r="G2120" s="1">
        <v>19</v>
      </c>
      <c r="H2120">
        <v>2019</v>
      </c>
      <c r="I2120" t="str">
        <f t="shared" ref="I2120:I2183" si="83">"9: 300 - 399"</f>
        <v>9: 300 - 399</v>
      </c>
      <c r="K2120" t="str">
        <f>"WB - In"</f>
        <v>WB - In</v>
      </c>
      <c r="L2120" s="1">
        <v>25</v>
      </c>
      <c r="M2120" t="s">
        <v>1970</v>
      </c>
      <c r="O2120" t="s">
        <v>28</v>
      </c>
      <c r="P2120">
        <v>0</v>
      </c>
      <c r="Q2120">
        <v>0</v>
      </c>
      <c r="R2120">
        <v>0</v>
      </c>
      <c r="S2120" s="2">
        <v>43683</v>
      </c>
      <c r="T2120" s="2">
        <v>43696</v>
      </c>
    </row>
    <row r="2121" spans="1:22" x14ac:dyDescent="0.2">
      <c r="A2121" t="str">
        <f>"378.1 CHE"</f>
        <v>378.1 CHE</v>
      </c>
      <c r="B2121" t="str">
        <f>"Cracking the AP chemistry exam 2020"</f>
        <v>Cracking the AP chemistry exam 2020</v>
      </c>
      <c r="C2121">
        <v>356627</v>
      </c>
      <c r="D2121" t="str">
        <f>"Foglino, Paul"</f>
        <v>Foglino, Paul</v>
      </c>
      <c r="F2121" t="str">
        <f>"368 p."</f>
        <v>368 p.</v>
      </c>
      <c r="G2121" s="1">
        <v>19</v>
      </c>
      <c r="H2121">
        <v>2019</v>
      </c>
      <c r="I2121" t="str">
        <f t="shared" si="83"/>
        <v>9: 300 - 399</v>
      </c>
      <c r="K2121" t="str">
        <f>"LL - In"</f>
        <v>LL - In</v>
      </c>
      <c r="L2121" s="1">
        <v>25</v>
      </c>
      <c r="M2121" t="s">
        <v>1970</v>
      </c>
      <c r="O2121" t="s">
        <v>28</v>
      </c>
      <c r="P2121">
        <v>1</v>
      </c>
      <c r="Q2121">
        <v>0</v>
      </c>
      <c r="R2121">
        <v>1</v>
      </c>
      <c r="S2121" s="2">
        <v>43683</v>
      </c>
      <c r="T2121" s="2">
        <v>43696</v>
      </c>
      <c r="U2121" s="2">
        <v>43804</v>
      </c>
    </row>
    <row r="2122" spans="1:22" x14ac:dyDescent="0.2">
      <c r="A2122" t="str">
        <f>"378.1 CHE"</f>
        <v>378.1 CHE</v>
      </c>
      <c r="B2122" t="str">
        <f>"Barron's SAT subject test: chemistry"</f>
        <v>Barron's SAT subject test: chemistry</v>
      </c>
      <c r="C2122">
        <v>355744</v>
      </c>
      <c r="D2122" t="str">
        <f>"Kernion, Mark C."</f>
        <v>Kernion, Mark C.</v>
      </c>
      <c r="F2122" t="str">
        <f>"xxii, 454 pages, 28 cm, illustrations"</f>
        <v>xxii, 454 pages, 28 cm, illustrations</v>
      </c>
      <c r="G2122" s="1">
        <v>19</v>
      </c>
      <c r="H2122">
        <v>2018</v>
      </c>
      <c r="I2122" t="str">
        <f t="shared" si="83"/>
        <v>9: 300 - 399</v>
      </c>
      <c r="K2122" t="str">
        <f>"WB - In"</f>
        <v>WB - In</v>
      </c>
      <c r="L2122" s="1">
        <v>28</v>
      </c>
      <c r="M2122" t="s">
        <v>1971</v>
      </c>
      <c r="O2122" t="s">
        <v>28</v>
      </c>
      <c r="P2122">
        <v>2</v>
      </c>
      <c r="Q2122">
        <v>0</v>
      </c>
      <c r="R2122">
        <v>2</v>
      </c>
      <c r="S2122" s="2">
        <v>43640</v>
      </c>
      <c r="T2122" s="2">
        <v>43668</v>
      </c>
      <c r="U2122" s="2">
        <v>43688</v>
      </c>
    </row>
    <row r="2123" spans="1:22" x14ac:dyDescent="0.2">
      <c r="A2123" t="str">
        <f>"378.1 CLE"</f>
        <v>378.1 CLE</v>
      </c>
      <c r="B2123" t="str">
        <f>"CLEP official study guide 2019"</f>
        <v>CLEP official study guide 2019</v>
      </c>
      <c r="C2123">
        <v>348955</v>
      </c>
      <c r="F2123" t="str">
        <f>"630 p."</f>
        <v>630 p.</v>
      </c>
      <c r="G2123" s="1">
        <v>18</v>
      </c>
      <c r="H2123">
        <v>2018</v>
      </c>
      <c r="I2123" t="str">
        <f t="shared" si="83"/>
        <v>9: 300 - 399</v>
      </c>
      <c r="K2123" t="str">
        <f>"WB - In"</f>
        <v>WB - In</v>
      </c>
      <c r="L2123" s="1">
        <v>30</v>
      </c>
      <c r="M2123" t="s">
        <v>1972</v>
      </c>
      <c r="O2123" t="s">
        <v>28</v>
      </c>
      <c r="P2123">
        <v>4</v>
      </c>
      <c r="Q2123">
        <v>1</v>
      </c>
      <c r="R2123">
        <v>5</v>
      </c>
      <c r="S2123" s="2">
        <v>43305</v>
      </c>
      <c r="T2123" s="2">
        <v>43307</v>
      </c>
      <c r="U2123" s="2">
        <v>43818</v>
      </c>
      <c r="V2123" s="2">
        <v>43685</v>
      </c>
    </row>
    <row r="2124" spans="1:22" x14ac:dyDescent="0.2">
      <c r="A2124" t="str">
        <f>"378.1 CLE"</f>
        <v>378.1 CLE</v>
      </c>
      <c r="B2124" t="str">
        <f>"CLEP official study guide 2020"</f>
        <v>CLEP official study guide 2020</v>
      </c>
      <c r="C2124">
        <v>356628</v>
      </c>
      <c r="F2124" t="str">
        <f>"630 p."</f>
        <v>630 p.</v>
      </c>
      <c r="G2124" s="1">
        <v>19</v>
      </c>
      <c r="H2124">
        <v>2019</v>
      </c>
      <c r="I2124" t="str">
        <f t="shared" si="83"/>
        <v>9: 300 - 399</v>
      </c>
      <c r="K2124" t="str">
        <f>"LL - Out"</f>
        <v>LL - Out</v>
      </c>
      <c r="L2124" s="1">
        <v>30</v>
      </c>
      <c r="M2124" t="s">
        <v>1973</v>
      </c>
      <c r="O2124" t="s">
        <v>28</v>
      </c>
      <c r="P2124">
        <v>1</v>
      </c>
      <c r="Q2124">
        <v>0</v>
      </c>
      <c r="R2124">
        <v>1</v>
      </c>
      <c r="S2124" s="2">
        <v>43683</v>
      </c>
      <c r="T2124" s="2">
        <v>43696</v>
      </c>
      <c r="U2124" s="2">
        <v>43840</v>
      </c>
    </row>
    <row r="2125" spans="1:22" x14ac:dyDescent="0.2">
      <c r="A2125" t="str">
        <f>"378.1 COM"</f>
        <v>378.1 COM</v>
      </c>
      <c r="B2125" t="str">
        <f>"Barron's AP computer science A"</f>
        <v>Barron's AP computer science A</v>
      </c>
      <c r="C2125">
        <v>299473</v>
      </c>
      <c r="D2125" t="str">
        <f>"Teukolsky, Roselyn"</f>
        <v>Teukolsky, Roselyn</v>
      </c>
      <c r="F2125" t="str">
        <f>"487 p."</f>
        <v>487 p.</v>
      </c>
      <c r="G2125" s="1">
        <v>18</v>
      </c>
      <c r="H2125">
        <v>2017</v>
      </c>
      <c r="I2125" t="str">
        <f t="shared" si="83"/>
        <v>9: 300 - 399</v>
      </c>
      <c r="K2125" t="str">
        <f>"LL - In"</f>
        <v>LL - In</v>
      </c>
      <c r="L2125" s="1">
        <v>24</v>
      </c>
      <c r="M2125" t="s">
        <v>1974</v>
      </c>
      <c r="O2125" t="s">
        <v>28</v>
      </c>
      <c r="P2125">
        <v>8</v>
      </c>
      <c r="Q2125">
        <v>1</v>
      </c>
      <c r="R2125">
        <v>9</v>
      </c>
      <c r="S2125" s="2">
        <v>43132</v>
      </c>
      <c r="T2125" s="2">
        <v>43136</v>
      </c>
      <c r="U2125" s="2">
        <v>43745</v>
      </c>
      <c r="V2125" s="2">
        <v>43417</v>
      </c>
    </row>
    <row r="2126" spans="1:22" x14ac:dyDescent="0.2">
      <c r="A2126" t="str">
        <f>"378.1 COM"</f>
        <v>378.1 COM</v>
      </c>
      <c r="B2126" t="str">
        <f>"Barron's AP computer science A"</f>
        <v>Barron's AP computer science A</v>
      </c>
      <c r="C2126">
        <v>360141</v>
      </c>
      <c r="D2126" t="str">
        <f>"Teukolsky, Roselyn"</f>
        <v>Teukolsky, Roselyn</v>
      </c>
      <c r="F2126" t="str">
        <f>"475 p."</f>
        <v>475 p.</v>
      </c>
      <c r="G2126" s="1">
        <v>18</v>
      </c>
      <c r="H2126">
        <v>2019</v>
      </c>
      <c r="I2126" t="str">
        <f t="shared" si="83"/>
        <v>9: 300 - 399</v>
      </c>
      <c r="K2126" t="str">
        <f>"WB - In"</f>
        <v>WB - In</v>
      </c>
      <c r="L2126" s="1">
        <v>24</v>
      </c>
      <c r="M2126" t="s">
        <v>1975</v>
      </c>
      <c r="O2126" t="s">
        <v>28</v>
      </c>
      <c r="P2126">
        <v>0</v>
      </c>
      <c r="Q2126">
        <v>0</v>
      </c>
      <c r="R2126">
        <v>0</v>
      </c>
      <c r="S2126" s="2">
        <v>43833</v>
      </c>
      <c r="T2126" s="2">
        <v>43847</v>
      </c>
    </row>
    <row r="2127" spans="1:22" x14ac:dyDescent="0.2">
      <c r="A2127" t="str">
        <f>"378.1 ECO"</f>
        <v>378.1 ECO</v>
      </c>
      <c r="B2127" t="str">
        <f>"AP macroeconomics 2016"</f>
        <v>AP macroeconomics 2016</v>
      </c>
      <c r="C2127">
        <v>333197</v>
      </c>
      <c r="D2127" t="str">
        <f>"Dodge, Eric R."</f>
        <v>Dodge, Eric R.</v>
      </c>
      <c r="E2127" t="str">
        <f>"5 Steps to a 5 series"</f>
        <v>5 Steps to a 5 series</v>
      </c>
      <c r="F2127" t="str">
        <f>"xv, 228 pages, 28 cm, illustrations"</f>
        <v>xv, 228 pages, 28 cm, illustrations</v>
      </c>
      <c r="G2127" s="1">
        <v>16</v>
      </c>
      <c r="H2127">
        <v>2015</v>
      </c>
      <c r="I2127" t="str">
        <f t="shared" si="83"/>
        <v>9: 300 - 399</v>
      </c>
      <c r="K2127" t="str">
        <f>"LL - In"</f>
        <v>LL - In</v>
      </c>
      <c r="L2127" s="1">
        <v>24</v>
      </c>
      <c r="M2127" t="s">
        <v>1976</v>
      </c>
      <c r="O2127" t="s">
        <v>28</v>
      </c>
      <c r="P2127">
        <v>5</v>
      </c>
      <c r="Q2127">
        <v>0</v>
      </c>
      <c r="R2127">
        <v>7</v>
      </c>
      <c r="S2127" s="2">
        <v>42416</v>
      </c>
      <c r="T2127" s="2">
        <v>42439</v>
      </c>
      <c r="U2127" s="2">
        <v>43640</v>
      </c>
    </row>
    <row r="2128" spans="1:22" x14ac:dyDescent="0.2">
      <c r="A2128" t="str">
        <f>"378.1 ENG"</f>
        <v>378.1 ENG</v>
      </c>
      <c r="B2128" t="str">
        <f>"Cracking the AP English literature &amp; com"</f>
        <v>Cracking the AP English literature &amp; com</v>
      </c>
      <c r="C2128">
        <v>359918</v>
      </c>
      <c r="F2128" t="str">
        <f>"294 pages, 28 cm, illustrations"</f>
        <v>294 pages, 28 cm, illustrations</v>
      </c>
      <c r="G2128" s="1">
        <v>19</v>
      </c>
      <c r="H2128">
        <v>2019</v>
      </c>
      <c r="I2128" t="str">
        <f t="shared" si="83"/>
        <v>9: 300 - 399</v>
      </c>
      <c r="K2128" t="str">
        <f>"WB - In"</f>
        <v>WB - In</v>
      </c>
      <c r="L2128" s="1">
        <v>24</v>
      </c>
      <c r="M2128" t="s">
        <v>1977</v>
      </c>
      <c r="O2128" t="s">
        <v>28</v>
      </c>
      <c r="P2128">
        <v>0</v>
      </c>
      <c r="Q2128">
        <v>0</v>
      </c>
      <c r="R2128">
        <v>0</v>
      </c>
      <c r="S2128" s="2">
        <v>43832</v>
      </c>
      <c r="T2128" s="2">
        <v>43847</v>
      </c>
    </row>
    <row r="2129" spans="1:22" x14ac:dyDescent="0.2">
      <c r="A2129" t="str">
        <f>"378.1 ENG"</f>
        <v>378.1 ENG</v>
      </c>
      <c r="B2129" t="str">
        <f>"Barron's AP English language and composi"</f>
        <v>Barron's AP English language and composi</v>
      </c>
      <c r="C2129">
        <v>293593</v>
      </c>
      <c r="D2129" t="str">
        <f>"Ehrenhaft, George"</f>
        <v>Ehrenhaft, George</v>
      </c>
      <c r="G2129" s="1">
        <v>17</v>
      </c>
      <c r="H2129">
        <v>2017</v>
      </c>
      <c r="I2129" t="str">
        <f t="shared" si="83"/>
        <v>9: 300 - 399</v>
      </c>
      <c r="K2129" t="str">
        <f>"LL - Out"</f>
        <v>LL - Out</v>
      </c>
      <c r="L2129" s="1">
        <v>22</v>
      </c>
      <c r="M2129" t="s">
        <v>1978</v>
      </c>
      <c r="O2129" t="s">
        <v>28</v>
      </c>
      <c r="P2129">
        <v>9</v>
      </c>
      <c r="Q2129">
        <v>0</v>
      </c>
      <c r="R2129">
        <v>9</v>
      </c>
      <c r="S2129" s="2">
        <v>42795</v>
      </c>
      <c r="T2129" s="2">
        <v>42801</v>
      </c>
      <c r="U2129" s="2">
        <v>43856</v>
      </c>
    </row>
    <row r="2130" spans="1:22" x14ac:dyDescent="0.2">
      <c r="A2130" t="str">
        <f>"378.1 ENG"</f>
        <v>378.1 ENG</v>
      </c>
      <c r="B2130" t="str">
        <f>"Barron's AP English language and composi"</f>
        <v>Barron's AP English language and composi</v>
      </c>
      <c r="C2130">
        <v>352642</v>
      </c>
      <c r="D2130" t="str">
        <f>"Ehrenhaft, George"</f>
        <v>Ehrenhaft, George</v>
      </c>
      <c r="G2130" s="1">
        <v>19</v>
      </c>
      <c r="H2130">
        <v>2019</v>
      </c>
      <c r="I2130" t="str">
        <f t="shared" si="83"/>
        <v>9: 300 - 399</v>
      </c>
      <c r="K2130" t="str">
        <f>"WB - In"</f>
        <v>WB - In</v>
      </c>
      <c r="L2130" s="1">
        <v>22</v>
      </c>
      <c r="M2130" t="s">
        <v>1979</v>
      </c>
      <c r="O2130" t="s">
        <v>28</v>
      </c>
      <c r="P2130">
        <v>2</v>
      </c>
      <c r="Q2130">
        <v>0</v>
      </c>
      <c r="R2130">
        <v>2</v>
      </c>
      <c r="S2130" s="2">
        <v>43529</v>
      </c>
      <c r="T2130" s="2">
        <v>43539</v>
      </c>
      <c r="U2130" s="2">
        <v>43588</v>
      </c>
    </row>
    <row r="2131" spans="1:22" x14ac:dyDescent="0.2">
      <c r="A2131" t="str">
        <f>"378.1 ENG"</f>
        <v>378.1 ENG</v>
      </c>
      <c r="B2131" t="str">
        <f>"AP English language and composition 2019"</f>
        <v>AP English language and composition 2019</v>
      </c>
      <c r="C2131">
        <v>358736</v>
      </c>
      <c r="D2131" t="str">
        <f>"Test Prep Books"</f>
        <v>Test Prep Books</v>
      </c>
      <c r="F2131" t="str">
        <f>"97 p."</f>
        <v>97 p.</v>
      </c>
      <c r="G2131" s="1">
        <v>19</v>
      </c>
      <c r="H2131">
        <v>2019</v>
      </c>
      <c r="I2131" t="str">
        <f t="shared" si="83"/>
        <v>9: 300 - 399</v>
      </c>
      <c r="K2131" t="str">
        <f>"WB - In"</f>
        <v>WB - In</v>
      </c>
      <c r="L2131" s="1">
        <v>24</v>
      </c>
      <c r="M2131" t="s">
        <v>1980</v>
      </c>
      <c r="O2131" t="s">
        <v>28</v>
      </c>
      <c r="P2131">
        <v>0</v>
      </c>
      <c r="Q2131">
        <v>0</v>
      </c>
      <c r="R2131">
        <v>0</v>
      </c>
      <c r="S2131" s="2">
        <v>43760</v>
      </c>
      <c r="T2131" s="2">
        <v>43811</v>
      </c>
    </row>
    <row r="2132" spans="1:22" x14ac:dyDescent="0.2">
      <c r="A2132" t="str">
        <f>"378.1 ENV"</f>
        <v>378.1 ENV</v>
      </c>
      <c r="B2132" t="str">
        <f>"Cracking the AP environmental science ex"</f>
        <v>Cracking the AP environmental science ex</v>
      </c>
      <c r="C2132">
        <v>402105</v>
      </c>
      <c r="F2132" t="str">
        <f>"383 p."</f>
        <v>383 p.</v>
      </c>
      <c r="G2132" s="1">
        <v>18</v>
      </c>
      <c r="H2132">
        <v>2018</v>
      </c>
      <c r="I2132" t="str">
        <f t="shared" si="83"/>
        <v>9: 300 - 399</v>
      </c>
      <c r="K2132" t="str">
        <f>"LL - In"</f>
        <v>LL - In</v>
      </c>
      <c r="L2132" s="1">
        <v>24</v>
      </c>
      <c r="M2132" t="s">
        <v>1981</v>
      </c>
      <c r="O2132" t="s">
        <v>28</v>
      </c>
      <c r="P2132">
        <v>1</v>
      </c>
      <c r="Q2132">
        <v>0</v>
      </c>
      <c r="R2132">
        <v>1</v>
      </c>
      <c r="S2132" s="2">
        <v>43279</v>
      </c>
      <c r="T2132" s="2">
        <v>43314</v>
      </c>
      <c r="U2132" s="2">
        <v>43509</v>
      </c>
    </row>
    <row r="2133" spans="1:22" x14ac:dyDescent="0.2">
      <c r="A2133" t="str">
        <f>"378.1 GEO"</f>
        <v>378.1 GEO</v>
      </c>
      <c r="B2133" t="str">
        <f>"AP human geography prep plus 2019-2020"</f>
        <v>AP human geography prep plus 2019-2020</v>
      </c>
      <c r="C2133">
        <v>355740</v>
      </c>
      <c r="F2133" t="str">
        <f>"iv, 483 pages, 28 cm, illustrations, maps"</f>
        <v>iv, 483 pages, 28 cm, illustrations, maps</v>
      </c>
      <c r="G2133" s="1">
        <v>19</v>
      </c>
      <c r="H2133">
        <v>2019</v>
      </c>
      <c r="I2133" t="str">
        <f t="shared" si="83"/>
        <v>9: 300 - 399</v>
      </c>
      <c r="K2133" t="str">
        <f>"LL - In"</f>
        <v>LL - In</v>
      </c>
      <c r="L2133" s="1">
        <v>27</v>
      </c>
      <c r="M2133" t="s">
        <v>1982</v>
      </c>
      <c r="O2133" t="s">
        <v>28</v>
      </c>
      <c r="P2133">
        <v>1</v>
      </c>
      <c r="Q2133">
        <v>0</v>
      </c>
      <c r="R2133">
        <v>1</v>
      </c>
      <c r="S2133" s="2">
        <v>43640</v>
      </c>
      <c r="T2133" s="2">
        <v>43668</v>
      </c>
      <c r="U2133" s="2">
        <v>43745</v>
      </c>
    </row>
    <row r="2134" spans="1:22" x14ac:dyDescent="0.2">
      <c r="A2134" t="str">
        <f>"378.1 GEO"</f>
        <v>378.1 GEO</v>
      </c>
      <c r="B2134" t="str">
        <f>"Cracking the AP human geography exam"</f>
        <v>Cracking the AP human geography exam</v>
      </c>
      <c r="C2134">
        <v>358601</v>
      </c>
      <c r="F2134" t="str">
        <f>"464 pages, 28 cm, illustrations"</f>
        <v>464 pages, 28 cm, illustrations</v>
      </c>
      <c r="G2134" s="1">
        <v>19</v>
      </c>
      <c r="H2134">
        <v>2018</v>
      </c>
      <c r="I2134" t="str">
        <f t="shared" si="83"/>
        <v>9: 300 - 399</v>
      </c>
      <c r="K2134" t="str">
        <f>"WB - In"</f>
        <v>WB - In</v>
      </c>
      <c r="L2134" s="1">
        <v>24</v>
      </c>
      <c r="M2134" t="s">
        <v>1983</v>
      </c>
      <c r="O2134" t="s">
        <v>28</v>
      </c>
      <c r="P2134">
        <v>1</v>
      </c>
      <c r="Q2134">
        <v>0</v>
      </c>
      <c r="R2134">
        <v>1</v>
      </c>
      <c r="S2134" s="2">
        <v>43753</v>
      </c>
      <c r="T2134" s="2">
        <v>43811</v>
      </c>
      <c r="U2134" s="2">
        <v>43841</v>
      </c>
    </row>
    <row r="2135" spans="1:22" x14ac:dyDescent="0.2">
      <c r="A2135" t="str">
        <f>"378.1 GOV"</f>
        <v>378.1 GOV</v>
      </c>
      <c r="B2135" t="str">
        <f>"Barron's AP U.S. government and politics"</f>
        <v>Barron's AP U.S. government and politics</v>
      </c>
      <c r="C2135">
        <v>348950</v>
      </c>
      <c r="D2135" t="str">
        <f>"Lader, Curt."</f>
        <v>Lader, Curt.</v>
      </c>
      <c r="G2135" s="1">
        <v>18</v>
      </c>
      <c r="H2135">
        <v>2018</v>
      </c>
      <c r="I2135" t="str">
        <f t="shared" si="83"/>
        <v>9: 300 - 399</v>
      </c>
      <c r="K2135" t="str">
        <f>"LL - In"</f>
        <v>LL - In</v>
      </c>
      <c r="L2135" s="1">
        <v>28</v>
      </c>
      <c r="M2135" t="s">
        <v>1984</v>
      </c>
      <c r="O2135" t="s">
        <v>28</v>
      </c>
      <c r="P2135">
        <v>2</v>
      </c>
      <c r="Q2135">
        <v>0</v>
      </c>
      <c r="R2135">
        <v>2</v>
      </c>
      <c r="S2135" s="2">
        <v>43304</v>
      </c>
      <c r="T2135" s="2">
        <v>43308</v>
      </c>
      <c r="U2135" s="2">
        <v>43662</v>
      </c>
    </row>
    <row r="2136" spans="1:22" x14ac:dyDescent="0.2">
      <c r="A2136" t="str">
        <f>"378.1 GRE"</f>
        <v>378.1 GRE</v>
      </c>
      <c r="B2136" t="str">
        <f>"Cracking the GRE premium"</f>
        <v>Cracking the GRE premium</v>
      </c>
      <c r="C2136">
        <v>353282</v>
      </c>
      <c r="F2136" t="str">
        <f>"551 pages, 28 cm, illustrations"</f>
        <v>551 pages, 28 cm, illustrations</v>
      </c>
      <c r="G2136" s="1">
        <v>19</v>
      </c>
      <c r="H2136">
        <v>2018</v>
      </c>
      <c r="I2136" t="str">
        <f t="shared" si="83"/>
        <v>9: 300 - 399</v>
      </c>
      <c r="K2136" t="str">
        <f>"WB - Out"</f>
        <v>WB - Out</v>
      </c>
      <c r="L2136" s="1">
        <v>43</v>
      </c>
      <c r="M2136" t="s">
        <v>1985</v>
      </c>
      <c r="O2136" t="s">
        <v>28</v>
      </c>
      <c r="P2136">
        <v>4</v>
      </c>
      <c r="Q2136">
        <v>0</v>
      </c>
      <c r="R2136">
        <v>4</v>
      </c>
      <c r="S2136" s="2">
        <v>43529</v>
      </c>
      <c r="T2136" s="2">
        <v>43600</v>
      </c>
      <c r="U2136" s="2">
        <v>43845</v>
      </c>
    </row>
    <row r="2137" spans="1:22" x14ac:dyDescent="0.2">
      <c r="A2137" t="str">
        <f>"378.1 GRE"</f>
        <v>378.1 GRE</v>
      </c>
      <c r="B2137" t="str">
        <f>"GRE math workbook"</f>
        <v>GRE math workbook</v>
      </c>
      <c r="C2137">
        <v>349888</v>
      </c>
      <c r="F2137" t="str">
        <f>"69 pages, 28 cm, illustrations"</f>
        <v>69 pages, 28 cm, illustrations</v>
      </c>
      <c r="G2137" s="1">
        <v>18</v>
      </c>
      <c r="H2137">
        <v>2018</v>
      </c>
      <c r="I2137" t="str">
        <f t="shared" si="83"/>
        <v>9: 300 - 399</v>
      </c>
      <c r="K2137" t="str">
        <f>"WB - In"</f>
        <v>WB - In</v>
      </c>
      <c r="L2137" s="1">
        <v>24</v>
      </c>
      <c r="M2137" t="s">
        <v>1986</v>
      </c>
      <c r="O2137" t="s">
        <v>28</v>
      </c>
      <c r="P2137">
        <v>0</v>
      </c>
      <c r="Q2137">
        <v>1</v>
      </c>
      <c r="R2137">
        <v>1</v>
      </c>
      <c r="S2137" s="2">
        <v>43354</v>
      </c>
      <c r="T2137" s="2">
        <v>43375</v>
      </c>
      <c r="V2137" s="2">
        <v>43711</v>
      </c>
    </row>
    <row r="2138" spans="1:22" x14ac:dyDescent="0.2">
      <c r="A2138" t="str">
        <f>"378.1 HES"</f>
        <v>378.1 HES</v>
      </c>
      <c r="B2138" t="str">
        <f>"HESI Admission Assessment exam review"</f>
        <v>HESI Admission Assessment exam review</v>
      </c>
      <c r="C2138">
        <v>348342</v>
      </c>
      <c r="F2138" t="str">
        <f>"vi, 153 pages, 28 cm"</f>
        <v>vi, 153 pages, 28 cm</v>
      </c>
      <c r="G2138" s="1">
        <v>18</v>
      </c>
      <c r="H2138">
        <v>2017</v>
      </c>
      <c r="I2138" t="str">
        <f t="shared" si="83"/>
        <v>9: 300 - 399</v>
      </c>
      <c r="K2138" t="str">
        <f>"LL - Out"</f>
        <v>LL - Out</v>
      </c>
      <c r="L2138" s="1">
        <v>49</v>
      </c>
      <c r="M2138" t="s">
        <v>1987</v>
      </c>
      <c r="O2138" t="s">
        <v>28</v>
      </c>
      <c r="P2138">
        <v>6</v>
      </c>
      <c r="Q2138">
        <v>0</v>
      </c>
      <c r="R2138">
        <v>6</v>
      </c>
      <c r="S2138" s="2">
        <v>43276</v>
      </c>
      <c r="T2138" s="2">
        <v>43287</v>
      </c>
      <c r="U2138" s="2">
        <v>43837</v>
      </c>
    </row>
    <row r="2139" spans="1:22" x14ac:dyDescent="0.2">
      <c r="A2139" t="str">
        <f>"378.1 HES"</f>
        <v>378.1 HES</v>
      </c>
      <c r="B2139" t="str">
        <f>"HESI A2 test study guide 2018-2019: HESI"</f>
        <v>HESI A2 test study guide 2018-2019: HESI</v>
      </c>
      <c r="C2139">
        <v>401999</v>
      </c>
      <c r="D2139" t="str">
        <f>"Trivium Test Prep"</f>
        <v>Trivium Test Prep</v>
      </c>
      <c r="F2139" t="str">
        <f>"226 pages, illustrations"</f>
        <v>226 pages, illustrations</v>
      </c>
      <c r="G2139" s="1">
        <v>18</v>
      </c>
      <c r="H2139">
        <v>2018</v>
      </c>
      <c r="I2139" t="str">
        <f t="shared" si="83"/>
        <v>9: 300 - 399</v>
      </c>
      <c r="K2139" t="str">
        <f>"LL - Problem"</f>
        <v>LL - Problem</v>
      </c>
      <c r="L2139" s="1">
        <v>45</v>
      </c>
      <c r="M2139" t="s">
        <v>1988</v>
      </c>
      <c r="O2139" t="s">
        <v>28</v>
      </c>
      <c r="P2139">
        <v>4</v>
      </c>
      <c r="Q2139">
        <v>0</v>
      </c>
      <c r="R2139">
        <v>4</v>
      </c>
      <c r="S2139" s="2">
        <v>43270</v>
      </c>
      <c r="T2139" s="2">
        <v>43277</v>
      </c>
      <c r="U2139" s="2">
        <v>43733</v>
      </c>
    </row>
    <row r="2140" spans="1:22" x14ac:dyDescent="0.2">
      <c r="A2140" t="str">
        <f>"378.1 HIS"</f>
        <v>378.1 HIS</v>
      </c>
      <c r="B2140" t="str">
        <f>"AP U.S. history prep plus 2018-2019"</f>
        <v>AP U.S. history prep plus 2018-2019</v>
      </c>
      <c r="C2140">
        <v>348341</v>
      </c>
      <c r="F2140" t="str">
        <f>"iv, 548 pages, 28 cm, illustrations, maps"</f>
        <v>iv, 548 pages, 28 cm, illustrations, maps</v>
      </c>
      <c r="G2140" s="1">
        <v>18</v>
      </c>
      <c r="H2140">
        <v>2018</v>
      </c>
      <c r="I2140" t="str">
        <f t="shared" si="83"/>
        <v>9: 300 - 399</v>
      </c>
      <c r="K2140" t="str">
        <f>"LL - In"</f>
        <v>LL - In</v>
      </c>
      <c r="L2140" s="1">
        <v>27</v>
      </c>
      <c r="M2140" t="s">
        <v>1989</v>
      </c>
      <c r="O2140" t="s">
        <v>28</v>
      </c>
      <c r="P2140">
        <v>3</v>
      </c>
      <c r="Q2140">
        <v>0</v>
      </c>
      <c r="R2140">
        <v>3</v>
      </c>
      <c r="S2140" s="2">
        <v>43276</v>
      </c>
      <c r="T2140" s="2">
        <v>43314</v>
      </c>
      <c r="U2140" s="2">
        <v>43651</v>
      </c>
    </row>
    <row r="2141" spans="1:22" x14ac:dyDescent="0.2">
      <c r="A2141" t="str">
        <f>"378.1 HIS"</f>
        <v>378.1 HIS</v>
      </c>
      <c r="B2141" t="str">
        <f>"Cracking the AP U.S. history exam 2020"</f>
        <v>Cracking the AP U.S. history exam 2020</v>
      </c>
      <c r="C2141">
        <v>359919</v>
      </c>
      <c r="F2141" t="str">
        <f>"vii, 410 p."</f>
        <v>vii, 410 p.</v>
      </c>
      <c r="G2141" s="1">
        <v>17</v>
      </c>
      <c r="H2141">
        <v>2019</v>
      </c>
      <c r="I2141" t="str">
        <f t="shared" si="83"/>
        <v>9: 300 - 399</v>
      </c>
      <c r="K2141" t="str">
        <f>"LL - In"</f>
        <v>LL - In</v>
      </c>
      <c r="L2141" s="1">
        <v>25</v>
      </c>
      <c r="M2141" t="s">
        <v>1990</v>
      </c>
      <c r="O2141" t="s">
        <v>28</v>
      </c>
      <c r="P2141">
        <v>0</v>
      </c>
      <c r="Q2141">
        <v>0</v>
      </c>
      <c r="R2141">
        <v>0</v>
      </c>
      <c r="S2141" s="2">
        <v>43832</v>
      </c>
      <c r="T2141" s="2">
        <v>43847</v>
      </c>
    </row>
    <row r="2142" spans="1:22" x14ac:dyDescent="0.2">
      <c r="A2142" t="str">
        <f>"378.1 IQ"</f>
        <v>378.1 IQ</v>
      </c>
      <c r="B2142" t="str">
        <f>"complete book of intelligence tests"</f>
        <v>complete book of intelligence tests</v>
      </c>
      <c r="C2142">
        <v>263782</v>
      </c>
      <c r="D2142" t="str">
        <f>"Carter, Philip J."</f>
        <v>Carter, Philip J.</v>
      </c>
      <c r="F2142" t="str">
        <f>"v, 205 p., 22 cm., ill."</f>
        <v>v, 205 p., 22 cm., ill.</v>
      </c>
      <c r="G2142" s="1">
        <v>13</v>
      </c>
      <c r="H2142">
        <v>2005</v>
      </c>
      <c r="I2142" t="str">
        <f t="shared" si="83"/>
        <v>9: 300 - 399</v>
      </c>
      <c r="K2142" t="str">
        <f>"WB - In"</f>
        <v>WB - In</v>
      </c>
      <c r="L2142" s="1">
        <v>20</v>
      </c>
      <c r="M2142" t="s">
        <v>1991</v>
      </c>
      <c r="O2142" t="s">
        <v>28</v>
      </c>
      <c r="P2142">
        <v>1</v>
      </c>
      <c r="Q2142">
        <v>0</v>
      </c>
      <c r="R2142">
        <v>20</v>
      </c>
      <c r="S2142" s="2">
        <v>41320</v>
      </c>
      <c r="T2142" s="2">
        <v>41339</v>
      </c>
      <c r="U2142" s="2">
        <v>43704</v>
      </c>
    </row>
    <row r="2143" spans="1:22" x14ac:dyDescent="0.2">
      <c r="A2143" t="str">
        <f>"378.1 LUK"</f>
        <v>378.1 LUK</v>
      </c>
      <c r="B2143" t="str">
        <f>"Unlearning liberty: campus censorship an"</f>
        <v>Unlearning liberty: campus censorship an</v>
      </c>
      <c r="C2143">
        <v>311541</v>
      </c>
      <c r="D2143" t="str">
        <f>"Lukianoff, Greg."</f>
        <v>Lukianoff, Greg.</v>
      </c>
      <c r="F2143" t="str">
        <f>"x, 294 p., 24 cm."</f>
        <v>x, 294 p., 24 cm.</v>
      </c>
      <c r="G2143" s="1">
        <v>12</v>
      </c>
      <c r="H2143">
        <v>2012</v>
      </c>
      <c r="I2143" t="str">
        <f t="shared" si="83"/>
        <v>9: 300 - 399</v>
      </c>
      <c r="K2143" t="str">
        <f>"WB - In"</f>
        <v>WB - In</v>
      </c>
      <c r="L2143" s="1">
        <v>31</v>
      </c>
      <c r="M2143" t="s">
        <v>1992</v>
      </c>
      <c r="O2143" t="s">
        <v>28</v>
      </c>
      <c r="P2143">
        <v>1</v>
      </c>
      <c r="Q2143">
        <v>0</v>
      </c>
      <c r="R2143">
        <v>5</v>
      </c>
      <c r="S2143" s="2">
        <v>41246</v>
      </c>
      <c r="T2143" s="2">
        <v>41386</v>
      </c>
      <c r="U2143" s="2">
        <v>43691</v>
      </c>
    </row>
    <row r="2144" spans="1:22" x14ac:dyDescent="0.2">
      <c r="A2144" t="str">
        <f t="shared" ref="A2144:A2152" si="84">"378.1 MAT"</f>
        <v>378.1 MAT</v>
      </c>
      <c r="B2144" t="str">
        <f>"Dr. John Chung's new SAT math 2016: desi"</f>
        <v>Dr. John Chung's new SAT math 2016: desi</v>
      </c>
      <c r="C2144">
        <v>286310</v>
      </c>
      <c r="F2144" t="str">
        <f>"457 p."</f>
        <v>457 p.</v>
      </c>
      <c r="G2144" s="1">
        <v>16</v>
      </c>
      <c r="H2144">
        <v>2016</v>
      </c>
      <c r="I2144" t="str">
        <f t="shared" si="83"/>
        <v>9: 300 - 399</v>
      </c>
      <c r="K2144" t="str">
        <f>"WB - Out"</f>
        <v>WB - Out</v>
      </c>
      <c r="L2144" s="1">
        <v>31</v>
      </c>
      <c r="M2144" t="s">
        <v>1993</v>
      </c>
      <c r="O2144" t="s">
        <v>28</v>
      </c>
      <c r="P2144">
        <v>9</v>
      </c>
      <c r="Q2144">
        <v>0</v>
      </c>
      <c r="R2144">
        <v>11</v>
      </c>
      <c r="S2144" s="2">
        <v>42423</v>
      </c>
      <c r="T2144" s="2">
        <v>42439</v>
      </c>
      <c r="U2144" s="2">
        <v>43829</v>
      </c>
    </row>
    <row r="2145" spans="1:22" x14ac:dyDescent="0.2">
      <c r="A2145" t="str">
        <f t="shared" si="84"/>
        <v>378.1 MAT</v>
      </c>
      <c r="B2145" t="str">
        <f>"McGraw-Hill Education SAT subject test M"</f>
        <v>McGraw-Hill Education SAT subject test M</v>
      </c>
      <c r="C2145">
        <v>401522</v>
      </c>
      <c r="F2145" t="str">
        <f>"400 p."</f>
        <v>400 p.</v>
      </c>
      <c r="G2145" s="1">
        <v>18</v>
      </c>
      <c r="H2145">
        <v>2019</v>
      </c>
      <c r="I2145" t="str">
        <f t="shared" si="83"/>
        <v>9: 300 - 399</v>
      </c>
      <c r="K2145" t="str">
        <f>"WB - In"</f>
        <v>WB - In</v>
      </c>
      <c r="L2145" s="1">
        <v>22</v>
      </c>
      <c r="M2145" t="s">
        <v>1994</v>
      </c>
      <c r="O2145" t="s">
        <v>28</v>
      </c>
      <c r="P2145">
        <v>11</v>
      </c>
      <c r="Q2145">
        <v>0</v>
      </c>
      <c r="R2145">
        <v>11</v>
      </c>
      <c r="S2145" s="2">
        <v>43250</v>
      </c>
      <c r="T2145" s="2">
        <v>43255</v>
      </c>
      <c r="U2145" s="2">
        <v>43691</v>
      </c>
    </row>
    <row r="2146" spans="1:22" x14ac:dyDescent="0.2">
      <c r="A2146" t="str">
        <f t="shared" si="84"/>
        <v>378.1 MAT</v>
      </c>
      <c r="B2146" t="str">
        <f>"McGraw-Hill's SAT subject test Math leve"</f>
        <v>McGraw-Hill's SAT subject test Math leve</v>
      </c>
      <c r="C2146">
        <v>286928</v>
      </c>
      <c r="F2146" t="str">
        <f>"341 p."</f>
        <v>341 p.</v>
      </c>
      <c r="G2146" s="1">
        <v>16</v>
      </c>
      <c r="H2146">
        <v>2016</v>
      </c>
      <c r="I2146" t="str">
        <f t="shared" si="83"/>
        <v>9: 300 - 399</v>
      </c>
      <c r="K2146" t="str">
        <f>"LL - In"</f>
        <v>LL - In</v>
      </c>
      <c r="L2146" s="1">
        <v>23</v>
      </c>
      <c r="M2146" t="s">
        <v>1995</v>
      </c>
      <c r="O2146" t="s">
        <v>28</v>
      </c>
      <c r="P2146">
        <v>6</v>
      </c>
      <c r="Q2146">
        <v>1</v>
      </c>
      <c r="R2146">
        <v>10</v>
      </c>
      <c r="S2146" s="2">
        <v>42446</v>
      </c>
      <c r="T2146" s="2">
        <v>42485</v>
      </c>
      <c r="U2146" s="2">
        <v>43499</v>
      </c>
      <c r="V2146" s="2">
        <v>42968</v>
      </c>
    </row>
    <row r="2147" spans="1:22" x14ac:dyDescent="0.2">
      <c r="A2147" t="str">
        <f t="shared" si="84"/>
        <v>378.1 MAT</v>
      </c>
      <c r="B2147" t="str">
        <f>"SAT math 1 subject test"</f>
        <v>SAT math 1 subject test</v>
      </c>
      <c r="C2147">
        <v>359776</v>
      </c>
      <c r="E2147" t="str">
        <f>"Princeton Review series"</f>
        <v>Princeton Review series</v>
      </c>
      <c r="F2147" t="str">
        <f>"457 p."</f>
        <v>457 p.</v>
      </c>
      <c r="G2147" s="1">
        <v>19</v>
      </c>
      <c r="H2147">
        <v>2019</v>
      </c>
      <c r="I2147" t="str">
        <f t="shared" si="83"/>
        <v>9: 300 - 399</v>
      </c>
      <c r="K2147" t="str">
        <f>"WB - In"</f>
        <v>WB - In</v>
      </c>
      <c r="L2147" s="1">
        <v>25</v>
      </c>
      <c r="M2147" t="s">
        <v>1996</v>
      </c>
      <c r="O2147" t="s">
        <v>28</v>
      </c>
      <c r="P2147">
        <v>0</v>
      </c>
      <c r="Q2147">
        <v>0</v>
      </c>
      <c r="R2147">
        <v>0</v>
      </c>
      <c r="S2147" s="2">
        <v>43832</v>
      </c>
      <c r="T2147" s="2">
        <v>43847</v>
      </c>
    </row>
    <row r="2148" spans="1:22" x14ac:dyDescent="0.2">
      <c r="A2148" t="str">
        <f t="shared" si="84"/>
        <v>378.1 MAT</v>
      </c>
      <c r="B2148" t="str">
        <f>"SAT II mathematics level 2: designed to "</f>
        <v xml:space="preserve">SAT II mathematics level 2: designed to </v>
      </c>
      <c r="C2148">
        <v>359090</v>
      </c>
      <c r="D2148" t="str">
        <f>"Chung, John"</f>
        <v>Chung, John</v>
      </c>
      <c r="G2148" s="1">
        <v>19</v>
      </c>
      <c r="H2148">
        <v>2016</v>
      </c>
      <c r="I2148" t="str">
        <f t="shared" si="83"/>
        <v>9: 300 - 399</v>
      </c>
      <c r="K2148" t="str">
        <f>"WB - In"</f>
        <v>WB - In</v>
      </c>
      <c r="L2148" s="1">
        <v>30</v>
      </c>
      <c r="M2148" t="s">
        <v>1997</v>
      </c>
      <c r="O2148" t="s">
        <v>28</v>
      </c>
      <c r="P2148">
        <v>0</v>
      </c>
      <c r="Q2148">
        <v>0</v>
      </c>
      <c r="R2148">
        <v>0</v>
      </c>
      <c r="S2148" s="2">
        <v>43780</v>
      </c>
      <c r="T2148" s="2">
        <v>43804</v>
      </c>
    </row>
    <row r="2149" spans="1:22" x14ac:dyDescent="0.2">
      <c r="A2149" t="str">
        <f t="shared" si="84"/>
        <v>378.1 MAT</v>
      </c>
      <c r="B2149" t="str">
        <f>"Cracking the SAT math 1 subject test"</f>
        <v>Cracking the SAT math 1 subject test</v>
      </c>
      <c r="C2149">
        <v>299110</v>
      </c>
      <c r="D2149" t="str">
        <f>"Spaihts. Jonathan"</f>
        <v>Spaihts. Jonathan</v>
      </c>
      <c r="E2149" t="str">
        <f>"Princeton Review series"</f>
        <v>Princeton Review series</v>
      </c>
      <c r="F2149" t="str">
        <f>"457 p."</f>
        <v>457 p.</v>
      </c>
      <c r="G2149" s="1">
        <v>17</v>
      </c>
      <c r="H2149">
        <v>2017</v>
      </c>
      <c r="I2149" t="str">
        <f t="shared" si="83"/>
        <v>9: 300 - 399</v>
      </c>
      <c r="K2149" t="str">
        <f>"LL - Out"</f>
        <v>LL - Out</v>
      </c>
      <c r="L2149" s="1">
        <v>25</v>
      </c>
      <c r="M2149" t="s">
        <v>1998</v>
      </c>
      <c r="O2149" t="s">
        <v>28</v>
      </c>
      <c r="P2149">
        <v>6</v>
      </c>
      <c r="Q2149">
        <v>0</v>
      </c>
      <c r="R2149">
        <v>6</v>
      </c>
      <c r="S2149" s="2">
        <v>43090</v>
      </c>
      <c r="T2149" s="2">
        <v>43091</v>
      </c>
      <c r="U2149" s="2">
        <v>43816</v>
      </c>
    </row>
    <row r="2150" spans="1:22" x14ac:dyDescent="0.2">
      <c r="A2150" t="str">
        <f t="shared" si="84"/>
        <v>378.1 MAT</v>
      </c>
      <c r="B2150" t="str">
        <f>"SAT math 2 subject test 2019 &amp; 2020 prep"</f>
        <v>SAT math 2 subject test 2019 &amp; 2020 prep</v>
      </c>
      <c r="C2150">
        <v>357569</v>
      </c>
      <c r="D2150" t="str">
        <f>"Test Prep Books"</f>
        <v>Test Prep Books</v>
      </c>
      <c r="F2150" t="str">
        <f>"189 p."</f>
        <v>189 p.</v>
      </c>
      <c r="G2150" s="1">
        <v>19</v>
      </c>
      <c r="H2150">
        <v>2019</v>
      </c>
      <c r="I2150" t="str">
        <f t="shared" si="83"/>
        <v>9: 300 - 399</v>
      </c>
      <c r="K2150" t="str">
        <f>"WB - In"</f>
        <v>WB - In</v>
      </c>
      <c r="L2150" s="1">
        <v>22</v>
      </c>
      <c r="M2150" t="s">
        <v>1999</v>
      </c>
      <c r="O2150" t="s">
        <v>28</v>
      </c>
      <c r="P2150">
        <v>2</v>
      </c>
      <c r="Q2150">
        <v>0</v>
      </c>
      <c r="R2150">
        <v>2</v>
      </c>
      <c r="S2150" s="2">
        <v>43719</v>
      </c>
      <c r="T2150" s="2">
        <v>43752</v>
      </c>
      <c r="U2150" s="2">
        <v>43760</v>
      </c>
    </row>
    <row r="2151" spans="1:22" x14ac:dyDescent="0.2">
      <c r="A2151" t="str">
        <f t="shared" si="84"/>
        <v>378.1 MAT</v>
      </c>
      <c r="B2151" t="str">
        <f>"28 new SAT math lessons to improve in on"</f>
        <v>28 new SAT math lessons to improve in on</v>
      </c>
      <c r="C2151">
        <v>287041</v>
      </c>
      <c r="D2151" t="str">
        <f>"Warner, Steve"</f>
        <v>Warner, Steve</v>
      </c>
      <c r="F2151" t="str">
        <f>"191 p."</f>
        <v>191 p.</v>
      </c>
      <c r="G2151" s="1">
        <v>16</v>
      </c>
      <c r="H2151">
        <v>2016</v>
      </c>
      <c r="I2151" t="str">
        <f t="shared" si="83"/>
        <v>9: 300 - 399</v>
      </c>
      <c r="K2151" t="str">
        <f>"LL - In"</f>
        <v>LL - In</v>
      </c>
      <c r="L2151" s="1">
        <v>35</v>
      </c>
      <c r="M2151" t="s">
        <v>2000</v>
      </c>
      <c r="O2151" t="s">
        <v>28</v>
      </c>
      <c r="P2151">
        <v>8</v>
      </c>
      <c r="Q2151">
        <v>1</v>
      </c>
      <c r="R2151">
        <v>11</v>
      </c>
      <c r="S2151" s="2">
        <v>42459</v>
      </c>
      <c r="T2151" s="2">
        <v>42474</v>
      </c>
      <c r="U2151" s="2">
        <v>43588</v>
      </c>
      <c r="V2151" s="2">
        <v>43560</v>
      </c>
    </row>
    <row r="2152" spans="1:22" x14ac:dyDescent="0.2">
      <c r="A2152" t="str">
        <f t="shared" si="84"/>
        <v>378.1 MAT</v>
      </c>
      <c r="B2152" t="str">
        <f>"28 SAT math lessons to improve your scor"</f>
        <v>28 SAT math lessons to improve your scor</v>
      </c>
      <c r="C2152">
        <v>263961</v>
      </c>
      <c r="D2152" t="str">
        <f>"Werner, Steve"</f>
        <v>Werner, Steve</v>
      </c>
      <c r="F2152" t="str">
        <f>"255 p."</f>
        <v>255 p.</v>
      </c>
      <c r="G2152" s="1">
        <v>13</v>
      </c>
      <c r="H2152">
        <v>2012</v>
      </c>
      <c r="I2152" t="str">
        <f t="shared" si="83"/>
        <v>9: 300 - 399</v>
      </c>
      <c r="K2152" t="str">
        <f>"LL - In"</f>
        <v>LL - In</v>
      </c>
      <c r="L2152" s="1">
        <v>45</v>
      </c>
      <c r="M2152" t="s">
        <v>2001</v>
      </c>
      <c r="O2152" t="s">
        <v>28</v>
      </c>
      <c r="P2152">
        <v>7</v>
      </c>
      <c r="Q2152">
        <v>1</v>
      </c>
      <c r="R2152">
        <v>27</v>
      </c>
      <c r="S2152" s="2">
        <v>41334</v>
      </c>
      <c r="T2152" s="2">
        <v>41338</v>
      </c>
      <c r="U2152" s="2">
        <v>43560</v>
      </c>
      <c r="V2152" s="2">
        <v>42969</v>
      </c>
    </row>
    <row r="2153" spans="1:22" x14ac:dyDescent="0.2">
      <c r="A2153" t="str">
        <f>"378.1 ONE"</f>
        <v>378.1 ONE</v>
      </c>
      <c r="B2153" t="str">
        <f>"100 words every high school freshman sho"</f>
        <v>100 words every high school freshman sho</v>
      </c>
      <c r="C2153">
        <v>342412</v>
      </c>
      <c r="F2153" t="str">
        <f>"xi, 83 pages, 21 cm, illustrations"</f>
        <v>xi, 83 pages, 21 cm, illustrations</v>
      </c>
      <c r="G2153" s="1">
        <v>17</v>
      </c>
      <c r="H2153">
        <v>2016</v>
      </c>
      <c r="I2153" t="str">
        <f t="shared" si="83"/>
        <v>9: 300 - 399</v>
      </c>
      <c r="K2153" t="str">
        <f>"WB - In"</f>
        <v>WB - In</v>
      </c>
      <c r="L2153" s="1">
        <v>12</v>
      </c>
      <c r="M2153" t="s">
        <v>2002</v>
      </c>
      <c r="O2153" t="s">
        <v>28</v>
      </c>
      <c r="P2153">
        <v>6</v>
      </c>
      <c r="Q2153">
        <v>3</v>
      </c>
      <c r="R2153">
        <v>9</v>
      </c>
      <c r="S2153" s="2">
        <v>42929</v>
      </c>
      <c r="T2153" s="2">
        <v>42948</v>
      </c>
      <c r="U2153" s="2">
        <v>43571</v>
      </c>
      <c r="V2153" s="2">
        <v>43504</v>
      </c>
    </row>
    <row r="2154" spans="1:22" x14ac:dyDescent="0.2">
      <c r="A2154" t="str">
        <f>"378.1 ONE"</f>
        <v>378.1 ONE</v>
      </c>
      <c r="B2154" t="str">
        <f>"100 words every middle schooler should k"</f>
        <v>100 words every middle schooler should k</v>
      </c>
      <c r="C2154">
        <v>342413</v>
      </c>
      <c r="E2154" t="str">
        <f>"100 Words series"</f>
        <v>100 Words series</v>
      </c>
      <c r="F2154" t="str">
        <f>"116 p., 20 cm, ill."</f>
        <v>116 p., 20 cm, ill.</v>
      </c>
      <c r="G2154" s="1">
        <v>17</v>
      </c>
      <c r="H2154">
        <v>2010</v>
      </c>
      <c r="I2154" t="str">
        <f t="shared" si="83"/>
        <v>9: 300 - 399</v>
      </c>
      <c r="K2154" t="str">
        <f>"LL - In"</f>
        <v>LL - In</v>
      </c>
      <c r="L2154" s="1">
        <v>12</v>
      </c>
      <c r="M2154" t="s">
        <v>2003</v>
      </c>
      <c r="O2154" t="s">
        <v>28</v>
      </c>
      <c r="P2154">
        <v>6</v>
      </c>
      <c r="Q2154">
        <v>1</v>
      </c>
      <c r="R2154">
        <v>7</v>
      </c>
      <c r="S2154" s="2">
        <v>42929</v>
      </c>
      <c r="T2154" s="2">
        <v>42955</v>
      </c>
      <c r="U2154" s="2">
        <v>43463</v>
      </c>
      <c r="V2154" s="2">
        <v>43317</v>
      </c>
    </row>
    <row r="2155" spans="1:22" x14ac:dyDescent="0.2">
      <c r="A2155" t="str">
        <f t="shared" ref="A2155:A2160" si="85">"378.1 PHY"</f>
        <v>378.1 PHY</v>
      </c>
      <c r="B2155" t="str">
        <f>"Cracking the AP physics 2 exam: 2020"</f>
        <v>Cracking the AP physics 2 exam: 2020</v>
      </c>
      <c r="C2155">
        <v>359369</v>
      </c>
      <c r="F2155" t="str">
        <f>"viii, 365 pages, 28 cm, illustrations"</f>
        <v>viii, 365 pages, 28 cm, illustrations</v>
      </c>
      <c r="G2155" s="1">
        <v>19</v>
      </c>
      <c r="H2155">
        <v>2019</v>
      </c>
      <c r="I2155" t="str">
        <f t="shared" si="83"/>
        <v>9: 300 - 399</v>
      </c>
      <c r="K2155" t="str">
        <f>"LL - In"</f>
        <v>LL - In</v>
      </c>
      <c r="L2155" s="1">
        <v>24</v>
      </c>
      <c r="M2155" t="s">
        <v>2004</v>
      </c>
      <c r="O2155" t="s">
        <v>28</v>
      </c>
      <c r="P2155">
        <v>1</v>
      </c>
      <c r="Q2155">
        <v>0</v>
      </c>
      <c r="R2155">
        <v>1</v>
      </c>
      <c r="S2155" s="2">
        <v>43788</v>
      </c>
      <c r="T2155" s="2">
        <v>43811</v>
      </c>
      <c r="U2155" s="2">
        <v>43814</v>
      </c>
    </row>
    <row r="2156" spans="1:22" x14ac:dyDescent="0.2">
      <c r="A2156" t="str">
        <f t="shared" si="85"/>
        <v>378.1 PHY</v>
      </c>
      <c r="B2156" t="str">
        <f>"Cracking the AP physics C exam"</f>
        <v>Cracking the AP physics C exam</v>
      </c>
      <c r="C2156">
        <v>356631</v>
      </c>
      <c r="F2156" t="str">
        <f>"ix, 655 pages, 28 cm, illustrations"</f>
        <v>ix, 655 pages, 28 cm, illustrations</v>
      </c>
      <c r="G2156" s="1">
        <v>19</v>
      </c>
      <c r="H2156">
        <v>2019</v>
      </c>
      <c r="I2156" t="str">
        <f t="shared" si="83"/>
        <v>9: 300 - 399</v>
      </c>
      <c r="K2156" t="str">
        <f>"LL - In"</f>
        <v>LL - In</v>
      </c>
      <c r="L2156" s="1">
        <v>25</v>
      </c>
      <c r="M2156" t="s">
        <v>2005</v>
      </c>
      <c r="O2156" t="s">
        <v>28</v>
      </c>
      <c r="P2156">
        <v>2</v>
      </c>
      <c r="Q2156">
        <v>0</v>
      </c>
      <c r="R2156">
        <v>2</v>
      </c>
      <c r="S2156" s="2">
        <v>43683</v>
      </c>
      <c r="T2156" s="2">
        <v>43696</v>
      </c>
      <c r="U2156" s="2">
        <v>43801</v>
      </c>
    </row>
    <row r="2157" spans="1:22" x14ac:dyDescent="0.2">
      <c r="A2157" t="str">
        <f t="shared" si="85"/>
        <v>378.1 PHY</v>
      </c>
      <c r="B2157" t="str">
        <f>"SAT physics subject test"</f>
        <v>SAT physics subject test</v>
      </c>
      <c r="C2157">
        <v>359778</v>
      </c>
      <c r="F2157" t="str">
        <f>"500 p."</f>
        <v>500 p.</v>
      </c>
      <c r="G2157" s="1">
        <v>19</v>
      </c>
      <c r="H2157">
        <v>2019</v>
      </c>
      <c r="I2157" t="str">
        <f t="shared" si="83"/>
        <v>9: 300 - 399</v>
      </c>
      <c r="K2157" t="str">
        <f>"WB - In"</f>
        <v>WB - In</v>
      </c>
      <c r="L2157" s="1">
        <v>25</v>
      </c>
      <c r="M2157" t="s">
        <v>2006</v>
      </c>
      <c r="O2157" t="s">
        <v>28</v>
      </c>
      <c r="P2157">
        <v>0</v>
      </c>
      <c r="Q2157">
        <v>0</v>
      </c>
      <c r="R2157">
        <v>0</v>
      </c>
      <c r="S2157" s="2">
        <v>43832</v>
      </c>
      <c r="T2157" s="2">
        <v>43847</v>
      </c>
    </row>
    <row r="2158" spans="1:22" x14ac:dyDescent="0.2">
      <c r="A2158" t="str">
        <f t="shared" si="85"/>
        <v>378.1 PHY</v>
      </c>
      <c r="B2158" t="str">
        <f>"Cracking the SAT physics subject test: 1"</f>
        <v>Cracking the SAT physics subject test: 1</v>
      </c>
      <c r="C2158">
        <v>299109</v>
      </c>
      <c r="D2158" t="str">
        <f>"Leduc, Steven A."</f>
        <v>Leduc, Steven A.</v>
      </c>
      <c r="F2158" t="str">
        <f>"500 p."</f>
        <v>500 p.</v>
      </c>
      <c r="G2158" s="1">
        <v>17</v>
      </c>
      <c r="H2158">
        <v>2017</v>
      </c>
      <c r="I2158" t="str">
        <f t="shared" si="83"/>
        <v>9: 300 - 399</v>
      </c>
      <c r="K2158" t="str">
        <f>"WB - In"</f>
        <v>WB - In</v>
      </c>
      <c r="L2158" s="1">
        <v>25</v>
      </c>
      <c r="M2158" t="s">
        <v>2007</v>
      </c>
      <c r="O2158" t="s">
        <v>28</v>
      </c>
      <c r="P2158">
        <v>7</v>
      </c>
      <c r="Q2158">
        <v>1</v>
      </c>
      <c r="R2158">
        <v>8</v>
      </c>
      <c r="S2158" s="2">
        <v>43090</v>
      </c>
      <c r="T2158" s="2">
        <v>43091</v>
      </c>
      <c r="U2158" s="2">
        <v>43753</v>
      </c>
      <c r="V2158" s="2">
        <v>43477</v>
      </c>
    </row>
    <row r="2159" spans="1:22" x14ac:dyDescent="0.2">
      <c r="A2159" t="str">
        <f t="shared" si="85"/>
        <v>378.1 PHY</v>
      </c>
      <c r="B2159" t="str">
        <f>"Cracking the SAT physics subject test: 1"</f>
        <v>Cracking the SAT physics subject test: 1</v>
      </c>
      <c r="C2159">
        <v>347881</v>
      </c>
      <c r="D2159" t="str">
        <f>"Leduc, Steven A."</f>
        <v>Leduc, Steven A.</v>
      </c>
      <c r="F2159" t="str">
        <f>"500 p."</f>
        <v>500 p.</v>
      </c>
      <c r="G2159" s="1">
        <v>18</v>
      </c>
      <c r="H2159">
        <v>2017</v>
      </c>
      <c r="I2159" t="str">
        <f t="shared" si="83"/>
        <v>9: 300 - 399</v>
      </c>
      <c r="K2159" t="str">
        <f>"LL - In"</f>
        <v>LL - In</v>
      </c>
      <c r="L2159" s="1">
        <v>25</v>
      </c>
      <c r="M2159" t="s">
        <v>2007</v>
      </c>
      <c r="O2159" t="s">
        <v>28</v>
      </c>
      <c r="P2159">
        <v>12</v>
      </c>
      <c r="Q2159">
        <v>0</v>
      </c>
      <c r="R2159">
        <v>12</v>
      </c>
      <c r="S2159" s="2">
        <v>43249</v>
      </c>
      <c r="T2159" s="2">
        <v>43255</v>
      </c>
      <c r="U2159" s="2">
        <v>43804</v>
      </c>
    </row>
    <row r="2160" spans="1:22" x14ac:dyDescent="0.2">
      <c r="A2160" t="str">
        <f t="shared" si="85"/>
        <v>378.1 PHY</v>
      </c>
      <c r="B2160" t="str">
        <f>"Cracking the AP Physics 1 exam 2019"</f>
        <v>Cracking the AP Physics 1 exam 2019</v>
      </c>
      <c r="C2160">
        <v>349130</v>
      </c>
      <c r="D2160" t="str">
        <f>"Princeton Review (Firm)"</f>
        <v>Princeton Review (Firm)</v>
      </c>
      <c r="F2160" t="str">
        <f>"397 p."</f>
        <v>397 p.</v>
      </c>
      <c r="G2160" s="1">
        <v>18</v>
      </c>
      <c r="H2160">
        <v>2018</v>
      </c>
      <c r="I2160" t="str">
        <f t="shared" si="83"/>
        <v>9: 300 - 399</v>
      </c>
      <c r="K2160" t="str">
        <f>"WB - In"</f>
        <v>WB - In</v>
      </c>
      <c r="L2160" s="1">
        <v>25</v>
      </c>
      <c r="M2160" t="s">
        <v>2008</v>
      </c>
      <c r="O2160" t="s">
        <v>28</v>
      </c>
      <c r="P2160">
        <v>6</v>
      </c>
      <c r="Q2160">
        <v>1</v>
      </c>
      <c r="R2160">
        <v>7</v>
      </c>
      <c r="S2160" s="2">
        <v>43319</v>
      </c>
      <c r="T2160" s="2">
        <v>43329</v>
      </c>
      <c r="U2160" s="2">
        <v>43603</v>
      </c>
      <c r="V2160" s="2">
        <v>43444</v>
      </c>
    </row>
    <row r="2161" spans="1:22" x14ac:dyDescent="0.2">
      <c r="A2161" t="str">
        <f>"378.1 PIE"</f>
        <v>378.1 PIE</v>
      </c>
      <c r="B2161" t="str">
        <f>"Countdown to college: 21 'to-do' lists f"</f>
        <v>Countdown to college: 21 'to-do' lists f</v>
      </c>
      <c r="C2161">
        <v>331068</v>
      </c>
      <c r="D2161" t="str">
        <f>"Pierce, Valerie"</f>
        <v>Pierce, Valerie</v>
      </c>
      <c r="F2161" t="str">
        <f>"viii, 167 pages, 23 cm, illustrations"</f>
        <v>viii, 167 pages, 23 cm, illustrations</v>
      </c>
      <c r="G2161" s="1">
        <v>15</v>
      </c>
      <c r="H2161">
        <v>2014</v>
      </c>
      <c r="I2161" t="str">
        <f t="shared" si="83"/>
        <v>9: 300 - 399</v>
      </c>
      <c r="K2161" t="str">
        <f>"WB - In"</f>
        <v>WB - In</v>
      </c>
      <c r="L2161" s="1">
        <v>18</v>
      </c>
      <c r="M2161" t="s">
        <v>2009</v>
      </c>
      <c r="O2161" t="s">
        <v>28</v>
      </c>
      <c r="P2161">
        <v>14</v>
      </c>
      <c r="Q2161">
        <v>1</v>
      </c>
      <c r="R2161">
        <v>22</v>
      </c>
      <c r="S2161" s="2">
        <v>42313</v>
      </c>
      <c r="T2161" s="2">
        <v>42318</v>
      </c>
      <c r="U2161" s="2">
        <v>43687</v>
      </c>
      <c r="V2161" s="2">
        <v>43166</v>
      </c>
    </row>
    <row r="2162" spans="1:22" x14ac:dyDescent="0.2">
      <c r="A2162" t="str">
        <f t="shared" ref="A2162:A2167" si="86">"378.1 PSA"</f>
        <v>378.1 PSA</v>
      </c>
      <c r="B2162" t="str">
        <f>"PSAT exam secrets: study guide : your ke"</f>
        <v>PSAT exam secrets: study guide : your ke</v>
      </c>
      <c r="C2162">
        <v>328680</v>
      </c>
      <c r="F2162" t="str">
        <f>"100 pages, 28 cm, illustrations"</f>
        <v>100 pages, 28 cm, illustrations</v>
      </c>
      <c r="G2162" s="1">
        <v>15</v>
      </c>
      <c r="H2162">
        <v>2012</v>
      </c>
      <c r="I2162" t="str">
        <f t="shared" si="83"/>
        <v>9: 300 - 399</v>
      </c>
      <c r="K2162" t="str">
        <f>"LL - In"</f>
        <v>LL - In</v>
      </c>
      <c r="L2162" s="1">
        <v>68</v>
      </c>
      <c r="M2162" t="s">
        <v>2010</v>
      </c>
      <c r="O2162" t="s">
        <v>28</v>
      </c>
      <c r="P2162">
        <v>14</v>
      </c>
      <c r="Q2162">
        <v>1</v>
      </c>
      <c r="R2162">
        <v>23</v>
      </c>
      <c r="S2162" s="2">
        <v>42198</v>
      </c>
      <c r="T2162" s="2">
        <v>42205</v>
      </c>
      <c r="U2162" s="2">
        <v>43717</v>
      </c>
      <c r="V2162" s="2">
        <v>43291</v>
      </c>
    </row>
    <row r="2163" spans="1:22" x14ac:dyDescent="0.2">
      <c r="A2163" t="str">
        <f t="shared" si="86"/>
        <v>378.1 PSA</v>
      </c>
      <c r="B2163" t="str">
        <f>"PSAT exam secrets: study guide : your ke"</f>
        <v>PSAT exam secrets: study guide : your ke</v>
      </c>
      <c r="C2163">
        <v>282491</v>
      </c>
      <c r="F2163" t="str">
        <f>"100 pages, 28 cm, illustrations"</f>
        <v>100 pages, 28 cm, illustrations</v>
      </c>
      <c r="G2163" s="1">
        <v>15</v>
      </c>
      <c r="H2163">
        <v>2012</v>
      </c>
      <c r="I2163" t="str">
        <f t="shared" si="83"/>
        <v>9: 300 - 399</v>
      </c>
      <c r="K2163" t="str">
        <f>"WB - In"</f>
        <v>WB - In</v>
      </c>
      <c r="L2163" s="1">
        <v>68</v>
      </c>
      <c r="M2163" t="s">
        <v>2010</v>
      </c>
      <c r="O2163" t="s">
        <v>28</v>
      </c>
      <c r="P2163">
        <v>10</v>
      </c>
      <c r="Q2163">
        <v>0</v>
      </c>
      <c r="R2163">
        <v>18</v>
      </c>
      <c r="S2163" s="2">
        <v>42237</v>
      </c>
      <c r="T2163" s="2">
        <v>42290</v>
      </c>
      <c r="U2163" s="2">
        <v>43605</v>
      </c>
    </row>
    <row r="2164" spans="1:22" x14ac:dyDescent="0.2">
      <c r="A2164" t="str">
        <f t="shared" si="86"/>
        <v>378.1 PSA</v>
      </c>
      <c r="B2164" t="str">
        <f>"PSAT/NMSQT prep 2020"</f>
        <v>PSAT/NMSQT prep 2020</v>
      </c>
      <c r="C2164">
        <v>358715</v>
      </c>
      <c r="F2164" t="str">
        <f>"ix, 546 pages, 28 cm, illustrations"</f>
        <v>ix, 546 pages, 28 cm, illustrations</v>
      </c>
      <c r="G2164" s="1">
        <v>19</v>
      </c>
      <c r="H2164">
        <v>2019</v>
      </c>
      <c r="I2164" t="str">
        <f t="shared" si="83"/>
        <v>9: 300 - 399</v>
      </c>
      <c r="K2164" t="str">
        <f>"WB - In"</f>
        <v>WB - In</v>
      </c>
      <c r="L2164" s="1">
        <v>21</v>
      </c>
      <c r="M2164" t="s">
        <v>2011</v>
      </c>
      <c r="O2164" t="s">
        <v>28</v>
      </c>
      <c r="P2164">
        <v>0</v>
      </c>
      <c r="Q2164">
        <v>0</v>
      </c>
      <c r="R2164">
        <v>0</v>
      </c>
      <c r="S2164" s="2">
        <v>43762</v>
      </c>
      <c r="T2164" s="2">
        <v>43769</v>
      </c>
    </row>
    <row r="2165" spans="1:22" x14ac:dyDescent="0.2">
      <c r="A2165" t="str">
        <f t="shared" si="86"/>
        <v>378.1 PSA</v>
      </c>
      <c r="B2165" t="str">
        <f>"PSAT/NMSQT prep 2020"</f>
        <v>PSAT/NMSQT prep 2020</v>
      </c>
      <c r="C2165">
        <v>358716</v>
      </c>
      <c r="F2165" t="str">
        <f>"ix, 546 pages, 28 cm, illustrations"</f>
        <v>ix, 546 pages, 28 cm, illustrations</v>
      </c>
      <c r="G2165" s="1">
        <v>19</v>
      </c>
      <c r="H2165">
        <v>2019</v>
      </c>
      <c r="I2165" t="str">
        <f t="shared" si="83"/>
        <v>9: 300 - 399</v>
      </c>
      <c r="K2165" t="str">
        <f>"LL - Out"</f>
        <v>LL - Out</v>
      </c>
      <c r="L2165" s="1">
        <v>21</v>
      </c>
      <c r="M2165" t="s">
        <v>2011</v>
      </c>
      <c r="O2165" t="s">
        <v>28</v>
      </c>
      <c r="P2165">
        <v>2</v>
      </c>
      <c r="Q2165">
        <v>0</v>
      </c>
      <c r="R2165">
        <v>2</v>
      </c>
      <c r="S2165" s="2">
        <v>43762</v>
      </c>
      <c r="T2165" s="2">
        <v>43769</v>
      </c>
      <c r="U2165" s="2">
        <v>43816</v>
      </c>
    </row>
    <row r="2166" spans="1:22" x14ac:dyDescent="0.2">
      <c r="A2166" t="str">
        <f t="shared" si="86"/>
        <v>378.1 PSA</v>
      </c>
      <c r="B2166" t="str">
        <f>"PSAT study guide 2015: PSAT test prep an"</f>
        <v>PSAT study guide 2015: PSAT test prep an</v>
      </c>
      <c r="C2166">
        <v>329700</v>
      </c>
      <c r="D2166" t="str">
        <f>"Bradley, Regina A."</f>
        <v>Bradley, Regina A.</v>
      </c>
      <c r="F2166" t="str">
        <f>"176 pages, 28 cm, illustrations"</f>
        <v>176 pages, 28 cm, illustrations</v>
      </c>
      <c r="G2166" s="1">
        <v>15</v>
      </c>
      <c r="H2166">
        <v>2014</v>
      </c>
      <c r="I2166" t="str">
        <f t="shared" si="83"/>
        <v>9: 300 - 399</v>
      </c>
      <c r="K2166" t="str">
        <f>"LL - In"</f>
        <v>LL - In</v>
      </c>
      <c r="L2166" s="1">
        <v>18</v>
      </c>
      <c r="M2166" t="s">
        <v>2012</v>
      </c>
      <c r="O2166" t="s">
        <v>28</v>
      </c>
      <c r="P2166">
        <v>14</v>
      </c>
      <c r="Q2166">
        <v>0</v>
      </c>
      <c r="R2166">
        <v>23</v>
      </c>
      <c r="S2166" s="2">
        <v>42248</v>
      </c>
      <c r="T2166" s="2">
        <v>42251</v>
      </c>
      <c r="U2166" s="2">
        <v>43724</v>
      </c>
    </row>
    <row r="2167" spans="1:22" x14ac:dyDescent="0.2">
      <c r="A2167" t="str">
        <f t="shared" si="86"/>
        <v>378.1 PSA</v>
      </c>
      <c r="B2167" t="str">
        <f>"Master the PSAT/NMSQT"</f>
        <v>Master the PSAT/NMSQT</v>
      </c>
      <c r="C2167">
        <v>203558</v>
      </c>
      <c r="D2167" t="str">
        <f>"Demmer, Byron"</f>
        <v>Demmer, Byron</v>
      </c>
      <c r="F2167" t="str">
        <f>"365 p."</f>
        <v>365 p.</v>
      </c>
      <c r="G2167" s="1">
        <v>7</v>
      </c>
      <c r="H2167">
        <v>2007</v>
      </c>
      <c r="I2167" t="str">
        <f t="shared" si="83"/>
        <v>9: 300 - 399</v>
      </c>
      <c r="K2167" t="str">
        <f>"LL - In"</f>
        <v>LL - In</v>
      </c>
      <c r="L2167" s="1">
        <v>20</v>
      </c>
      <c r="M2167" t="s">
        <v>2013</v>
      </c>
      <c r="O2167" t="s">
        <v>28</v>
      </c>
      <c r="P2167">
        <v>18</v>
      </c>
      <c r="Q2167">
        <v>1</v>
      </c>
      <c r="R2167">
        <v>64</v>
      </c>
      <c r="S2167" s="2">
        <v>39266</v>
      </c>
      <c r="T2167" s="2">
        <v>41053</v>
      </c>
      <c r="U2167" s="2">
        <v>43717</v>
      </c>
      <c r="V2167" s="2">
        <v>43291</v>
      </c>
    </row>
    <row r="2168" spans="1:22" x14ac:dyDescent="0.2">
      <c r="A2168" t="str">
        <f>"378.1 PSY"</f>
        <v>378.1 PSY</v>
      </c>
      <c r="B2168" t="str">
        <f>"AP psychology prep plus, 2019-2020"</f>
        <v>AP psychology prep plus, 2019-2020</v>
      </c>
      <c r="C2168">
        <v>357552</v>
      </c>
      <c r="F2168" t="str">
        <f>"509 pages, 27 cm, illustrations"</f>
        <v>509 pages, 27 cm, illustrations</v>
      </c>
      <c r="G2168" s="1">
        <v>19</v>
      </c>
      <c r="H2168">
        <v>2018</v>
      </c>
      <c r="I2168" t="str">
        <f t="shared" si="83"/>
        <v>9: 300 - 399</v>
      </c>
      <c r="K2168" t="str">
        <f>"WB - In"</f>
        <v>WB - In</v>
      </c>
      <c r="L2168" s="1">
        <v>25</v>
      </c>
      <c r="M2168" t="s">
        <v>2014</v>
      </c>
      <c r="O2168" t="s">
        <v>28</v>
      </c>
      <c r="P2168">
        <v>0</v>
      </c>
      <c r="Q2168">
        <v>0</v>
      </c>
      <c r="R2168">
        <v>0</v>
      </c>
      <c r="S2168" s="2">
        <v>43719</v>
      </c>
      <c r="T2168" s="2">
        <v>43741</v>
      </c>
    </row>
    <row r="2169" spans="1:22" x14ac:dyDescent="0.2">
      <c r="A2169" t="str">
        <f>"378.1 PSY"</f>
        <v>378.1 PSY</v>
      </c>
      <c r="B2169" t="str">
        <f>"Cracking the AP psychology exam"</f>
        <v>Cracking the AP psychology exam</v>
      </c>
      <c r="C2169">
        <v>357555</v>
      </c>
      <c r="F2169" t="str">
        <f>"368 pages, 28 cm, illustrations"</f>
        <v>368 pages, 28 cm, illustrations</v>
      </c>
      <c r="G2169" s="1">
        <v>19</v>
      </c>
      <c r="H2169">
        <v>2018</v>
      </c>
      <c r="I2169" t="str">
        <f t="shared" si="83"/>
        <v>9: 300 - 399</v>
      </c>
      <c r="K2169" t="str">
        <f>"WB - In"</f>
        <v>WB - In</v>
      </c>
      <c r="L2169" s="1">
        <v>24</v>
      </c>
      <c r="M2169" t="s">
        <v>2015</v>
      </c>
      <c r="O2169" t="s">
        <v>28</v>
      </c>
      <c r="P2169">
        <v>0</v>
      </c>
      <c r="Q2169">
        <v>0</v>
      </c>
      <c r="R2169">
        <v>0</v>
      </c>
      <c r="S2169" s="2">
        <v>43719</v>
      </c>
      <c r="T2169" s="2">
        <v>43741</v>
      </c>
    </row>
    <row r="2170" spans="1:22" x14ac:dyDescent="0.2">
      <c r="A2170" t="str">
        <f>"378.1 PSY"</f>
        <v>378.1 PSY</v>
      </c>
      <c r="B2170" t="str">
        <f>"Cracking the AP psychology exam"</f>
        <v>Cracking the AP psychology exam</v>
      </c>
      <c r="C2170">
        <v>359920</v>
      </c>
      <c r="F2170" t="str">
        <f>"368 pages, 28 cm, illustrations"</f>
        <v>368 pages, 28 cm, illustrations</v>
      </c>
      <c r="G2170" s="1">
        <v>19</v>
      </c>
      <c r="H2170">
        <v>2019</v>
      </c>
      <c r="I2170" t="str">
        <f t="shared" si="83"/>
        <v>9: 300 - 399</v>
      </c>
      <c r="K2170" t="str">
        <f>"LL - In"</f>
        <v>LL - In</v>
      </c>
      <c r="L2170" s="1">
        <v>24</v>
      </c>
      <c r="M2170" t="s">
        <v>2016</v>
      </c>
      <c r="O2170" t="s">
        <v>28</v>
      </c>
      <c r="P2170">
        <v>0</v>
      </c>
      <c r="Q2170">
        <v>0</v>
      </c>
      <c r="R2170">
        <v>0</v>
      </c>
      <c r="S2170" s="2">
        <v>43832</v>
      </c>
      <c r="T2170" s="2">
        <v>43847</v>
      </c>
    </row>
    <row r="2171" spans="1:22" x14ac:dyDescent="0.2">
      <c r="A2171" t="str">
        <f t="shared" ref="A2171:A2185" si="87">"378.1 SAT"</f>
        <v>378.1 SAT</v>
      </c>
      <c r="B2171" t="str">
        <f>"Cracking the SAT premium 2020 edition"</f>
        <v>Cracking the SAT premium 2020 edition</v>
      </c>
      <c r="C2171">
        <v>358166</v>
      </c>
      <c r="F2171" t="str">
        <f>"viii, 828 pages, 28 cm, illustrations"</f>
        <v>viii, 828 pages, 28 cm, illustrations</v>
      </c>
      <c r="G2171" s="1">
        <v>19</v>
      </c>
      <c r="H2171">
        <v>2019</v>
      </c>
      <c r="I2171" t="str">
        <f t="shared" si="83"/>
        <v>9: 300 - 399</v>
      </c>
      <c r="K2171" t="str">
        <f>"WB - In"</f>
        <v>WB - In</v>
      </c>
      <c r="L2171" s="1">
        <v>41</v>
      </c>
      <c r="M2171" t="s">
        <v>2017</v>
      </c>
      <c r="O2171" t="s">
        <v>28</v>
      </c>
      <c r="P2171">
        <v>0</v>
      </c>
      <c r="Q2171">
        <v>0</v>
      </c>
      <c r="R2171">
        <v>0</v>
      </c>
      <c r="S2171" s="2">
        <v>43740</v>
      </c>
      <c r="T2171" s="2">
        <v>43752</v>
      </c>
    </row>
    <row r="2172" spans="1:22" x14ac:dyDescent="0.2">
      <c r="A2172" t="str">
        <f t="shared" si="87"/>
        <v>378.1 SAT</v>
      </c>
      <c r="B2172" t="str">
        <f>"SAT prep 2019"</f>
        <v>SAT prep 2019</v>
      </c>
      <c r="C2172">
        <v>347998</v>
      </c>
      <c r="F2172" t="str">
        <f>"676 p."</f>
        <v>676 p.</v>
      </c>
      <c r="G2172" s="1">
        <v>18</v>
      </c>
      <c r="H2172">
        <v>2018</v>
      </c>
      <c r="I2172" t="str">
        <f t="shared" si="83"/>
        <v>9: 300 - 399</v>
      </c>
      <c r="K2172" t="str">
        <f>"LL - In"</f>
        <v>LL - In</v>
      </c>
      <c r="L2172" s="1">
        <v>25</v>
      </c>
      <c r="M2172" t="s">
        <v>2018</v>
      </c>
      <c r="O2172" t="s">
        <v>28</v>
      </c>
      <c r="P2172">
        <v>10</v>
      </c>
      <c r="Q2172">
        <v>1</v>
      </c>
      <c r="R2172">
        <v>11</v>
      </c>
      <c r="S2172" s="2">
        <v>43256</v>
      </c>
      <c r="T2172" s="2">
        <v>43257</v>
      </c>
      <c r="U2172" s="2">
        <v>43788</v>
      </c>
      <c r="V2172" s="2">
        <v>43382</v>
      </c>
    </row>
    <row r="2173" spans="1:22" x14ac:dyDescent="0.2">
      <c r="A2173" t="str">
        <f t="shared" si="87"/>
        <v>378.1 SAT</v>
      </c>
      <c r="B2173" t="str">
        <f>"SAT prep 2020"</f>
        <v>SAT prep 2020</v>
      </c>
      <c r="C2173">
        <v>355209</v>
      </c>
      <c r="F2173" t="str">
        <f>"597 p."</f>
        <v>597 p.</v>
      </c>
      <c r="G2173" s="1">
        <v>19</v>
      </c>
      <c r="H2173">
        <v>2019</v>
      </c>
      <c r="I2173" t="str">
        <f t="shared" si="83"/>
        <v>9: 300 - 399</v>
      </c>
      <c r="K2173" t="str">
        <f>"LL - In"</f>
        <v>LL - In</v>
      </c>
      <c r="L2173" s="1">
        <v>25</v>
      </c>
      <c r="M2173" t="s">
        <v>2019</v>
      </c>
      <c r="O2173" t="s">
        <v>28</v>
      </c>
      <c r="P2173">
        <v>4</v>
      </c>
      <c r="Q2173">
        <v>0</v>
      </c>
      <c r="R2173">
        <v>4</v>
      </c>
      <c r="S2173" s="2">
        <v>43621</v>
      </c>
      <c r="T2173" s="2">
        <v>43626</v>
      </c>
      <c r="U2173" s="2">
        <v>43725</v>
      </c>
    </row>
    <row r="2174" spans="1:22" x14ac:dyDescent="0.2">
      <c r="A2174" t="str">
        <f t="shared" si="87"/>
        <v>378.1 SAT</v>
      </c>
      <c r="B2174" t="str">
        <f>"SAT prep 2020"</f>
        <v>SAT prep 2020</v>
      </c>
      <c r="C2174">
        <v>355210</v>
      </c>
      <c r="F2174" t="str">
        <f>"597 p."</f>
        <v>597 p.</v>
      </c>
      <c r="G2174" s="1">
        <v>19</v>
      </c>
      <c r="H2174">
        <v>2019</v>
      </c>
      <c r="I2174" t="str">
        <f t="shared" si="83"/>
        <v>9: 300 - 399</v>
      </c>
      <c r="K2174" t="str">
        <f>"WB - In"</f>
        <v>WB - In</v>
      </c>
      <c r="L2174" s="1">
        <v>25</v>
      </c>
      <c r="M2174" t="s">
        <v>2019</v>
      </c>
      <c r="O2174" t="s">
        <v>28</v>
      </c>
      <c r="P2174">
        <v>4</v>
      </c>
      <c r="Q2174">
        <v>0</v>
      </c>
      <c r="R2174">
        <v>4</v>
      </c>
      <c r="S2174" s="2">
        <v>43621</v>
      </c>
      <c r="T2174" s="2">
        <v>43626</v>
      </c>
      <c r="U2174" s="2">
        <v>43726</v>
      </c>
    </row>
    <row r="2175" spans="1:22" x14ac:dyDescent="0.2">
      <c r="A2175" t="str">
        <f t="shared" si="87"/>
        <v>378.1 SAT</v>
      </c>
      <c r="B2175" t="str">
        <f>"Up your score SAT 2018-2019: the undergr"</f>
        <v>Up your score SAT 2018-2019: the undergr</v>
      </c>
      <c r="C2175">
        <v>347067</v>
      </c>
      <c r="D2175" t="str">
        <f>"Berger, Larry"</f>
        <v>Berger, Larry</v>
      </c>
      <c r="F2175" t="str">
        <f>"x, 357 pages, 24 cm, illustrations"</f>
        <v>x, 357 pages, 24 cm, illustrations</v>
      </c>
      <c r="G2175" s="1">
        <v>18</v>
      </c>
      <c r="H2175">
        <v>2017</v>
      </c>
      <c r="I2175" t="str">
        <f t="shared" si="83"/>
        <v>9: 300 - 399</v>
      </c>
      <c r="K2175" t="str">
        <f>"WB - In"</f>
        <v>WB - In</v>
      </c>
      <c r="L2175" s="1">
        <v>20</v>
      </c>
      <c r="M2175" t="s">
        <v>2020</v>
      </c>
      <c r="O2175" t="s">
        <v>28</v>
      </c>
      <c r="P2175">
        <v>7</v>
      </c>
      <c r="Q2175">
        <v>0</v>
      </c>
      <c r="R2175">
        <v>7</v>
      </c>
      <c r="S2175" s="2">
        <v>43192</v>
      </c>
      <c r="T2175" s="2">
        <v>43209</v>
      </c>
      <c r="U2175" s="2">
        <v>43818</v>
      </c>
    </row>
    <row r="2176" spans="1:22" x14ac:dyDescent="0.2">
      <c r="A2176" t="str">
        <f t="shared" si="87"/>
        <v>378.1 SAT</v>
      </c>
      <c r="B2176" t="str">
        <f>"Barron's SAT 1600: aiming for the perfec"</f>
        <v>Barron's SAT 1600: aiming for the perfec</v>
      </c>
      <c r="C2176">
        <v>333657</v>
      </c>
      <c r="D2176" t="str">
        <f>"Carnevale, Linda"</f>
        <v>Carnevale, Linda</v>
      </c>
      <c r="F2176" t="str">
        <f>"x, 453 pages, 28 cm, illustrations"</f>
        <v>x, 453 pages, 28 cm, illustrations</v>
      </c>
      <c r="G2176" s="1">
        <v>16</v>
      </c>
      <c r="H2176">
        <v>2016</v>
      </c>
      <c r="I2176" t="str">
        <f t="shared" si="83"/>
        <v>9: 300 - 399</v>
      </c>
      <c r="K2176" t="str">
        <f>"LL - In"</f>
        <v>LL - In</v>
      </c>
      <c r="L2176" s="1">
        <v>25</v>
      </c>
      <c r="M2176" t="s">
        <v>2021</v>
      </c>
      <c r="O2176" t="s">
        <v>28</v>
      </c>
      <c r="P2176">
        <v>18</v>
      </c>
      <c r="Q2176">
        <v>2</v>
      </c>
      <c r="R2176">
        <v>26</v>
      </c>
      <c r="S2176" s="2">
        <v>42437</v>
      </c>
      <c r="T2176" s="2">
        <v>42447</v>
      </c>
      <c r="U2176" s="2">
        <v>43682</v>
      </c>
      <c r="V2176" s="2">
        <v>43341</v>
      </c>
    </row>
    <row r="2177" spans="1:22" x14ac:dyDescent="0.2">
      <c r="A2177" t="str">
        <f t="shared" si="87"/>
        <v>378.1 SAT</v>
      </c>
      <c r="B2177" t="str">
        <f>"1600 perfect score: the 7 secrets of aci"</f>
        <v>1600 perfect score: the 7 secrets of aci</v>
      </c>
      <c r="C2177">
        <v>112005</v>
      </c>
      <c r="D2177" t="str">
        <f>"Fischgrund, Tom"</f>
        <v>Fischgrund, Tom</v>
      </c>
      <c r="F2177" t="str">
        <f>"254 p."</f>
        <v>254 p.</v>
      </c>
      <c r="G2177" s="1">
        <v>3</v>
      </c>
      <c r="H2177">
        <v>2003</v>
      </c>
      <c r="I2177" t="str">
        <f t="shared" si="83"/>
        <v>9: 300 - 399</v>
      </c>
      <c r="K2177" t="str">
        <f>"WB - In"</f>
        <v>WB - In</v>
      </c>
      <c r="L2177" s="1">
        <v>31</v>
      </c>
      <c r="O2177" t="s">
        <v>28</v>
      </c>
      <c r="P2177">
        <v>6</v>
      </c>
      <c r="Q2177">
        <v>1</v>
      </c>
      <c r="R2177">
        <v>100</v>
      </c>
      <c r="S2177" s="2">
        <v>37886</v>
      </c>
      <c r="T2177" s="2">
        <v>41053</v>
      </c>
      <c r="U2177" s="2">
        <v>43818</v>
      </c>
      <c r="V2177" s="2">
        <v>42949</v>
      </c>
    </row>
    <row r="2178" spans="1:22" x14ac:dyDescent="0.2">
      <c r="A2178" t="str">
        <f t="shared" si="87"/>
        <v>378.1 SAT</v>
      </c>
      <c r="B2178" t="str">
        <f>"new SAT handbook: a tutor-tested review "</f>
        <v xml:space="preserve">new SAT handbook: a tutor-tested review </v>
      </c>
      <c r="C2178">
        <v>286990</v>
      </c>
      <c r="D2178" t="str">
        <f>"Givens, Joy"</f>
        <v>Givens, Joy</v>
      </c>
      <c r="F2178" t="str">
        <f>"251 p."</f>
        <v>251 p.</v>
      </c>
      <c r="G2178" s="1">
        <v>16</v>
      </c>
      <c r="H2178">
        <v>2016</v>
      </c>
      <c r="I2178" t="str">
        <f t="shared" si="83"/>
        <v>9: 300 - 399</v>
      </c>
      <c r="K2178" t="str">
        <f>"WB - In"</f>
        <v>WB - In</v>
      </c>
      <c r="L2178" s="1">
        <v>18</v>
      </c>
      <c r="M2178" t="s">
        <v>2022</v>
      </c>
      <c r="O2178" t="s">
        <v>28</v>
      </c>
      <c r="P2178">
        <v>8</v>
      </c>
      <c r="Q2178">
        <v>0</v>
      </c>
      <c r="R2178">
        <v>14</v>
      </c>
      <c r="S2178" s="2">
        <v>42459</v>
      </c>
      <c r="T2178" s="2">
        <v>42485</v>
      </c>
      <c r="U2178" s="2">
        <v>43374</v>
      </c>
    </row>
    <row r="2179" spans="1:22" x14ac:dyDescent="0.2">
      <c r="A2179" t="str">
        <f t="shared" si="87"/>
        <v>378.1 SAT</v>
      </c>
      <c r="B2179" t="str">
        <f>"Barron's SAT"</f>
        <v>Barron's SAT</v>
      </c>
      <c r="C2179">
        <v>356318</v>
      </c>
      <c r="D2179" t="str">
        <f>"Green, Sharon Weiner"</f>
        <v>Green, Sharon Weiner</v>
      </c>
      <c r="F2179" t="str">
        <f>"1034 p."</f>
        <v>1034 p.</v>
      </c>
      <c r="G2179" s="1">
        <v>17</v>
      </c>
      <c r="H2179">
        <v>2019</v>
      </c>
      <c r="I2179" t="str">
        <f t="shared" si="83"/>
        <v>9: 300 - 399</v>
      </c>
      <c r="K2179" t="str">
        <f>"WB - In"</f>
        <v>WB - In</v>
      </c>
      <c r="L2179" s="1">
        <v>25</v>
      </c>
      <c r="M2179" t="s">
        <v>2023</v>
      </c>
      <c r="O2179" t="s">
        <v>28</v>
      </c>
      <c r="P2179">
        <v>0</v>
      </c>
      <c r="Q2179">
        <v>0</v>
      </c>
      <c r="R2179">
        <v>0</v>
      </c>
      <c r="S2179" s="2">
        <v>43724</v>
      </c>
      <c r="T2179" s="2">
        <v>43734</v>
      </c>
    </row>
    <row r="2180" spans="1:22" x14ac:dyDescent="0.2">
      <c r="A2180" t="str">
        <f t="shared" si="87"/>
        <v>378.1 SAT</v>
      </c>
      <c r="B2180" t="str">
        <f>"Barron's SAT"</f>
        <v>Barron's SAT</v>
      </c>
      <c r="C2180">
        <v>356319</v>
      </c>
      <c r="D2180" t="str">
        <f>"Green, Sharon Weiner"</f>
        <v>Green, Sharon Weiner</v>
      </c>
      <c r="F2180" t="str">
        <f>"1034 p."</f>
        <v>1034 p.</v>
      </c>
      <c r="G2180" s="1">
        <v>19</v>
      </c>
      <c r="H2180">
        <v>2019</v>
      </c>
      <c r="I2180" t="str">
        <f t="shared" si="83"/>
        <v>9: 300 - 399</v>
      </c>
      <c r="K2180" t="str">
        <f>"LL - In"</f>
        <v>LL - In</v>
      </c>
      <c r="L2180" s="1">
        <v>25</v>
      </c>
      <c r="M2180" t="s">
        <v>2023</v>
      </c>
      <c r="O2180" t="s">
        <v>28</v>
      </c>
      <c r="P2180">
        <v>0</v>
      </c>
      <c r="Q2180">
        <v>0</v>
      </c>
      <c r="R2180">
        <v>0</v>
      </c>
      <c r="S2180" s="2">
        <v>43724</v>
      </c>
      <c r="T2180" s="2">
        <v>43734</v>
      </c>
    </row>
    <row r="2181" spans="1:22" x14ac:dyDescent="0.2">
      <c r="A2181" t="str">
        <f t="shared" si="87"/>
        <v>378.1 SAT</v>
      </c>
      <c r="B2181" t="str">
        <f>"SAT guide: reading strategy"</f>
        <v>SAT guide: reading strategy</v>
      </c>
      <c r="C2181">
        <v>358917</v>
      </c>
      <c r="D2181" t="s">
        <v>2024</v>
      </c>
      <c r="G2181" s="1">
        <v>19</v>
      </c>
      <c r="H2181">
        <v>2019</v>
      </c>
      <c r="I2181" t="str">
        <f t="shared" si="83"/>
        <v>9: 300 - 399</v>
      </c>
      <c r="K2181" t="str">
        <f>"WB - In"</f>
        <v>WB - In</v>
      </c>
      <c r="L2181" s="1">
        <v>35</v>
      </c>
      <c r="M2181" t="s">
        <v>2025</v>
      </c>
      <c r="O2181" t="s">
        <v>28</v>
      </c>
      <c r="P2181">
        <v>0</v>
      </c>
      <c r="Q2181">
        <v>0</v>
      </c>
      <c r="R2181">
        <v>0</v>
      </c>
      <c r="S2181" s="2">
        <v>43767</v>
      </c>
      <c r="T2181" s="2">
        <v>43819</v>
      </c>
    </row>
    <row r="2182" spans="1:22" x14ac:dyDescent="0.2">
      <c r="A2182" t="str">
        <f t="shared" si="87"/>
        <v>378.1 SAT</v>
      </c>
      <c r="B2182" t="str">
        <f>"Cracking the SAT 2019 edition"</f>
        <v>Cracking the SAT 2019 edition</v>
      </c>
      <c r="C2182">
        <v>401510</v>
      </c>
      <c r="D2182" t="str">
        <f>"Robinson, Adam"</f>
        <v>Robinson, Adam</v>
      </c>
      <c r="E2182" t="str">
        <f>"Princeton Review series (0)"</f>
        <v>Princeton Review series (0)</v>
      </c>
      <c r="F2182" t="str">
        <f>"862 p."</f>
        <v>862 p.</v>
      </c>
      <c r="G2182" s="1">
        <v>18</v>
      </c>
      <c r="H2182">
        <v>2018</v>
      </c>
      <c r="I2182" t="str">
        <f t="shared" si="83"/>
        <v>9: 300 - 399</v>
      </c>
      <c r="K2182" t="str">
        <f>"WB - In"</f>
        <v>WB - In</v>
      </c>
      <c r="L2182" s="1">
        <v>28</v>
      </c>
      <c r="M2182" t="s">
        <v>2026</v>
      </c>
      <c r="O2182" t="s">
        <v>28</v>
      </c>
      <c r="P2182">
        <v>8</v>
      </c>
      <c r="Q2182">
        <v>0</v>
      </c>
      <c r="R2182">
        <v>8</v>
      </c>
      <c r="S2182" s="2">
        <v>43249</v>
      </c>
      <c r="T2182" s="2">
        <v>43251</v>
      </c>
      <c r="U2182" s="2">
        <v>43689</v>
      </c>
    </row>
    <row r="2183" spans="1:22" x14ac:dyDescent="0.2">
      <c r="A2183" t="str">
        <f t="shared" si="87"/>
        <v>378.1 SAT</v>
      </c>
      <c r="B2183" t="str">
        <f>"Cracking the SAT 2019 edition"</f>
        <v>Cracking the SAT 2019 edition</v>
      </c>
      <c r="C2183">
        <v>401511</v>
      </c>
      <c r="D2183" t="str">
        <f>"Robinson, Adam"</f>
        <v>Robinson, Adam</v>
      </c>
      <c r="E2183" t="str">
        <f>"Princeton Review series (0)"</f>
        <v>Princeton Review series (0)</v>
      </c>
      <c r="F2183" t="str">
        <f>"862 p."</f>
        <v>862 p.</v>
      </c>
      <c r="G2183" s="1">
        <v>18</v>
      </c>
      <c r="H2183">
        <v>2018</v>
      </c>
      <c r="I2183" t="str">
        <f t="shared" si="83"/>
        <v>9: 300 - 399</v>
      </c>
      <c r="K2183" t="str">
        <f>"LL - In"</f>
        <v>LL - In</v>
      </c>
      <c r="L2183" s="1">
        <v>28</v>
      </c>
      <c r="M2183" t="s">
        <v>2026</v>
      </c>
      <c r="O2183" t="s">
        <v>28</v>
      </c>
      <c r="P2183">
        <v>9</v>
      </c>
      <c r="Q2183">
        <v>0</v>
      </c>
      <c r="R2183">
        <v>9</v>
      </c>
      <c r="S2183" s="2">
        <v>43249</v>
      </c>
      <c r="T2183" s="2">
        <v>43251</v>
      </c>
      <c r="U2183" s="2">
        <v>43546</v>
      </c>
    </row>
    <row r="2184" spans="1:22" x14ac:dyDescent="0.2">
      <c r="A2184" t="str">
        <f t="shared" si="87"/>
        <v>378.1 SAT</v>
      </c>
      <c r="B2184" t="str">
        <f>"Cracking the SAT 2020 edition"</f>
        <v>Cracking the SAT 2020 edition</v>
      </c>
      <c r="C2184">
        <v>354575</v>
      </c>
      <c r="D2184" t="str">
        <f>"Robinson, Adam"</f>
        <v>Robinson, Adam</v>
      </c>
      <c r="E2184" t="str">
        <f>"Princeton Review series (0)"</f>
        <v>Princeton Review series (0)</v>
      </c>
      <c r="F2184" t="str">
        <f>"862 p."</f>
        <v>862 p.</v>
      </c>
      <c r="G2184" s="1">
        <v>19</v>
      </c>
      <c r="H2184">
        <v>2019</v>
      </c>
      <c r="I2184" t="str">
        <f t="shared" ref="I2184:I2247" si="88">"9: 300 - 399"</f>
        <v>9: 300 - 399</v>
      </c>
      <c r="K2184" t="str">
        <f>"LL - In"</f>
        <v>LL - In</v>
      </c>
      <c r="L2184" s="1">
        <v>28</v>
      </c>
      <c r="M2184" t="s">
        <v>2027</v>
      </c>
      <c r="O2184" t="s">
        <v>28</v>
      </c>
      <c r="P2184">
        <v>3</v>
      </c>
      <c r="Q2184">
        <v>1</v>
      </c>
      <c r="R2184">
        <v>4</v>
      </c>
      <c r="S2184" s="2">
        <v>43613</v>
      </c>
      <c r="T2184" s="2">
        <v>43619</v>
      </c>
      <c r="U2184" s="2">
        <v>43721</v>
      </c>
      <c r="V2184" s="2">
        <v>43646</v>
      </c>
    </row>
    <row r="2185" spans="1:22" x14ac:dyDescent="0.2">
      <c r="A2185" t="str">
        <f t="shared" si="87"/>
        <v>378.1 SAT</v>
      </c>
      <c r="B2185" t="str">
        <f>"Cracking the SAT 2020 edition"</f>
        <v>Cracking the SAT 2020 edition</v>
      </c>
      <c r="C2185">
        <v>354574</v>
      </c>
      <c r="D2185" t="str">
        <f>"Robinson, Adam"</f>
        <v>Robinson, Adam</v>
      </c>
      <c r="E2185" t="str">
        <f>"Princeton Review series (0)"</f>
        <v>Princeton Review series (0)</v>
      </c>
      <c r="F2185" t="str">
        <f>"862 p."</f>
        <v>862 p.</v>
      </c>
      <c r="G2185" s="1">
        <v>19</v>
      </c>
      <c r="H2185">
        <v>2019</v>
      </c>
      <c r="I2185" t="str">
        <f t="shared" si="88"/>
        <v>9: 300 - 399</v>
      </c>
      <c r="K2185" t="str">
        <f>"WB - In"</f>
        <v>WB - In</v>
      </c>
      <c r="L2185" s="1">
        <v>28</v>
      </c>
      <c r="M2185" t="s">
        <v>2027</v>
      </c>
      <c r="O2185" t="s">
        <v>28</v>
      </c>
      <c r="P2185">
        <v>5</v>
      </c>
      <c r="Q2185">
        <v>0</v>
      </c>
      <c r="R2185">
        <v>5</v>
      </c>
      <c r="S2185" s="2">
        <v>43615</v>
      </c>
      <c r="T2185" s="2">
        <v>43619</v>
      </c>
      <c r="U2185" s="2">
        <v>43755</v>
      </c>
    </row>
    <row r="2186" spans="1:22" x14ac:dyDescent="0.2">
      <c r="A2186" t="str">
        <f>"378.1 SCH"</f>
        <v>378.1 SCH</v>
      </c>
      <c r="B2186" t="str">
        <f>"How to succeed in college and beyond: th"</f>
        <v>How to succeed in college and beyond: th</v>
      </c>
      <c r="C2186">
        <v>333522</v>
      </c>
      <c r="D2186" t="str">
        <f>"Schwarz, Daniel R."</f>
        <v>Schwarz, Daniel R.</v>
      </c>
      <c r="F2186" t="str">
        <f>"196 p."</f>
        <v>196 p.</v>
      </c>
      <c r="G2186" s="1">
        <v>16</v>
      </c>
      <c r="H2186">
        <v>2016</v>
      </c>
      <c r="I2186" t="str">
        <f t="shared" si="88"/>
        <v>9: 300 - 399</v>
      </c>
      <c r="K2186" t="str">
        <f>"LL - In"</f>
        <v>LL - In</v>
      </c>
      <c r="L2186" s="1">
        <v>25</v>
      </c>
      <c r="M2186" t="s">
        <v>2028</v>
      </c>
      <c r="O2186" t="s">
        <v>28</v>
      </c>
      <c r="P2186">
        <v>4</v>
      </c>
      <c r="Q2186">
        <v>1</v>
      </c>
      <c r="R2186">
        <v>7</v>
      </c>
      <c r="S2186" s="2">
        <v>42426</v>
      </c>
      <c r="T2186" s="2">
        <v>42510</v>
      </c>
      <c r="U2186" s="2">
        <v>43457</v>
      </c>
      <c r="V2186" s="2">
        <v>43166</v>
      </c>
    </row>
    <row r="2187" spans="1:22" x14ac:dyDescent="0.2">
      <c r="A2187" t="str">
        <f>"378.1 SCH"</f>
        <v>378.1 SCH</v>
      </c>
      <c r="B2187" t="str">
        <f>"How to succeed in college and beyond: th"</f>
        <v>How to succeed in college and beyond: th</v>
      </c>
      <c r="C2187">
        <v>333523</v>
      </c>
      <c r="D2187" t="str">
        <f>"Schwarz, Daniel R."</f>
        <v>Schwarz, Daniel R.</v>
      </c>
      <c r="F2187" t="str">
        <f>"196 p."</f>
        <v>196 p.</v>
      </c>
      <c r="G2187" s="1">
        <v>16</v>
      </c>
      <c r="H2187">
        <v>2016</v>
      </c>
      <c r="I2187" t="str">
        <f t="shared" si="88"/>
        <v>9: 300 - 399</v>
      </c>
      <c r="K2187" t="str">
        <f>"WB - In"</f>
        <v>WB - In</v>
      </c>
      <c r="L2187" s="1">
        <v>25</v>
      </c>
      <c r="M2187" t="s">
        <v>2028</v>
      </c>
      <c r="O2187" t="s">
        <v>28</v>
      </c>
      <c r="P2187">
        <v>2</v>
      </c>
      <c r="Q2187">
        <v>0</v>
      </c>
      <c r="R2187">
        <v>3</v>
      </c>
      <c r="S2187" s="2">
        <v>42426</v>
      </c>
      <c r="T2187" s="2">
        <v>42510</v>
      </c>
      <c r="U2187" s="2">
        <v>43237</v>
      </c>
    </row>
    <row r="2188" spans="1:22" x14ac:dyDescent="0.2">
      <c r="A2188" t="str">
        <f>"378.1 SOA"</f>
        <v>378.1 SOA</v>
      </c>
      <c r="B2188" t="str">
        <f>"Panic attack: young radicals in the age "</f>
        <v xml:space="preserve">Panic attack: young radicals in the age </v>
      </c>
      <c r="C2188">
        <v>356406</v>
      </c>
      <c r="D2188" t="str">
        <f>"Soave, Robby"</f>
        <v>Soave, Robby</v>
      </c>
      <c r="F2188" t="str">
        <f>"324 pages, 22 cm"</f>
        <v>324 pages, 22 cm</v>
      </c>
      <c r="G2188" s="1">
        <v>19</v>
      </c>
      <c r="H2188">
        <v>2019</v>
      </c>
      <c r="I2188" t="str">
        <f t="shared" si="88"/>
        <v>9: 300 - 399</v>
      </c>
      <c r="K2188" t="str">
        <f>"LL - In"</f>
        <v>LL - In</v>
      </c>
      <c r="L2188" s="1">
        <v>33</v>
      </c>
      <c r="M2188" t="s">
        <v>2029</v>
      </c>
      <c r="O2188" t="s">
        <v>28</v>
      </c>
      <c r="P2188">
        <v>3</v>
      </c>
      <c r="Q2188">
        <v>1</v>
      </c>
      <c r="R2188">
        <v>4</v>
      </c>
      <c r="S2188" s="2">
        <v>43671</v>
      </c>
      <c r="T2188" s="2">
        <v>43810</v>
      </c>
      <c r="U2188" s="2">
        <v>43779</v>
      </c>
      <c r="V2188" s="2">
        <v>43751</v>
      </c>
    </row>
    <row r="2189" spans="1:22" x14ac:dyDescent="0.2">
      <c r="A2189" t="str">
        <f>"378.1 SPA"</f>
        <v>378.1 SPA</v>
      </c>
      <c r="B2189" t="str">
        <f>"Cracking the SAT Spanish subject test"</f>
        <v>Cracking the SAT Spanish subject test</v>
      </c>
      <c r="C2189">
        <v>299108</v>
      </c>
      <c r="D2189" t="str">
        <f>"Pace, George Roberto"</f>
        <v>Pace, George Roberto</v>
      </c>
      <c r="F2189" t="str">
        <f>"287 p."</f>
        <v>287 p.</v>
      </c>
      <c r="G2189" s="1">
        <v>17</v>
      </c>
      <c r="H2189">
        <v>2017</v>
      </c>
      <c r="I2189" t="str">
        <f t="shared" si="88"/>
        <v>9: 300 - 399</v>
      </c>
      <c r="K2189" t="str">
        <f>"WB - In"</f>
        <v>WB - In</v>
      </c>
      <c r="L2189" s="1">
        <v>25</v>
      </c>
      <c r="M2189" t="s">
        <v>2030</v>
      </c>
      <c r="O2189" t="s">
        <v>28</v>
      </c>
      <c r="P2189">
        <v>0</v>
      </c>
      <c r="Q2189">
        <v>0</v>
      </c>
      <c r="R2189">
        <v>0</v>
      </c>
      <c r="S2189" s="2">
        <v>43090</v>
      </c>
      <c r="T2189" s="2">
        <v>43091</v>
      </c>
    </row>
    <row r="2190" spans="1:22" x14ac:dyDescent="0.2">
      <c r="A2190" t="str">
        <f>"378.1 SPA"</f>
        <v>378.1 SPA</v>
      </c>
      <c r="B2190" t="str">
        <f>"Cracking the SAT Spanish subject test"</f>
        <v>Cracking the SAT Spanish subject test</v>
      </c>
      <c r="C2190">
        <v>348355</v>
      </c>
      <c r="D2190" t="str">
        <f>"Pace, George Roberto"</f>
        <v>Pace, George Roberto</v>
      </c>
      <c r="F2190" t="str">
        <f>"287 p."</f>
        <v>287 p.</v>
      </c>
      <c r="G2190" s="1">
        <v>18</v>
      </c>
      <c r="H2190">
        <v>2017</v>
      </c>
      <c r="I2190" t="str">
        <f t="shared" si="88"/>
        <v>9: 300 - 399</v>
      </c>
      <c r="K2190" t="str">
        <f>"LL - In"</f>
        <v>LL - In</v>
      </c>
      <c r="L2190" s="1">
        <v>25</v>
      </c>
      <c r="M2190" t="s">
        <v>2030</v>
      </c>
      <c r="O2190" t="s">
        <v>28</v>
      </c>
      <c r="P2190">
        <v>0</v>
      </c>
      <c r="Q2190">
        <v>0</v>
      </c>
      <c r="R2190">
        <v>0</v>
      </c>
      <c r="S2190" s="2">
        <v>43276</v>
      </c>
      <c r="T2190" s="2">
        <v>43314</v>
      </c>
    </row>
    <row r="2191" spans="1:22" x14ac:dyDescent="0.2">
      <c r="A2191" t="str">
        <f>"378.1 SPA"</f>
        <v>378.1 SPA</v>
      </c>
      <c r="B2191" t="str">
        <f>"SAT Spanish subject test"</f>
        <v>SAT Spanish subject test</v>
      </c>
      <c r="C2191">
        <v>359782</v>
      </c>
      <c r="D2191" t="str">
        <f>"Pace, George Roberto"</f>
        <v>Pace, George Roberto</v>
      </c>
      <c r="F2191" t="str">
        <f>"334 p."</f>
        <v>334 p.</v>
      </c>
      <c r="G2191" s="1">
        <v>18</v>
      </c>
      <c r="H2191">
        <v>2019</v>
      </c>
      <c r="I2191" t="str">
        <f t="shared" si="88"/>
        <v>9: 300 - 399</v>
      </c>
      <c r="K2191" t="str">
        <f>"WB - In"</f>
        <v>WB - In</v>
      </c>
      <c r="L2191" s="1">
        <v>25</v>
      </c>
      <c r="M2191" t="s">
        <v>2031</v>
      </c>
      <c r="O2191" t="s">
        <v>28</v>
      </c>
      <c r="P2191">
        <v>0</v>
      </c>
      <c r="Q2191">
        <v>0</v>
      </c>
      <c r="R2191">
        <v>0</v>
      </c>
      <c r="S2191" s="2">
        <v>43830</v>
      </c>
      <c r="T2191" s="2">
        <v>43847</v>
      </c>
    </row>
    <row r="2192" spans="1:22" x14ac:dyDescent="0.2">
      <c r="A2192" t="str">
        <f>"378.1 SPA"</f>
        <v>378.1 SPA</v>
      </c>
      <c r="B2192" t="str">
        <f>"Barron's AP Spanish language and culture"</f>
        <v>Barron's AP Spanish language and culture</v>
      </c>
      <c r="C2192">
        <v>293382</v>
      </c>
      <c r="D2192" t="str">
        <f>"Springer, Alice G."</f>
        <v>Springer, Alice G.</v>
      </c>
      <c r="F2192" t="str">
        <f>"490 p. [1 CD]"</f>
        <v>490 p. [1 CD]</v>
      </c>
      <c r="G2192" s="1">
        <v>17</v>
      </c>
      <c r="H2192">
        <v>2017</v>
      </c>
      <c r="I2192" t="str">
        <f t="shared" si="88"/>
        <v>9: 300 - 399</v>
      </c>
      <c r="K2192" t="str">
        <f>"WB - In"</f>
        <v>WB - In</v>
      </c>
      <c r="L2192" s="1">
        <v>32</v>
      </c>
      <c r="M2192" t="s">
        <v>2032</v>
      </c>
      <c r="O2192" t="s">
        <v>28</v>
      </c>
      <c r="P2192">
        <v>2</v>
      </c>
      <c r="Q2192">
        <v>0</v>
      </c>
      <c r="R2192">
        <v>2</v>
      </c>
      <c r="S2192" s="2">
        <v>42780</v>
      </c>
      <c r="T2192" s="2">
        <v>42782</v>
      </c>
      <c r="U2192" s="2">
        <v>43152</v>
      </c>
    </row>
    <row r="2193" spans="1:22" x14ac:dyDescent="0.2">
      <c r="A2193" t="str">
        <f>"378.1 SPA"</f>
        <v>378.1 SPA</v>
      </c>
      <c r="B2193" t="str">
        <f>"Barron's AP Spanish language and culture"</f>
        <v>Barron's AP Spanish language and culture</v>
      </c>
      <c r="C2193">
        <v>359781</v>
      </c>
      <c r="D2193" t="str">
        <f>"Springer, Alice G."</f>
        <v>Springer, Alice G.</v>
      </c>
      <c r="F2193" t="str">
        <f>"490 p."</f>
        <v>490 p.</v>
      </c>
      <c r="G2193" s="1">
        <v>17</v>
      </c>
      <c r="H2193">
        <v>2019</v>
      </c>
      <c r="I2193" t="str">
        <f t="shared" si="88"/>
        <v>9: 300 - 399</v>
      </c>
      <c r="K2193" t="str">
        <f>"LL - In"</f>
        <v>LL - In</v>
      </c>
      <c r="L2193" s="1">
        <v>32</v>
      </c>
      <c r="M2193" t="s">
        <v>2033</v>
      </c>
      <c r="O2193" t="s">
        <v>28</v>
      </c>
      <c r="P2193">
        <v>0</v>
      </c>
      <c r="Q2193">
        <v>0</v>
      </c>
      <c r="R2193">
        <v>0</v>
      </c>
      <c r="S2193" s="2">
        <v>43830</v>
      </c>
      <c r="T2193" s="2">
        <v>43847</v>
      </c>
    </row>
    <row r="2194" spans="1:22" x14ac:dyDescent="0.2">
      <c r="A2194" t="str">
        <f>"378.1 STA"</f>
        <v>378.1 STA</v>
      </c>
      <c r="B2194" t="str">
        <f>"Barron's AP statistics"</f>
        <v>Barron's AP statistics</v>
      </c>
      <c r="C2194">
        <v>348347</v>
      </c>
      <c r="D2194" t="str">
        <f>"Sternstein, Martin"</f>
        <v>Sternstein, Martin</v>
      </c>
      <c r="F2194" t="str">
        <f>"vi, 633 pages, 28 cm, illustrations"</f>
        <v>vi, 633 pages, 28 cm, illustrations</v>
      </c>
      <c r="G2194" s="1">
        <v>18</v>
      </c>
      <c r="H2194">
        <v>2017</v>
      </c>
      <c r="I2194" t="str">
        <f t="shared" si="88"/>
        <v>9: 300 - 399</v>
      </c>
      <c r="K2194" t="str">
        <f>"LL - In"</f>
        <v>LL - In</v>
      </c>
      <c r="L2194" s="1">
        <v>24</v>
      </c>
      <c r="M2194" t="s">
        <v>2034</v>
      </c>
      <c r="O2194" t="s">
        <v>28</v>
      </c>
      <c r="P2194">
        <v>3</v>
      </c>
      <c r="Q2194">
        <v>0</v>
      </c>
      <c r="R2194">
        <v>3</v>
      </c>
      <c r="S2194" s="2">
        <v>43276</v>
      </c>
      <c r="T2194" s="2">
        <v>43307</v>
      </c>
      <c r="U2194" s="2">
        <v>43580</v>
      </c>
    </row>
    <row r="2195" spans="1:22" x14ac:dyDescent="0.2">
      <c r="A2195" t="str">
        <f>"378.1 STI"</f>
        <v>378.1 STI</v>
      </c>
      <c r="B2195" t="str">
        <f>"perfect score project: uncovering the se"</f>
        <v>perfect score project: uncovering the se</v>
      </c>
      <c r="C2195">
        <v>330799</v>
      </c>
      <c r="D2195" t="str">
        <f>"Stier, Debbie."</f>
        <v>Stier, Debbie.</v>
      </c>
      <c r="F2195" t="str">
        <f>"296 pages, 25 cm"</f>
        <v>296 pages, 25 cm</v>
      </c>
      <c r="G2195" s="1">
        <v>15</v>
      </c>
      <c r="H2195">
        <v>2014</v>
      </c>
      <c r="I2195" t="str">
        <f t="shared" si="88"/>
        <v>9: 300 - 399</v>
      </c>
      <c r="K2195" t="str">
        <f>"LL - In"</f>
        <v>LL - In</v>
      </c>
      <c r="L2195" s="1">
        <v>30</v>
      </c>
      <c r="M2195" t="s">
        <v>2035</v>
      </c>
      <c r="O2195" t="s">
        <v>28</v>
      </c>
      <c r="P2195">
        <v>3</v>
      </c>
      <c r="Q2195">
        <v>0</v>
      </c>
      <c r="R2195">
        <v>5</v>
      </c>
      <c r="S2195" s="2">
        <v>42300</v>
      </c>
      <c r="T2195" s="2">
        <v>42418</v>
      </c>
      <c r="U2195" s="2">
        <v>43463</v>
      </c>
      <c r="V2195" s="2">
        <v>42359</v>
      </c>
    </row>
    <row r="2196" spans="1:22" x14ac:dyDescent="0.2">
      <c r="A2196" t="str">
        <f>"378.1 STI"</f>
        <v>378.1 STI</v>
      </c>
      <c r="B2196" t="str">
        <f>"perfect score project: uncovering the se"</f>
        <v>perfect score project: uncovering the se</v>
      </c>
      <c r="C2196">
        <v>333256</v>
      </c>
      <c r="D2196" t="str">
        <f>"Stier, Debbie."</f>
        <v>Stier, Debbie.</v>
      </c>
      <c r="F2196" t="str">
        <f>"296 pages, 25 cm"</f>
        <v>296 pages, 25 cm</v>
      </c>
      <c r="G2196" s="1">
        <v>16</v>
      </c>
      <c r="H2196">
        <v>2014</v>
      </c>
      <c r="I2196" t="str">
        <f t="shared" si="88"/>
        <v>9: 300 - 399</v>
      </c>
      <c r="K2196" t="str">
        <f>"WB - In"</f>
        <v>WB - In</v>
      </c>
      <c r="L2196" s="1">
        <v>20</v>
      </c>
      <c r="M2196" t="s">
        <v>2035</v>
      </c>
      <c r="O2196" t="s">
        <v>28</v>
      </c>
      <c r="P2196">
        <v>1</v>
      </c>
      <c r="Q2196">
        <v>1</v>
      </c>
      <c r="R2196">
        <v>3</v>
      </c>
      <c r="S2196" s="2">
        <v>42416</v>
      </c>
      <c r="T2196" s="2">
        <v>42423</v>
      </c>
      <c r="U2196" s="2">
        <v>43066</v>
      </c>
      <c r="V2196" s="2">
        <v>43706</v>
      </c>
    </row>
    <row r="2197" spans="1:22" x14ac:dyDescent="0.2">
      <c r="A2197" t="str">
        <f>"378.1 VOC"</f>
        <v>378.1 VOC</v>
      </c>
      <c r="B2197" t="str">
        <f>"SAT score-raising dictionary: a fun and "</f>
        <v xml:space="preserve">SAT score-raising dictionary: a fun and </v>
      </c>
      <c r="C2197">
        <v>259763</v>
      </c>
      <c r="F2197" t="str">
        <f>"352 p."</f>
        <v>352 p.</v>
      </c>
      <c r="G2197" s="1">
        <v>12</v>
      </c>
      <c r="H2197">
        <v>2009</v>
      </c>
      <c r="I2197" t="str">
        <f t="shared" si="88"/>
        <v>9: 300 - 399</v>
      </c>
      <c r="K2197" t="str">
        <f>"LL - In"</f>
        <v>LL - In</v>
      </c>
      <c r="L2197" s="1">
        <v>11</v>
      </c>
      <c r="M2197" t="s">
        <v>2036</v>
      </c>
      <c r="O2197" t="s">
        <v>28</v>
      </c>
      <c r="P2197">
        <v>12</v>
      </c>
      <c r="Q2197">
        <v>0</v>
      </c>
      <c r="R2197">
        <v>33</v>
      </c>
      <c r="S2197" s="2">
        <v>41151</v>
      </c>
      <c r="T2197" s="2">
        <v>41163</v>
      </c>
      <c r="U2197" s="2">
        <v>43802</v>
      </c>
    </row>
    <row r="2198" spans="1:22" x14ac:dyDescent="0.2">
      <c r="A2198" t="str">
        <f>"378.1 VOC"</f>
        <v>378.1 VOC</v>
      </c>
      <c r="B2198" t="str">
        <f>"Vocabulary cartoons: SAT word power"</f>
        <v>Vocabulary cartoons: SAT word power</v>
      </c>
      <c r="C2198">
        <v>145177</v>
      </c>
      <c r="D2198" t="str">
        <f>"Burchers, Sam"</f>
        <v>Burchers, Sam</v>
      </c>
      <c r="F2198" t="str">
        <f>"341 p., 22 cm., ill."</f>
        <v>341 p., 22 cm., ill.</v>
      </c>
      <c r="G2198" s="1">
        <v>10</v>
      </c>
      <c r="H2198">
        <v>2007</v>
      </c>
      <c r="I2198" t="str">
        <f t="shared" si="88"/>
        <v>9: 300 - 399</v>
      </c>
      <c r="K2198" t="str">
        <f>"LL - In"</f>
        <v>LL - In</v>
      </c>
      <c r="L2198" s="1">
        <v>18</v>
      </c>
      <c r="M2198" t="s">
        <v>2037</v>
      </c>
      <c r="O2198" t="s">
        <v>28</v>
      </c>
      <c r="P2198">
        <v>13</v>
      </c>
      <c r="Q2198">
        <v>1</v>
      </c>
      <c r="R2198">
        <v>52</v>
      </c>
      <c r="S2198" s="2">
        <v>40438</v>
      </c>
      <c r="T2198" s="2">
        <v>41053</v>
      </c>
      <c r="U2198" s="2">
        <v>43757</v>
      </c>
      <c r="V2198" s="2">
        <v>43227</v>
      </c>
    </row>
    <row r="2199" spans="1:22" x14ac:dyDescent="0.2">
      <c r="A2199" t="str">
        <f>"378.1 WOR"</f>
        <v>378.1 WOR</v>
      </c>
      <c r="B2199" t="str">
        <f>"Cracking the AP world history exam 2019:"</f>
        <v>Cracking the AP world history exam 2019:</v>
      </c>
      <c r="C2199">
        <v>353019</v>
      </c>
      <c r="D2199" t="str">
        <f>"Princeton Review (Firm)"</f>
        <v>Princeton Review (Firm)</v>
      </c>
      <c r="F2199" t="str">
        <f>"544 p."</f>
        <v>544 p.</v>
      </c>
      <c r="G2199" s="1">
        <v>19</v>
      </c>
      <c r="H2199">
        <v>2018</v>
      </c>
      <c r="I2199" t="str">
        <f t="shared" si="88"/>
        <v>9: 300 - 399</v>
      </c>
      <c r="K2199" t="str">
        <f>"LL - In"</f>
        <v>LL - In</v>
      </c>
      <c r="L2199" s="1">
        <v>31</v>
      </c>
      <c r="M2199" t="s">
        <v>2038</v>
      </c>
      <c r="O2199" t="s">
        <v>28</v>
      </c>
      <c r="P2199">
        <v>1</v>
      </c>
      <c r="Q2199">
        <v>0</v>
      </c>
      <c r="R2199">
        <v>1</v>
      </c>
      <c r="S2199" s="2">
        <v>43515</v>
      </c>
      <c r="T2199" s="2">
        <v>43628</v>
      </c>
      <c r="U2199" s="2">
        <v>43648</v>
      </c>
    </row>
    <row r="2200" spans="1:22" x14ac:dyDescent="0.2">
      <c r="A2200" t="str">
        <f>"378.16 BRU"</f>
        <v>378.16 BRU</v>
      </c>
      <c r="B2200" t="str">
        <f>"Where you go is not who you'll be: an an"</f>
        <v>Where you go is not who you'll be: an an</v>
      </c>
      <c r="C2200">
        <v>326852</v>
      </c>
      <c r="D2200" t="str">
        <f>"Bruni, Frank"</f>
        <v>Bruni, Frank</v>
      </c>
      <c r="F2200" t="str">
        <f>"v, 218 pages, 22 cm"</f>
        <v>v, 218 pages, 22 cm</v>
      </c>
      <c r="G2200" s="1">
        <v>15</v>
      </c>
      <c r="H2200">
        <v>2015</v>
      </c>
      <c r="I2200" t="str">
        <f t="shared" si="88"/>
        <v>9: 300 - 399</v>
      </c>
      <c r="K2200" t="str">
        <f>"LL - In"</f>
        <v>LL - In</v>
      </c>
      <c r="L2200" s="1">
        <v>30</v>
      </c>
      <c r="M2200" t="s">
        <v>2039</v>
      </c>
      <c r="O2200" t="s">
        <v>28</v>
      </c>
      <c r="P2200">
        <v>14</v>
      </c>
      <c r="Q2200">
        <v>1</v>
      </c>
      <c r="R2200">
        <v>32</v>
      </c>
      <c r="S2200" s="2">
        <v>42107</v>
      </c>
      <c r="T2200" s="2">
        <v>42401</v>
      </c>
      <c r="U2200" s="2">
        <v>43766</v>
      </c>
      <c r="V2200" s="2">
        <v>43720</v>
      </c>
    </row>
    <row r="2201" spans="1:22" x14ac:dyDescent="0.2">
      <c r="A2201" t="str">
        <f>"378.16 BRU"</f>
        <v>378.16 BRU</v>
      </c>
      <c r="B2201" t="str">
        <f>"Where you go is not who you'll be: an an"</f>
        <v>Where you go is not who you'll be: an an</v>
      </c>
      <c r="C2201">
        <v>286797</v>
      </c>
      <c r="D2201" t="str">
        <f>"Bruni, Frank"</f>
        <v>Bruni, Frank</v>
      </c>
      <c r="F2201" t="str">
        <f>"v, 218 pages, 22 cm"</f>
        <v>v, 218 pages, 22 cm</v>
      </c>
      <c r="G2201" s="1">
        <v>16</v>
      </c>
      <c r="H2201">
        <v>2015</v>
      </c>
      <c r="I2201" t="str">
        <f t="shared" si="88"/>
        <v>9: 300 - 399</v>
      </c>
      <c r="K2201" t="str">
        <f>"WB - In"</f>
        <v>WB - In</v>
      </c>
      <c r="L2201" s="1">
        <v>20</v>
      </c>
      <c r="M2201" t="s">
        <v>2039</v>
      </c>
      <c r="O2201" t="s">
        <v>28</v>
      </c>
      <c r="P2201">
        <v>9</v>
      </c>
      <c r="Q2201">
        <v>1</v>
      </c>
      <c r="R2201">
        <v>14</v>
      </c>
      <c r="S2201" s="2">
        <v>42437</v>
      </c>
      <c r="T2201" s="2">
        <v>42444</v>
      </c>
      <c r="U2201" s="2">
        <v>43568</v>
      </c>
      <c r="V2201" s="2">
        <v>43357</v>
      </c>
    </row>
    <row r="2202" spans="1:22" x14ac:dyDescent="0.2">
      <c r="A2202" t="str">
        <f>"378.19 JAC"</f>
        <v>378.19 JAC</v>
      </c>
      <c r="B2202" t="str">
        <f>"secrets of college success"</f>
        <v>secrets of college success</v>
      </c>
      <c r="C2202">
        <v>359388</v>
      </c>
      <c r="D2202" t="str">
        <f>"Jacobs, Lynn F."</f>
        <v>Jacobs, Lynn F.</v>
      </c>
      <c r="F2202" t="str">
        <f>"xx, 326 pages, 23 cm, illustrations"</f>
        <v>xx, 326 pages, 23 cm, illustrations</v>
      </c>
      <c r="G2202" s="1">
        <v>19</v>
      </c>
      <c r="H2202">
        <v>2019</v>
      </c>
      <c r="I2202" t="str">
        <f t="shared" si="88"/>
        <v>9: 300 - 399</v>
      </c>
      <c r="K2202" t="str">
        <f>"WB - In"</f>
        <v>WB - In</v>
      </c>
      <c r="L2202" s="1">
        <v>21</v>
      </c>
      <c r="M2202" t="s">
        <v>2040</v>
      </c>
      <c r="O2202" t="s">
        <v>28</v>
      </c>
      <c r="P2202">
        <v>0</v>
      </c>
      <c r="Q2202">
        <v>0</v>
      </c>
      <c r="R2202">
        <v>0</v>
      </c>
      <c r="S2202" s="2">
        <v>43788</v>
      </c>
      <c r="T2202" s="2">
        <v>43805</v>
      </c>
    </row>
    <row r="2203" spans="1:22" x14ac:dyDescent="0.2">
      <c r="A2203" t="str">
        <f>"378.19 JAC"</f>
        <v>378.19 JAC</v>
      </c>
      <c r="B2203" t="str">
        <f>"secrets of college success"</f>
        <v>secrets of college success</v>
      </c>
      <c r="C2203">
        <v>359389</v>
      </c>
      <c r="D2203" t="str">
        <f>"Jacobs, Lynn F."</f>
        <v>Jacobs, Lynn F.</v>
      </c>
      <c r="F2203" t="str">
        <f>"xx, 326 pages, 23 cm, illustrations"</f>
        <v>xx, 326 pages, 23 cm, illustrations</v>
      </c>
      <c r="G2203" s="1">
        <v>19</v>
      </c>
      <c r="H2203">
        <v>2019</v>
      </c>
      <c r="I2203" t="str">
        <f t="shared" si="88"/>
        <v>9: 300 - 399</v>
      </c>
      <c r="K2203" t="str">
        <f>"LL - In"</f>
        <v>LL - In</v>
      </c>
      <c r="L2203" s="1">
        <v>21</v>
      </c>
      <c r="M2203" t="s">
        <v>2040</v>
      </c>
      <c r="O2203" t="s">
        <v>28</v>
      </c>
      <c r="P2203">
        <v>0</v>
      </c>
      <c r="Q2203">
        <v>0</v>
      </c>
      <c r="R2203">
        <v>0</v>
      </c>
      <c r="S2203" s="2">
        <v>43788</v>
      </c>
      <c r="T2203" s="2">
        <v>43805</v>
      </c>
    </row>
    <row r="2204" spans="1:22" x14ac:dyDescent="0.2">
      <c r="A2204" t="str">
        <f>"378.2 AME"</f>
        <v>378.2 AME</v>
      </c>
      <c r="B2204" t="str">
        <f>"America's best architecture &amp; design sch"</f>
        <v>America's best architecture &amp; design sch</v>
      </c>
      <c r="C2204">
        <v>263850</v>
      </c>
      <c r="F2204" t="str">
        <f>"120 p., 23-28 cm."</f>
        <v>120 p., 23-28 cm.</v>
      </c>
      <c r="G2204" s="1">
        <v>13</v>
      </c>
      <c r="H2204">
        <v>2012</v>
      </c>
      <c r="I2204" t="str">
        <f t="shared" si="88"/>
        <v>9: 300 - 399</v>
      </c>
      <c r="K2204" t="str">
        <f>"WB - In"</f>
        <v>WB - In</v>
      </c>
      <c r="L2204" s="1">
        <v>50</v>
      </c>
      <c r="M2204" t="s">
        <v>2041</v>
      </c>
      <c r="O2204" t="s">
        <v>28</v>
      </c>
      <c r="P2204">
        <v>0</v>
      </c>
      <c r="Q2204">
        <v>0</v>
      </c>
      <c r="R2204">
        <v>2</v>
      </c>
      <c r="S2204" s="2">
        <v>41324</v>
      </c>
      <c r="T2204" s="2">
        <v>41330</v>
      </c>
      <c r="U2204" s="2">
        <v>42040</v>
      </c>
      <c r="V2204" s="2">
        <v>42373</v>
      </c>
    </row>
    <row r="2205" spans="1:22" x14ac:dyDescent="0.2">
      <c r="A2205" t="str">
        <f>"378.2 APE"</f>
        <v>378.2 APE</v>
      </c>
      <c r="B2205" t="str">
        <f>"LSAT tutor: LSAT prep books 2018-2019 st"</f>
        <v>LSAT tutor: LSAT prep books 2018-2019 st</v>
      </c>
      <c r="C2205">
        <v>350865</v>
      </c>
      <c r="D2205" t="str">
        <f>"Apex Test Prep Law School"</f>
        <v>Apex Test Prep Law School</v>
      </c>
      <c r="F2205" t="str">
        <f>"105 p."</f>
        <v>105 p.</v>
      </c>
      <c r="G2205" s="1">
        <v>18</v>
      </c>
      <c r="H2205">
        <v>2018</v>
      </c>
      <c r="I2205" t="str">
        <f t="shared" si="88"/>
        <v>9: 300 - 399</v>
      </c>
      <c r="K2205" t="str">
        <f>"WB - In"</f>
        <v>WB - In</v>
      </c>
      <c r="L2205" s="1">
        <v>30</v>
      </c>
      <c r="M2205" t="s">
        <v>2042</v>
      </c>
      <c r="O2205" t="s">
        <v>28</v>
      </c>
      <c r="P2205">
        <v>3</v>
      </c>
      <c r="Q2205">
        <v>0</v>
      </c>
      <c r="R2205">
        <v>3</v>
      </c>
      <c r="S2205" s="2">
        <v>43396</v>
      </c>
      <c r="T2205" s="2">
        <v>43412</v>
      </c>
      <c r="U2205" s="2">
        <v>43666</v>
      </c>
    </row>
    <row r="2206" spans="1:22" x14ac:dyDescent="0.2">
      <c r="A2206" t="str">
        <f>"378.2 BAR"</f>
        <v>378.2 BAR</v>
      </c>
      <c r="B2206" t="str">
        <f>"Barron's guide to law schools"</f>
        <v>Barron's guide to law schools</v>
      </c>
      <c r="C2206">
        <v>259671</v>
      </c>
      <c r="F2206" t="str">
        <f>"634 p."</f>
        <v>634 p.</v>
      </c>
      <c r="G2206" s="1">
        <v>12</v>
      </c>
      <c r="H2206">
        <v>2012</v>
      </c>
      <c r="I2206" t="str">
        <f t="shared" si="88"/>
        <v>9: 300 - 399</v>
      </c>
      <c r="K2206" t="str">
        <f>"WB - In"</f>
        <v>WB - In</v>
      </c>
      <c r="L2206" s="1">
        <v>30</v>
      </c>
      <c r="M2206" t="s">
        <v>2043</v>
      </c>
      <c r="O2206" t="s">
        <v>28</v>
      </c>
      <c r="P2206">
        <v>2</v>
      </c>
      <c r="Q2206">
        <v>0</v>
      </c>
      <c r="R2206">
        <v>7</v>
      </c>
      <c r="S2206" s="2">
        <v>41150</v>
      </c>
      <c r="T2206" s="2">
        <v>41157</v>
      </c>
      <c r="U2206" s="2">
        <v>43132</v>
      </c>
    </row>
    <row r="2207" spans="1:22" x14ac:dyDescent="0.2">
      <c r="A2207" t="str">
        <f>"378.2 CRA"</f>
        <v>378.2 CRA</v>
      </c>
      <c r="B2207" t="str">
        <f>"Cracking med school admissions 2nd editi"</f>
        <v>Cracking med school admissions 2nd editi</v>
      </c>
      <c r="C2207">
        <v>356877</v>
      </c>
      <c r="F2207" t="str">
        <f>"156 p."</f>
        <v>156 p.</v>
      </c>
      <c r="G2207" s="1">
        <v>19</v>
      </c>
      <c r="H2207">
        <v>2018</v>
      </c>
      <c r="I2207" t="str">
        <f t="shared" si="88"/>
        <v>9: 300 - 399</v>
      </c>
      <c r="K2207" t="str">
        <f>"WB - In"</f>
        <v>WB - In</v>
      </c>
      <c r="L2207" s="1">
        <v>35</v>
      </c>
      <c r="M2207" t="s">
        <v>2044</v>
      </c>
      <c r="O2207" t="s">
        <v>28</v>
      </c>
      <c r="P2207">
        <v>1</v>
      </c>
      <c r="Q2207">
        <v>0</v>
      </c>
      <c r="R2207">
        <v>1</v>
      </c>
      <c r="S2207" s="2">
        <v>43691</v>
      </c>
      <c r="T2207" s="2">
        <v>43714</v>
      </c>
      <c r="U2207" s="2">
        <v>43715</v>
      </c>
    </row>
    <row r="2208" spans="1:22" x14ac:dyDescent="0.2">
      <c r="A2208" t="str">
        <f>"378.2 ENG"</f>
        <v>378.2 ENG</v>
      </c>
      <c r="B2208" t="str">
        <f>"FE/EIT fundamentals of engineering/engin"</f>
        <v>FE/EIT fundamentals of engineering/engin</v>
      </c>
      <c r="C2208">
        <v>406682</v>
      </c>
      <c r="F2208" t="str">
        <f>"xiii, 1111 p., 28 cm, ill."</f>
        <v>xiii, 1111 p., 28 cm, ill.</v>
      </c>
      <c r="G2208" s="1">
        <v>19</v>
      </c>
      <c r="H2208">
        <v>2004</v>
      </c>
      <c r="I2208" t="str">
        <f t="shared" si="88"/>
        <v>9: 300 - 399</v>
      </c>
      <c r="K2208" t="str">
        <f>"WB - Out"</f>
        <v>WB - Out</v>
      </c>
      <c r="L2208" s="1">
        <v>55</v>
      </c>
      <c r="M2208" t="s">
        <v>2045</v>
      </c>
      <c r="O2208" t="s">
        <v>28</v>
      </c>
      <c r="P2208">
        <v>1</v>
      </c>
      <c r="Q2208">
        <v>0</v>
      </c>
      <c r="R2208">
        <v>1</v>
      </c>
      <c r="S2208" s="2">
        <v>43615</v>
      </c>
      <c r="T2208" s="2">
        <v>43619</v>
      </c>
      <c r="U2208" s="2">
        <v>43649</v>
      </c>
    </row>
    <row r="2209" spans="1:22" x14ac:dyDescent="0.2">
      <c r="A2209" t="str">
        <f>"378.2 ENG"</f>
        <v>378.2 ENG</v>
      </c>
      <c r="B2209" t="str">
        <f>"FE chemical exam practice problems: for "</f>
        <v xml:space="preserve">FE chemical exam practice problems: for </v>
      </c>
      <c r="C2209">
        <v>406683</v>
      </c>
      <c r="D2209" t="str">
        <f>"Lindeburge, Michael R."</f>
        <v>Lindeburge, Michael R.</v>
      </c>
      <c r="F2209" t="str">
        <f>"var. pagings"</f>
        <v>var. pagings</v>
      </c>
      <c r="G2209" s="1">
        <v>19</v>
      </c>
      <c r="H2209">
        <v>2017</v>
      </c>
      <c r="I2209" t="str">
        <f t="shared" si="88"/>
        <v>9: 300 - 399</v>
      </c>
      <c r="K2209" t="str">
        <f>"WB - Out"</f>
        <v>WB - Out</v>
      </c>
      <c r="L2209" s="1">
        <v>75</v>
      </c>
      <c r="M2209" t="s">
        <v>2046</v>
      </c>
      <c r="O2209" t="s">
        <v>28</v>
      </c>
      <c r="P2209">
        <v>1</v>
      </c>
      <c r="Q2209">
        <v>0</v>
      </c>
      <c r="R2209">
        <v>1</v>
      </c>
      <c r="S2209" s="2">
        <v>43615</v>
      </c>
      <c r="T2209" s="2">
        <v>43619</v>
      </c>
      <c r="U2209" s="2">
        <v>43649</v>
      </c>
    </row>
    <row r="2210" spans="1:22" x14ac:dyDescent="0.2">
      <c r="A2210" t="str">
        <f>"378.2 FRE"</f>
        <v>378.2 FRE</v>
      </c>
      <c r="B2210" t="str">
        <f>"MedEdits guide to medical school admissi"</f>
        <v>MedEdits guide to medical school admissi</v>
      </c>
      <c r="C2210">
        <v>356865</v>
      </c>
      <c r="D2210" t="str">
        <f>"Freedman, Jessica"</f>
        <v>Freedman, Jessica</v>
      </c>
      <c r="F2210" t="str">
        <f>"298 pages, 22 cm, illustrations"</f>
        <v>298 pages, 22 cm, illustrations</v>
      </c>
      <c r="G2210" s="1">
        <v>19</v>
      </c>
      <c r="H2210">
        <v>2018</v>
      </c>
      <c r="I2210" t="str">
        <f t="shared" si="88"/>
        <v>9: 300 - 399</v>
      </c>
      <c r="K2210" t="str">
        <f>"WB - In"</f>
        <v>WB - In</v>
      </c>
      <c r="L2210" s="1">
        <v>17</v>
      </c>
      <c r="M2210" t="s">
        <v>2047</v>
      </c>
      <c r="O2210" t="s">
        <v>28</v>
      </c>
      <c r="P2210">
        <v>1</v>
      </c>
      <c r="Q2210">
        <v>0</v>
      </c>
      <c r="R2210">
        <v>1</v>
      </c>
      <c r="S2210" s="2">
        <v>43691</v>
      </c>
      <c r="T2210" s="2">
        <v>43714</v>
      </c>
      <c r="U2210" s="2">
        <v>43715</v>
      </c>
    </row>
    <row r="2211" spans="1:22" x14ac:dyDescent="0.2">
      <c r="A2211" t="str">
        <f>"378.2 GMA"</f>
        <v>378.2 GMA</v>
      </c>
      <c r="B2211" t="str">
        <f>"Cracking the GMAT 2019"</f>
        <v>Cracking the GMAT 2019</v>
      </c>
      <c r="C2211">
        <v>401520</v>
      </c>
      <c r="D2211" t="str">
        <f>"Martz, Geoff"</f>
        <v>Martz, Geoff</v>
      </c>
      <c r="E2211" t="str">
        <f>"Princeton Review series"</f>
        <v>Princeton Review series</v>
      </c>
      <c r="F2211" t="str">
        <f>"693 p."</f>
        <v>693 p.</v>
      </c>
      <c r="G2211" s="1">
        <v>18</v>
      </c>
      <c r="H2211">
        <v>2018</v>
      </c>
      <c r="I2211" t="str">
        <f t="shared" si="88"/>
        <v>9: 300 - 399</v>
      </c>
      <c r="K2211" t="str">
        <f>"WB - In"</f>
        <v>WB - In</v>
      </c>
      <c r="L2211" s="1">
        <v>30</v>
      </c>
      <c r="M2211" t="s">
        <v>2048</v>
      </c>
      <c r="O2211" t="s">
        <v>28</v>
      </c>
      <c r="P2211">
        <v>6</v>
      </c>
      <c r="Q2211">
        <v>0</v>
      </c>
      <c r="R2211">
        <v>6</v>
      </c>
      <c r="S2211" s="2">
        <v>43249</v>
      </c>
      <c r="T2211" s="2">
        <v>43251</v>
      </c>
      <c r="U2211" s="2">
        <v>43811</v>
      </c>
    </row>
    <row r="2212" spans="1:22" x14ac:dyDescent="0.2">
      <c r="A2212" t="str">
        <f>"378.2 GMA"</f>
        <v>378.2 GMA</v>
      </c>
      <c r="B2212" t="str">
        <f>"Barron's GMAT: graduate management admis"</f>
        <v>Barron's GMAT: graduate management admis</v>
      </c>
      <c r="C2212">
        <v>340672</v>
      </c>
      <c r="D2212" t="str">
        <f>"Umar, Bobby"</f>
        <v>Umar, Bobby</v>
      </c>
      <c r="F2212" t="str">
        <f>"757 p."</f>
        <v>757 p.</v>
      </c>
      <c r="G2212" s="1">
        <v>17</v>
      </c>
      <c r="H2212">
        <v>2017</v>
      </c>
      <c r="I2212" t="str">
        <f t="shared" si="88"/>
        <v>9: 300 - 399</v>
      </c>
      <c r="K2212" t="str">
        <f>"LL - In"</f>
        <v>LL - In</v>
      </c>
      <c r="L2212" s="1">
        <v>27</v>
      </c>
      <c r="M2212" t="s">
        <v>2049</v>
      </c>
      <c r="O2212" t="s">
        <v>28</v>
      </c>
      <c r="P2212">
        <v>2</v>
      </c>
      <c r="Q2212">
        <v>1</v>
      </c>
      <c r="R2212">
        <v>3</v>
      </c>
      <c r="S2212" s="2">
        <v>42836</v>
      </c>
      <c r="T2212" s="2">
        <v>42839</v>
      </c>
      <c r="U2212" s="2">
        <v>43451</v>
      </c>
      <c r="V2212" s="2">
        <v>43105</v>
      </c>
    </row>
    <row r="2213" spans="1:22" x14ac:dyDescent="0.2">
      <c r="A2213" t="str">
        <f>"378.2 GRE"</f>
        <v>378.2 GRE</v>
      </c>
      <c r="B2213" t="str">
        <f>"ETS: the official guide to the GRE, revi"</f>
        <v>ETS: the official guide to the GRE, revi</v>
      </c>
      <c r="C2213">
        <v>278138</v>
      </c>
      <c r="F2213" t="str">
        <f>"560 p."</f>
        <v>560 p.</v>
      </c>
      <c r="G2213" s="1">
        <v>14</v>
      </c>
      <c r="H2213">
        <v>2012</v>
      </c>
      <c r="I2213" t="str">
        <f t="shared" si="88"/>
        <v>9: 300 - 399</v>
      </c>
      <c r="K2213" t="str">
        <f>"WB - Out"</f>
        <v>WB - Out</v>
      </c>
      <c r="L2213" s="1">
        <v>43</v>
      </c>
      <c r="M2213" t="s">
        <v>2050</v>
      </c>
      <c r="O2213" t="s">
        <v>28</v>
      </c>
      <c r="P2213">
        <v>15</v>
      </c>
      <c r="Q2213">
        <v>0</v>
      </c>
      <c r="R2213">
        <v>33</v>
      </c>
      <c r="S2213" s="2">
        <v>41963</v>
      </c>
      <c r="T2213" s="2">
        <v>41982</v>
      </c>
      <c r="U2213" s="2">
        <v>43845</v>
      </c>
    </row>
    <row r="2214" spans="1:22" x14ac:dyDescent="0.2">
      <c r="A2214" t="str">
        <f>"378.2 GRE"</f>
        <v>378.2 GRE</v>
      </c>
      <c r="B2214" t="str">
        <f>"Barron's GRE"</f>
        <v>Barron's GRE</v>
      </c>
      <c r="C2214">
        <v>295569</v>
      </c>
      <c r="D2214" t="str">
        <f>"Green, Sharon Weiner"</f>
        <v>Green, Sharon Weiner</v>
      </c>
      <c r="F2214" t="str">
        <f>"xi, 672 pages, 28 cm, illustrations"</f>
        <v>xi, 672 pages, 28 cm, illustrations</v>
      </c>
      <c r="G2214" s="1">
        <v>17</v>
      </c>
      <c r="H2214">
        <v>2017</v>
      </c>
      <c r="I2214" t="str">
        <f t="shared" si="88"/>
        <v>9: 300 - 399</v>
      </c>
      <c r="K2214" t="str">
        <f>"LL - Out"</f>
        <v>LL - Out</v>
      </c>
      <c r="L2214" s="1">
        <v>32</v>
      </c>
      <c r="M2214" t="s">
        <v>2051</v>
      </c>
      <c r="O2214" t="s">
        <v>28</v>
      </c>
      <c r="P2214">
        <v>14</v>
      </c>
      <c r="Q2214">
        <v>1</v>
      </c>
      <c r="R2214">
        <v>15</v>
      </c>
      <c r="S2214" s="2">
        <v>42901</v>
      </c>
      <c r="T2214" s="2">
        <v>42906</v>
      </c>
      <c r="U2214" s="2">
        <v>43848</v>
      </c>
      <c r="V2214" s="2">
        <v>43647</v>
      </c>
    </row>
    <row r="2215" spans="1:22" x14ac:dyDescent="0.2">
      <c r="A2215" t="str">
        <f>"378.2 GRE"</f>
        <v>378.2 GRE</v>
      </c>
      <c r="B2215" t="str">
        <f>"Barron's GRE"</f>
        <v>Barron's GRE</v>
      </c>
      <c r="C2215">
        <v>353404</v>
      </c>
      <c r="D2215" t="str">
        <f>"Green, Sharon Weiner"</f>
        <v>Green, Sharon Weiner</v>
      </c>
      <c r="F2215" t="str">
        <f>"xi, 672 pages, 28 cm, illustrations"</f>
        <v>xi, 672 pages, 28 cm, illustrations</v>
      </c>
      <c r="G2215" s="1">
        <v>19</v>
      </c>
      <c r="H2215">
        <v>2017</v>
      </c>
      <c r="I2215" t="str">
        <f t="shared" si="88"/>
        <v>9: 300 - 399</v>
      </c>
      <c r="K2215" t="str">
        <f>"WB - In"</f>
        <v>WB - In</v>
      </c>
      <c r="L2215" s="1">
        <v>32</v>
      </c>
      <c r="M2215" t="s">
        <v>2051</v>
      </c>
      <c r="O2215" t="s">
        <v>28</v>
      </c>
      <c r="P2215">
        <v>1</v>
      </c>
      <c r="Q2215">
        <v>0</v>
      </c>
      <c r="R2215">
        <v>1</v>
      </c>
      <c r="S2215" s="2">
        <v>43535</v>
      </c>
      <c r="T2215" s="2">
        <v>43628</v>
      </c>
      <c r="U2215" s="2">
        <v>43673</v>
      </c>
    </row>
    <row r="2216" spans="1:22" x14ac:dyDescent="0.2">
      <c r="A2216" t="str">
        <f>"378.2 JOH"</f>
        <v>378.2 JOH</v>
      </c>
      <c r="B2216" t="str">
        <f>"BS/MD programs--the complete guide: gett"</f>
        <v>BS/MD programs--the complete guide: gett</v>
      </c>
      <c r="C2216">
        <v>357160</v>
      </c>
      <c r="D2216" t="str">
        <f>"Johnson, Todd"</f>
        <v>Johnson, Todd</v>
      </c>
      <c r="F2216" t="str">
        <f>"236 pages, 23 cm"</f>
        <v>236 pages, 23 cm</v>
      </c>
      <c r="G2216" s="1">
        <v>19</v>
      </c>
      <c r="H2216">
        <v>2019</v>
      </c>
      <c r="I2216" t="str">
        <f t="shared" si="88"/>
        <v>9: 300 - 399</v>
      </c>
      <c r="K2216" t="str">
        <f>"WB - In"</f>
        <v>WB - In</v>
      </c>
      <c r="L2216" s="1">
        <v>19.95</v>
      </c>
      <c r="M2216" t="s">
        <v>2052</v>
      </c>
      <c r="O2216" t="s">
        <v>28</v>
      </c>
      <c r="P2216">
        <v>1</v>
      </c>
      <c r="Q2216">
        <v>0</v>
      </c>
      <c r="R2216">
        <v>1</v>
      </c>
      <c r="S2216" s="2">
        <v>43704</v>
      </c>
      <c r="T2216" s="2">
        <v>43726</v>
      </c>
      <c r="U2216" s="2">
        <v>43727</v>
      </c>
    </row>
    <row r="2217" spans="1:22" x14ac:dyDescent="0.2">
      <c r="A2217" t="str">
        <f>"378.2 KAP"</f>
        <v>378.2 KAP</v>
      </c>
      <c r="B2217" t="str">
        <f>"MCAT Physics and Math review 2020-2021"</f>
        <v>MCAT Physics and Math review 2020-2021</v>
      </c>
      <c r="C2217">
        <v>356086</v>
      </c>
      <c r="D2217" t="str">
        <f>"Kaplan Educational Centers (Firm)"</f>
        <v>Kaplan Educational Centers (Firm)</v>
      </c>
      <c r="F2217" t="str">
        <f>"461 p."</f>
        <v>461 p.</v>
      </c>
      <c r="G2217" s="1">
        <v>19</v>
      </c>
      <c r="H2217">
        <v>2019</v>
      </c>
      <c r="I2217" t="str">
        <f t="shared" si="88"/>
        <v>9: 300 - 399</v>
      </c>
      <c r="K2217" t="str">
        <f>"LL - Out"</f>
        <v>LL - Out</v>
      </c>
      <c r="L2217" s="1">
        <v>50</v>
      </c>
      <c r="M2217" t="s">
        <v>2053</v>
      </c>
      <c r="O2217" t="s">
        <v>28</v>
      </c>
      <c r="P2217">
        <v>1</v>
      </c>
      <c r="Q2217">
        <v>0</v>
      </c>
      <c r="R2217">
        <v>1</v>
      </c>
      <c r="S2217" s="2">
        <v>43655</v>
      </c>
      <c r="T2217" s="2">
        <v>43668</v>
      </c>
      <c r="U2217" s="2">
        <v>43816</v>
      </c>
    </row>
    <row r="2218" spans="1:22" x14ac:dyDescent="0.2">
      <c r="A2218" t="str">
        <f>"378.2 LEE"</f>
        <v>378.2 LEE</v>
      </c>
      <c r="B2218" t="str">
        <f>"Insider's pre-med guidebook: advice from"</f>
        <v>Insider's pre-med guidebook: advice from</v>
      </c>
      <c r="C2218">
        <v>356876</v>
      </c>
      <c r="D2218" t="str">
        <f>"Lee, Byron."</f>
        <v>Lee, Byron.</v>
      </c>
      <c r="F2218" t="str">
        <f>"271 p."</f>
        <v>271 p.</v>
      </c>
      <c r="G2218" s="1">
        <v>19</v>
      </c>
      <c r="H2218">
        <v>2015</v>
      </c>
      <c r="I2218" t="str">
        <f t="shared" si="88"/>
        <v>9: 300 - 399</v>
      </c>
      <c r="K2218" t="str">
        <f>"WB - In"</f>
        <v>WB - In</v>
      </c>
      <c r="L2218" s="1">
        <v>30</v>
      </c>
      <c r="M2218" t="s">
        <v>2054</v>
      </c>
      <c r="O2218" t="s">
        <v>28</v>
      </c>
      <c r="P2218">
        <v>1</v>
      </c>
      <c r="Q2218">
        <v>0</v>
      </c>
      <c r="R2218">
        <v>1</v>
      </c>
      <c r="S2218" s="2">
        <v>43691</v>
      </c>
      <c r="T2218" s="2">
        <v>43714</v>
      </c>
      <c r="U2218" s="2">
        <v>43715</v>
      </c>
    </row>
    <row r="2219" spans="1:22" x14ac:dyDescent="0.2">
      <c r="A2219" t="str">
        <f>"378.2 MAT"</f>
        <v>378.2 MAT</v>
      </c>
      <c r="B2219" t="str">
        <f>"GRE math workbook"</f>
        <v>GRE math workbook</v>
      </c>
      <c r="C2219">
        <v>333201</v>
      </c>
      <c r="D2219" t="str">
        <f>"Madore, Blair"</f>
        <v>Madore, Blair</v>
      </c>
      <c r="F2219" t="str">
        <f>"viii, 288 pages, 28 cm, illustrations"</f>
        <v>viii, 288 pages, 28 cm, illustrations</v>
      </c>
      <c r="G2219" s="1">
        <v>16</v>
      </c>
      <c r="H2219">
        <v>2015</v>
      </c>
      <c r="I2219" t="str">
        <f t="shared" si="88"/>
        <v>9: 300 - 399</v>
      </c>
      <c r="K2219" t="str">
        <f>"WB - Out"</f>
        <v>WB - Out</v>
      </c>
      <c r="L2219" s="1">
        <v>20</v>
      </c>
      <c r="M2219" t="s">
        <v>2055</v>
      </c>
      <c r="O2219" t="s">
        <v>28</v>
      </c>
      <c r="P2219">
        <v>13</v>
      </c>
      <c r="Q2219">
        <v>1</v>
      </c>
      <c r="R2219">
        <v>19</v>
      </c>
      <c r="S2219" s="2">
        <v>42416</v>
      </c>
      <c r="T2219" s="2">
        <v>42439</v>
      </c>
      <c r="U2219" s="2">
        <v>43845</v>
      </c>
      <c r="V2219" s="2">
        <v>42883</v>
      </c>
    </row>
    <row r="2220" spans="1:22" x14ac:dyDescent="0.2">
      <c r="A2220" t="str">
        <f t="shared" ref="A2220:A2229" si="89">"378.2 MCA"</f>
        <v>378.2 MCA</v>
      </c>
      <c r="B2220" t="str">
        <f>"MCAT 528: advanced prep, 2019-2020"</f>
        <v>MCAT 528: advanced prep, 2019-2020</v>
      </c>
      <c r="C2220">
        <v>358709</v>
      </c>
      <c r="F2220" t="str">
        <f>"viii, 423 pages, 28 cm, illustrations"</f>
        <v>viii, 423 pages, 28 cm, illustrations</v>
      </c>
      <c r="G2220" s="1">
        <v>19</v>
      </c>
      <c r="H2220">
        <v>2018</v>
      </c>
      <c r="I2220" t="str">
        <f t="shared" si="88"/>
        <v>9: 300 - 399</v>
      </c>
      <c r="K2220" t="str">
        <f>"WB - In"</f>
        <v>WB - In</v>
      </c>
      <c r="L2220" s="1">
        <v>50</v>
      </c>
      <c r="M2220" t="s">
        <v>2056</v>
      </c>
      <c r="O2220" t="s">
        <v>28</v>
      </c>
      <c r="P2220">
        <v>0</v>
      </c>
      <c r="Q2220">
        <v>0</v>
      </c>
      <c r="R2220">
        <v>0</v>
      </c>
      <c r="S2220" s="2">
        <v>43762</v>
      </c>
      <c r="T2220" s="2">
        <v>43811</v>
      </c>
    </row>
    <row r="2221" spans="1:22" x14ac:dyDescent="0.2">
      <c r="A2221" t="str">
        <f t="shared" si="89"/>
        <v>378.2 MCA</v>
      </c>
      <c r="B2221" t="str">
        <f>"MCAT behavioral sciences review 2019-202"</f>
        <v>MCAT behavioral sciences review 2019-202</v>
      </c>
      <c r="C2221">
        <v>349191</v>
      </c>
      <c r="F2221" t="str">
        <f>"xxii, 494 pages, 28 cm, color illustrations"</f>
        <v>xxii, 494 pages, 28 cm, color illustrations</v>
      </c>
      <c r="G2221" s="1">
        <v>18</v>
      </c>
      <c r="H2221">
        <v>2018</v>
      </c>
      <c r="I2221" t="str">
        <f t="shared" si="88"/>
        <v>9: 300 - 399</v>
      </c>
      <c r="K2221" t="str">
        <f>"WB - In"</f>
        <v>WB - In</v>
      </c>
      <c r="L2221" s="1">
        <v>50</v>
      </c>
      <c r="M2221" t="s">
        <v>2057</v>
      </c>
      <c r="O2221" t="s">
        <v>28</v>
      </c>
      <c r="P2221">
        <v>5</v>
      </c>
      <c r="Q2221">
        <v>0</v>
      </c>
      <c r="R2221">
        <v>5</v>
      </c>
      <c r="S2221" s="2">
        <v>43320</v>
      </c>
      <c r="T2221" s="2">
        <v>43329</v>
      </c>
      <c r="U2221" s="2">
        <v>43645</v>
      </c>
    </row>
    <row r="2222" spans="1:22" x14ac:dyDescent="0.2">
      <c r="A2222" t="str">
        <f t="shared" si="89"/>
        <v>378.2 MCA</v>
      </c>
      <c r="B2222" t="str">
        <f>"MCAT biochemistry review 2019-2020"</f>
        <v>MCAT biochemistry review 2019-2020</v>
      </c>
      <c r="C2222">
        <v>355245</v>
      </c>
      <c r="F2222" t="str">
        <f>"xxiii, 480 pages, 28 cm, illustrations (some color)"</f>
        <v>xxiii, 480 pages, 28 cm, illustrations (some color)</v>
      </c>
      <c r="G2222" s="1">
        <v>19</v>
      </c>
      <c r="H2222">
        <v>2018</v>
      </c>
      <c r="I2222" t="str">
        <f t="shared" si="88"/>
        <v>9: 300 - 399</v>
      </c>
      <c r="K2222" t="str">
        <f>"WB - In"</f>
        <v>WB - In</v>
      </c>
      <c r="L2222" s="1">
        <v>50</v>
      </c>
      <c r="M2222" t="s">
        <v>2058</v>
      </c>
      <c r="O2222" t="s">
        <v>28</v>
      </c>
      <c r="P2222">
        <v>0</v>
      </c>
      <c r="Q2222">
        <v>0</v>
      </c>
      <c r="R2222">
        <v>0</v>
      </c>
      <c r="S2222" s="2">
        <v>43620</v>
      </c>
      <c r="T2222" s="2">
        <v>43670</v>
      </c>
    </row>
    <row r="2223" spans="1:22" x14ac:dyDescent="0.2">
      <c r="A2223" t="str">
        <f t="shared" si="89"/>
        <v>378.2 MCA</v>
      </c>
      <c r="B2223" t="str">
        <f>"MCAT biology review 2019-2020"</f>
        <v>MCAT biology review 2019-2020</v>
      </c>
      <c r="C2223">
        <v>402465</v>
      </c>
      <c r="F2223" t="str">
        <f>"457 p."</f>
        <v>457 p.</v>
      </c>
      <c r="G2223" s="1">
        <v>18</v>
      </c>
      <c r="H2223">
        <v>2018</v>
      </c>
      <c r="I2223" t="str">
        <f t="shared" si="88"/>
        <v>9: 300 - 399</v>
      </c>
      <c r="K2223" t="str">
        <f>"WB - In"</f>
        <v>WB - In</v>
      </c>
      <c r="L2223" s="1">
        <v>50</v>
      </c>
      <c r="O2223" t="s">
        <v>28</v>
      </c>
      <c r="P2223">
        <v>5</v>
      </c>
      <c r="Q2223">
        <v>0</v>
      </c>
      <c r="R2223">
        <v>5</v>
      </c>
      <c r="S2223" s="2">
        <v>43314</v>
      </c>
      <c r="T2223" s="2">
        <v>43322</v>
      </c>
      <c r="U2223" s="2">
        <v>43645</v>
      </c>
    </row>
    <row r="2224" spans="1:22" x14ac:dyDescent="0.2">
      <c r="A2224" t="str">
        <f t="shared" si="89"/>
        <v>378.2 MCA</v>
      </c>
      <c r="B2224" t="str">
        <f>"MCAT biology review 2019-2020"</f>
        <v>MCAT biology review 2019-2020</v>
      </c>
      <c r="C2224">
        <v>349192</v>
      </c>
      <c r="F2224" t="str">
        <f>"xxii, 489 pages, 28 cm, illustrations (some color)"</f>
        <v>xxii, 489 pages, 28 cm, illustrations (some color)</v>
      </c>
      <c r="G2224" s="1">
        <v>18</v>
      </c>
      <c r="H2224">
        <v>2018</v>
      </c>
      <c r="I2224" t="str">
        <f t="shared" si="88"/>
        <v>9: 300 - 399</v>
      </c>
      <c r="K2224" t="str">
        <f>"LL - In"</f>
        <v>LL - In</v>
      </c>
      <c r="L2224" s="1">
        <v>50</v>
      </c>
      <c r="M2224" t="s">
        <v>2059</v>
      </c>
      <c r="O2224" t="s">
        <v>28</v>
      </c>
      <c r="P2224">
        <v>1</v>
      </c>
      <c r="Q2224">
        <v>0</v>
      </c>
      <c r="R2224">
        <v>1</v>
      </c>
      <c r="S2224" s="2">
        <v>43320</v>
      </c>
      <c r="T2224" s="2">
        <v>43329</v>
      </c>
      <c r="U2224" s="2">
        <v>43628</v>
      </c>
    </row>
    <row r="2225" spans="1:22" x14ac:dyDescent="0.2">
      <c r="A2225" t="str">
        <f t="shared" si="89"/>
        <v>378.2 MCA</v>
      </c>
      <c r="B2225" t="str">
        <f>"MCAT C.A.R.S. practice test 1: 2016 ed."</f>
        <v>MCAT C.A.R.S. practice test 1: 2016 ed.</v>
      </c>
      <c r="C2225">
        <v>292438</v>
      </c>
      <c r="F2225" t="str">
        <f>"134 pages"</f>
        <v>134 pages</v>
      </c>
      <c r="G2225" s="1">
        <v>16</v>
      </c>
      <c r="H2225">
        <v>2016</v>
      </c>
      <c r="I2225" t="str">
        <f t="shared" si="88"/>
        <v>9: 300 - 399</v>
      </c>
      <c r="K2225" t="str">
        <f>"WB - In"</f>
        <v>WB - In</v>
      </c>
      <c r="L2225" s="1">
        <v>30</v>
      </c>
      <c r="M2225" t="s">
        <v>2060</v>
      </c>
      <c r="O2225" t="s">
        <v>28</v>
      </c>
      <c r="P2225">
        <v>5</v>
      </c>
      <c r="Q2225">
        <v>0</v>
      </c>
      <c r="R2225">
        <v>5</v>
      </c>
      <c r="S2225" s="2">
        <v>42719</v>
      </c>
      <c r="T2225" s="2">
        <v>42775</v>
      </c>
      <c r="U2225" s="2">
        <v>43321</v>
      </c>
    </row>
    <row r="2226" spans="1:22" x14ac:dyDescent="0.2">
      <c r="A2226" t="str">
        <f t="shared" si="89"/>
        <v>378.2 MCA</v>
      </c>
      <c r="B2226" t="str">
        <f>"MCAT critical analysis and reasoning ski"</f>
        <v>MCAT critical analysis and reasoning ski</v>
      </c>
      <c r="C2226">
        <v>294551</v>
      </c>
      <c r="F2226" t="str">
        <f>"325 pages, 28 cm, illustrations"</f>
        <v>325 pages, 28 cm, illustrations</v>
      </c>
      <c r="G2226" s="1">
        <v>17</v>
      </c>
      <c r="H2226">
        <v>2016</v>
      </c>
      <c r="I2226" t="str">
        <f t="shared" si="88"/>
        <v>9: 300 - 399</v>
      </c>
      <c r="K2226" t="str">
        <f>"WB - In"</f>
        <v>WB - In</v>
      </c>
      <c r="L2226" s="1">
        <v>40</v>
      </c>
      <c r="M2226" t="s">
        <v>2061</v>
      </c>
      <c r="O2226" t="s">
        <v>28</v>
      </c>
      <c r="P2226">
        <v>5</v>
      </c>
      <c r="Q2226">
        <v>0</v>
      </c>
      <c r="R2226">
        <v>5</v>
      </c>
      <c r="S2226" s="2">
        <v>42843</v>
      </c>
      <c r="T2226" s="2">
        <v>42849</v>
      </c>
      <c r="U2226" s="2">
        <v>43269</v>
      </c>
    </row>
    <row r="2227" spans="1:22" x14ac:dyDescent="0.2">
      <c r="A2227" t="str">
        <f t="shared" si="89"/>
        <v>378.2 MCA</v>
      </c>
      <c r="B2227" t="str">
        <f>"MCAT critical analysis and reasoning ski"</f>
        <v>MCAT critical analysis and reasoning ski</v>
      </c>
      <c r="C2227">
        <v>349193</v>
      </c>
      <c r="F2227" t="str">
        <f>"xix, 314 pages, 28 cm"</f>
        <v>xix, 314 pages, 28 cm</v>
      </c>
      <c r="G2227" s="1">
        <v>18</v>
      </c>
      <c r="H2227">
        <v>2018</v>
      </c>
      <c r="I2227" t="str">
        <f t="shared" si="88"/>
        <v>9: 300 - 399</v>
      </c>
      <c r="K2227" t="str">
        <f>"WB - In"</f>
        <v>WB - In</v>
      </c>
      <c r="L2227" s="1">
        <v>50</v>
      </c>
      <c r="M2227" t="s">
        <v>2062</v>
      </c>
      <c r="O2227" t="s">
        <v>28</v>
      </c>
      <c r="P2227">
        <v>3</v>
      </c>
      <c r="Q2227">
        <v>0</v>
      </c>
      <c r="R2227">
        <v>3</v>
      </c>
      <c r="S2227" s="2">
        <v>43320</v>
      </c>
      <c r="T2227" s="2">
        <v>43329</v>
      </c>
      <c r="U2227" s="2">
        <v>43613</v>
      </c>
    </row>
    <row r="2228" spans="1:22" x14ac:dyDescent="0.2">
      <c r="A2228" t="str">
        <f t="shared" si="89"/>
        <v>378.2 MCA</v>
      </c>
      <c r="B2228" t="str">
        <f>"MCAT general chemistry review 2019-2020"</f>
        <v>MCAT general chemistry review 2019-2020</v>
      </c>
      <c r="C2228">
        <v>349194</v>
      </c>
      <c r="F2228" t="str">
        <f>"xxii, 480 pages, 28 cm, illustrations (some color)"</f>
        <v>xxii, 480 pages, 28 cm, illustrations (some color)</v>
      </c>
      <c r="G2228" s="1">
        <v>18</v>
      </c>
      <c r="H2228">
        <v>2018</v>
      </c>
      <c r="I2228" t="str">
        <f t="shared" si="88"/>
        <v>9: 300 - 399</v>
      </c>
      <c r="K2228" t="str">
        <f>"WB - In"</f>
        <v>WB - In</v>
      </c>
      <c r="L2228" s="1">
        <v>50</v>
      </c>
      <c r="M2228" t="s">
        <v>2063</v>
      </c>
      <c r="O2228" t="s">
        <v>28</v>
      </c>
      <c r="P2228">
        <v>2</v>
      </c>
      <c r="Q2228">
        <v>0</v>
      </c>
      <c r="R2228">
        <v>2</v>
      </c>
      <c r="S2228" s="2">
        <v>43320</v>
      </c>
      <c r="T2228" s="2">
        <v>43329</v>
      </c>
      <c r="U2228" s="2">
        <v>43376</v>
      </c>
    </row>
    <row r="2229" spans="1:22" x14ac:dyDescent="0.2">
      <c r="A2229" t="str">
        <f t="shared" si="89"/>
        <v>378.2 MCA</v>
      </c>
      <c r="B2229" t="str">
        <f>"MCAT prep 2018-2019: test prep &amp; practic"</f>
        <v>MCAT prep 2018-2019: test prep &amp; practic</v>
      </c>
      <c r="C2229">
        <v>349257</v>
      </c>
      <c r="F2229" t="str">
        <f>"295 pages, 28 cm, illustrations"</f>
        <v>295 pages, 28 cm, illustrations</v>
      </c>
      <c r="G2229" s="1">
        <v>18</v>
      </c>
      <c r="H2229">
        <v>2018</v>
      </c>
      <c r="I2229" t="str">
        <f t="shared" si="88"/>
        <v>9: 300 - 399</v>
      </c>
      <c r="K2229" t="str">
        <f>"LL - In"</f>
        <v>LL - In</v>
      </c>
      <c r="L2229" s="1">
        <v>40</v>
      </c>
      <c r="M2229" t="s">
        <v>2064</v>
      </c>
      <c r="O2229" t="s">
        <v>28</v>
      </c>
      <c r="P2229">
        <v>5</v>
      </c>
      <c r="Q2229">
        <v>0</v>
      </c>
      <c r="R2229">
        <v>5</v>
      </c>
      <c r="S2229" s="2">
        <v>43325</v>
      </c>
      <c r="T2229" s="2">
        <v>43329</v>
      </c>
      <c r="U2229" s="2">
        <v>43628</v>
      </c>
    </row>
    <row r="2230" spans="1:22" x14ac:dyDescent="0.2">
      <c r="A2230" t="str">
        <f>"378.2 MIL"</f>
        <v>378.2 MIL</v>
      </c>
      <c r="B2230" t="str">
        <f>"How to be pre-med: a Harvard MD's medica"</f>
        <v>How to be pre-med: a Harvard MD's medica</v>
      </c>
      <c r="C2230">
        <v>268314</v>
      </c>
      <c r="D2230" t="str">
        <f>"Miller, Suzanne M."</f>
        <v>Miller, Suzanne M.</v>
      </c>
      <c r="F2230" t="str">
        <f>"196 p."</f>
        <v>196 p.</v>
      </c>
      <c r="G2230" s="1">
        <v>13</v>
      </c>
      <c r="H2230">
        <v>2013</v>
      </c>
      <c r="I2230" t="str">
        <f t="shared" si="88"/>
        <v>9: 300 - 399</v>
      </c>
      <c r="K2230" t="str">
        <f>"WB - In"</f>
        <v>WB - In</v>
      </c>
      <c r="L2230" s="1">
        <v>21</v>
      </c>
      <c r="M2230" t="s">
        <v>2065</v>
      </c>
      <c r="O2230" t="s">
        <v>28</v>
      </c>
      <c r="P2230">
        <v>12</v>
      </c>
      <c r="Q2230">
        <v>0</v>
      </c>
      <c r="R2230">
        <v>23</v>
      </c>
      <c r="S2230" s="2">
        <v>41507</v>
      </c>
      <c r="T2230" s="2">
        <v>41514</v>
      </c>
      <c r="U2230" s="2">
        <v>43604</v>
      </c>
    </row>
    <row r="2231" spans="1:22" x14ac:dyDescent="0.2">
      <c r="A2231" t="str">
        <f>"378.2 OWE"</f>
        <v>378.2 OWE</v>
      </c>
      <c r="B2231" t="str">
        <f>"best 173 law schools"</f>
        <v>best 173 law schools</v>
      </c>
      <c r="C2231">
        <v>283169</v>
      </c>
      <c r="D2231" t="str">
        <f>"Owens, Eric"</f>
        <v>Owens, Eric</v>
      </c>
      <c r="F2231" t="str">
        <f>"vii, 456 pages, 23 cm"</f>
        <v>vii, 456 pages, 23 cm</v>
      </c>
      <c r="G2231" s="1">
        <v>15</v>
      </c>
      <c r="H2231">
        <v>2015</v>
      </c>
      <c r="I2231" t="str">
        <f t="shared" si="88"/>
        <v>9: 300 - 399</v>
      </c>
      <c r="K2231" t="str">
        <f>"LL - In"</f>
        <v>LL - In</v>
      </c>
      <c r="L2231" s="1">
        <v>30</v>
      </c>
      <c r="M2231" t="s">
        <v>2066</v>
      </c>
      <c r="O2231" t="s">
        <v>28</v>
      </c>
      <c r="P2231">
        <v>1</v>
      </c>
      <c r="Q2231">
        <v>0</v>
      </c>
      <c r="R2231">
        <v>4</v>
      </c>
      <c r="S2231" s="2">
        <v>42327</v>
      </c>
      <c r="T2231" s="2">
        <v>42328</v>
      </c>
      <c r="U2231" s="2">
        <v>42936</v>
      </c>
    </row>
    <row r="2232" spans="1:22" x14ac:dyDescent="0.2">
      <c r="A2232" t="str">
        <f>"378.2 PIE"</f>
        <v>378.2 PIE</v>
      </c>
      <c r="B2232" t="str">
        <f>"Get Into Veterinary School: Insights by "</f>
        <v xml:space="preserve">Get Into Veterinary School: Insights by </v>
      </c>
      <c r="C2232">
        <v>272811</v>
      </c>
      <c r="D2232" t="str">
        <f>"Piekunka, Joseph M."</f>
        <v>Piekunka, Joseph M.</v>
      </c>
      <c r="F2232" t="str">
        <f>"191 pages, 23 cm"</f>
        <v>191 pages, 23 cm</v>
      </c>
      <c r="G2232" s="1">
        <v>14</v>
      </c>
      <c r="H2232">
        <v>2012</v>
      </c>
      <c r="I2232" t="str">
        <f t="shared" si="88"/>
        <v>9: 300 - 399</v>
      </c>
      <c r="K2232" t="str">
        <f t="shared" ref="K2232:K2239" si="90">"WB - In"</f>
        <v>WB - In</v>
      </c>
      <c r="L2232" s="1">
        <v>25</v>
      </c>
      <c r="M2232" t="s">
        <v>2067</v>
      </c>
      <c r="O2232" t="s">
        <v>28</v>
      </c>
      <c r="P2232">
        <v>3</v>
      </c>
      <c r="Q2232">
        <v>0</v>
      </c>
      <c r="R2232">
        <v>6</v>
      </c>
      <c r="S2232" s="2">
        <v>41737</v>
      </c>
      <c r="T2232" s="2">
        <v>41746</v>
      </c>
      <c r="U2232" s="2">
        <v>43643</v>
      </c>
    </row>
    <row r="2233" spans="1:22" x14ac:dyDescent="0.2">
      <c r="A2233" t="str">
        <f>"378.2 STE"</f>
        <v>378.2 STE</v>
      </c>
      <c r="B2233" t="str">
        <f>"How to write the perfect personal statem"</f>
        <v>How to write the perfect personal statem</v>
      </c>
      <c r="C2233">
        <v>230226</v>
      </c>
      <c r="D2233" t="str">
        <f>"Stewart, Mark A."</f>
        <v>Stewart, Mark A.</v>
      </c>
      <c r="F2233" t="str">
        <f>"130 p."</f>
        <v>130 p.</v>
      </c>
      <c r="G2233" s="1">
        <v>9</v>
      </c>
      <c r="H2233">
        <v>2009</v>
      </c>
      <c r="I2233" t="str">
        <f t="shared" si="88"/>
        <v>9: 300 - 399</v>
      </c>
      <c r="K2233" t="str">
        <f t="shared" si="90"/>
        <v>WB - In</v>
      </c>
      <c r="L2233" s="1">
        <v>20</v>
      </c>
      <c r="M2233" t="s">
        <v>2068</v>
      </c>
      <c r="O2233" t="s">
        <v>28</v>
      </c>
      <c r="P2233">
        <v>3</v>
      </c>
      <c r="Q2233">
        <v>3</v>
      </c>
      <c r="R2233">
        <v>29</v>
      </c>
      <c r="S2233" s="2">
        <v>40071</v>
      </c>
      <c r="T2233" s="2">
        <v>41053</v>
      </c>
      <c r="U2233" s="2">
        <v>43594</v>
      </c>
      <c r="V2233" s="2">
        <v>43488</v>
      </c>
    </row>
    <row r="2234" spans="1:22" x14ac:dyDescent="0.2">
      <c r="A2234" t="str">
        <f>"378.2 STE"</f>
        <v>378.2 STE</v>
      </c>
      <c r="B2234" t="str">
        <f>"Perfect personal statements: law, busine"</f>
        <v>Perfect personal statements: law, busine</v>
      </c>
      <c r="C2234">
        <v>213214</v>
      </c>
      <c r="D2234" t="str">
        <f>"Stewart, Mark A."</f>
        <v>Stewart, Mark A.</v>
      </c>
      <c r="F2234" t="str">
        <f>"130 p."</f>
        <v>130 p.</v>
      </c>
      <c r="G2234" s="1">
        <v>8</v>
      </c>
      <c r="H2234">
        <v>2004</v>
      </c>
      <c r="I2234" t="str">
        <f t="shared" si="88"/>
        <v>9: 300 - 399</v>
      </c>
      <c r="K2234" t="str">
        <f t="shared" si="90"/>
        <v>WB - In</v>
      </c>
      <c r="L2234" s="1">
        <v>18</v>
      </c>
      <c r="M2234" t="s">
        <v>2069</v>
      </c>
      <c r="O2234" t="s">
        <v>28</v>
      </c>
      <c r="P2234">
        <v>3</v>
      </c>
      <c r="Q2234">
        <v>1</v>
      </c>
      <c r="R2234">
        <v>20</v>
      </c>
      <c r="S2234" s="2">
        <v>39666</v>
      </c>
      <c r="T2234" s="2">
        <v>41053</v>
      </c>
      <c r="U2234" s="2">
        <v>43504</v>
      </c>
      <c r="V2234" s="2">
        <v>43147</v>
      </c>
    </row>
    <row r="2235" spans="1:22" x14ac:dyDescent="0.2">
      <c r="A2235" t="str">
        <f>"378.2 WHI"</f>
        <v>378.2 WHI</v>
      </c>
      <c r="B2235" t="str">
        <f>"Texas Medical Jurisprudence Exam: a conc"</f>
        <v>Texas Medical Jurisprudence Exam: a conc</v>
      </c>
      <c r="C2235">
        <v>290495</v>
      </c>
      <c r="D2235" t="str">
        <f>"White, Ben"</f>
        <v>White, Ben</v>
      </c>
      <c r="F2235" t="str">
        <f>"83 p."</f>
        <v>83 p.</v>
      </c>
      <c r="G2235" s="1">
        <v>16</v>
      </c>
      <c r="H2235">
        <v>2016</v>
      </c>
      <c r="I2235" t="str">
        <f t="shared" si="88"/>
        <v>9: 300 - 399</v>
      </c>
      <c r="K2235" t="str">
        <f t="shared" si="90"/>
        <v>WB - In</v>
      </c>
      <c r="L2235" s="1">
        <v>21</v>
      </c>
      <c r="M2235" t="s">
        <v>2070</v>
      </c>
      <c r="O2235" t="s">
        <v>28</v>
      </c>
      <c r="P2235">
        <v>1</v>
      </c>
      <c r="Q2235">
        <v>0</v>
      </c>
      <c r="R2235">
        <v>1</v>
      </c>
      <c r="S2235" s="2">
        <v>42628</v>
      </c>
      <c r="T2235" s="2">
        <v>42639</v>
      </c>
      <c r="U2235" s="2">
        <v>43367</v>
      </c>
    </row>
    <row r="2236" spans="1:22" x14ac:dyDescent="0.2">
      <c r="A2236" t="str">
        <f>"378.2 WIS"</f>
        <v>378.2 WIS</v>
      </c>
      <c r="B2236" t="str">
        <f>"Barron's guide to medical and dental sch"</f>
        <v>Barron's guide to medical and dental sch</v>
      </c>
      <c r="C2236">
        <v>256883</v>
      </c>
      <c r="D2236" t="str">
        <f>"Wischnitzer, Saul"</f>
        <v>Wischnitzer, Saul</v>
      </c>
      <c r="F2236" t="str">
        <f>"748 p."</f>
        <v>748 p.</v>
      </c>
      <c r="H2236">
        <v>2012</v>
      </c>
      <c r="I2236" t="str">
        <f t="shared" si="88"/>
        <v>9: 300 - 399</v>
      </c>
      <c r="K2236" t="str">
        <f t="shared" si="90"/>
        <v>WB - In</v>
      </c>
      <c r="L2236" s="1">
        <v>24</v>
      </c>
      <c r="M2236" t="s">
        <v>2071</v>
      </c>
      <c r="O2236" t="s">
        <v>28</v>
      </c>
      <c r="P2236">
        <v>6</v>
      </c>
      <c r="Q2236">
        <v>0</v>
      </c>
      <c r="R2236">
        <v>24</v>
      </c>
      <c r="S2236" s="2">
        <v>41039</v>
      </c>
      <c r="T2236" s="2">
        <v>41053</v>
      </c>
      <c r="U2236" s="2">
        <v>43604</v>
      </c>
      <c r="V2236" s="2">
        <v>41915</v>
      </c>
    </row>
    <row r="2237" spans="1:22" x14ac:dyDescent="0.2">
      <c r="A2237" t="str">
        <f>"378.3 BEN"</f>
        <v>378.3 BEN</v>
      </c>
      <c r="B2237" t="str">
        <f>"Is college worth it?: a former United St"</f>
        <v>Is college worth it?: a former United St</v>
      </c>
      <c r="C2237">
        <v>313979</v>
      </c>
      <c r="D2237" t="str">
        <f>"Bennett, William J."</f>
        <v>Bennett, William J.</v>
      </c>
      <c r="F2237" t="str">
        <f>"xvi, 278 p., 21 cm., ill."</f>
        <v>xvi, 278 p., 21 cm., ill.</v>
      </c>
      <c r="G2237" s="1">
        <v>13</v>
      </c>
      <c r="H2237">
        <v>2013</v>
      </c>
      <c r="I2237" t="str">
        <f t="shared" si="88"/>
        <v>9: 300 - 399</v>
      </c>
      <c r="K2237" t="str">
        <f t="shared" si="90"/>
        <v>WB - In</v>
      </c>
      <c r="L2237" s="1">
        <v>28</v>
      </c>
      <c r="M2237" t="s">
        <v>2072</v>
      </c>
      <c r="O2237" t="s">
        <v>28</v>
      </c>
      <c r="P2237">
        <v>2</v>
      </c>
      <c r="Q2237">
        <v>0</v>
      </c>
      <c r="R2237">
        <v>15</v>
      </c>
      <c r="S2237" s="2">
        <v>41404</v>
      </c>
      <c r="T2237" s="2">
        <v>41745</v>
      </c>
      <c r="U2237" s="2">
        <v>43554</v>
      </c>
      <c r="V2237" s="2">
        <v>41502</v>
      </c>
    </row>
    <row r="2238" spans="1:22" x14ac:dyDescent="0.2">
      <c r="A2238" t="str">
        <f>"378.3 BES"</f>
        <v>378.3 BES</v>
      </c>
      <c r="B2238" t="str">
        <f>"best way to save for college: a complete"</f>
        <v>best way to save for college: a complete</v>
      </c>
      <c r="C2238">
        <v>334973</v>
      </c>
      <c r="D2238" t="str">
        <f>"Hurley, Joseph F."</f>
        <v>Hurley, Joseph F.</v>
      </c>
      <c r="F2238" t="str">
        <f>"191 p."</f>
        <v>191 p.</v>
      </c>
      <c r="G2238" s="1">
        <v>16</v>
      </c>
      <c r="H2238">
        <v>2015</v>
      </c>
      <c r="I2238" t="str">
        <f t="shared" si="88"/>
        <v>9: 300 - 399</v>
      </c>
      <c r="K2238" t="str">
        <f t="shared" si="90"/>
        <v>WB - In</v>
      </c>
      <c r="L2238" s="1">
        <v>35</v>
      </c>
      <c r="M2238" t="s">
        <v>2073</v>
      </c>
      <c r="O2238" t="s">
        <v>28</v>
      </c>
      <c r="P2238">
        <v>2</v>
      </c>
      <c r="Q2238">
        <v>0</v>
      </c>
      <c r="R2238">
        <v>5</v>
      </c>
      <c r="S2238" s="2">
        <v>42501</v>
      </c>
      <c r="T2238" s="2">
        <v>42510</v>
      </c>
      <c r="U2238" s="2">
        <v>43604</v>
      </c>
    </row>
    <row r="2239" spans="1:22" x14ac:dyDescent="0.2">
      <c r="A2239" t="str">
        <f>"378.3 CHA"</f>
        <v>378.3 CHA</v>
      </c>
      <c r="B2239" t="str">
        <f>"Princeton Review: paying for college wit"</f>
        <v>Princeton Review: paying for college wit</v>
      </c>
      <c r="C2239">
        <v>296983</v>
      </c>
      <c r="D2239" t="str">
        <f>"Chany, Kalman A."</f>
        <v>Chany, Kalman A.</v>
      </c>
      <c r="F2239" t="str">
        <f>"xxi, 330 pages, 26 cm, illustrations"</f>
        <v>xxi, 330 pages, 26 cm, illustrations</v>
      </c>
      <c r="G2239" s="1">
        <v>17</v>
      </c>
      <c r="H2239">
        <v>2017</v>
      </c>
      <c r="I2239" t="str">
        <f t="shared" si="88"/>
        <v>9: 300 - 399</v>
      </c>
      <c r="K2239" t="str">
        <f t="shared" si="90"/>
        <v>WB - In</v>
      </c>
      <c r="L2239" s="1">
        <v>27</v>
      </c>
      <c r="M2239" t="s">
        <v>2074</v>
      </c>
      <c r="O2239" t="s">
        <v>28</v>
      </c>
      <c r="P2239">
        <v>5</v>
      </c>
      <c r="Q2239">
        <v>2</v>
      </c>
      <c r="R2239">
        <v>7</v>
      </c>
      <c r="S2239" s="2">
        <v>43005</v>
      </c>
      <c r="T2239" s="2">
        <v>43012</v>
      </c>
      <c r="U2239" s="2">
        <v>43643</v>
      </c>
      <c r="V2239" s="2">
        <v>43352</v>
      </c>
    </row>
    <row r="2240" spans="1:22" x14ac:dyDescent="0.2">
      <c r="A2240" t="str">
        <f>"378.3 COL"</f>
        <v>378.3 COL</v>
      </c>
      <c r="B2240" t="str">
        <f>"2018 getting financial aid"</f>
        <v>2018 getting financial aid</v>
      </c>
      <c r="C2240">
        <v>342195</v>
      </c>
      <c r="F2240" t="str">
        <f>"999 p."</f>
        <v>999 p.</v>
      </c>
      <c r="G2240" s="1">
        <v>17</v>
      </c>
      <c r="H2240">
        <v>2017</v>
      </c>
      <c r="I2240" t="str">
        <f t="shared" si="88"/>
        <v>9: 300 - 399</v>
      </c>
      <c r="K2240" t="str">
        <f>"LL - In"</f>
        <v>LL - In</v>
      </c>
      <c r="L2240" s="1">
        <v>29</v>
      </c>
      <c r="M2240" t="s">
        <v>2075</v>
      </c>
      <c r="O2240" t="s">
        <v>28</v>
      </c>
      <c r="P2240">
        <v>5</v>
      </c>
      <c r="Q2240">
        <v>1</v>
      </c>
      <c r="R2240">
        <v>6</v>
      </c>
      <c r="S2240" s="2">
        <v>42929</v>
      </c>
      <c r="T2240" s="2">
        <v>42935</v>
      </c>
      <c r="U2240" s="2">
        <v>43757</v>
      </c>
      <c r="V2240" s="2">
        <v>43407</v>
      </c>
    </row>
    <row r="2241" spans="1:22" x14ac:dyDescent="0.2">
      <c r="A2241" t="str">
        <f>"378.3 ELL"</f>
        <v>378.3 ELL</v>
      </c>
      <c r="B2241" t="str">
        <f>"Confessions of a scholarship winner: the"</f>
        <v>Confessions of a scholarship winner: the</v>
      </c>
      <c r="C2241">
        <v>318369</v>
      </c>
      <c r="D2241" t="str">
        <f>"Ellis, Kristina."</f>
        <v>Ellis, Kristina.</v>
      </c>
      <c r="F2241" t="str">
        <f>"215 p., 21 cm"</f>
        <v>215 p., 21 cm</v>
      </c>
      <c r="G2241" s="1">
        <v>13</v>
      </c>
      <c r="H2241">
        <v>2013</v>
      </c>
      <c r="I2241" t="str">
        <f t="shared" si="88"/>
        <v>9: 300 - 399</v>
      </c>
      <c r="K2241" t="str">
        <f>"LL - In"</f>
        <v>LL - In</v>
      </c>
      <c r="L2241" s="1">
        <v>20</v>
      </c>
      <c r="M2241" t="s">
        <v>2076</v>
      </c>
      <c r="O2241" t="s">
        <v>28</v>
      </c>
      <c r="P2241">
        <v>7</v>
      </c>
      <c r="Q2241">
        <v>0</v>
      </c>
      <c r="R2241">
        <v>26</v>
      </c>
      <c r="S2241" s="2">
        <v>41613</v>
      </c>
      <c r="T2241" s="2">
        <v>42269</v>
      </c>
      <c r="U2241" s="2">
        <v>43658</v>
      </c>
      <c r="V2241" s="2">
        <v>42492</v>
      </c>
    </row>
    <row r="2242" spans="1:22" x14ac:dyDescent="0.2">
      <c r="A2242" t="str">
        <f>"378.3 ELL"</f>
        <v>378.3 ELL</v>
      </c>
      <c r="B2242" t="str">
        <f>"Confessions of a scholarship winner: the"</f>
        <v>Confessions of a scholarship winner: the</v>
      </c>
      <c r="C2242">
        <v>322166</v>
      </c>
      <c r="D2242" t="str">
        <f>"Ellis, Kristina."</f>
        <v>Ellis, Kristina.</v>
      </c>
      <c r="F2242" t="str">
        <f>"215 p., 21 cm"</f>
        <v>215 p., 21 cm</v>
      </c>
      <c r="G2242" s="1">
        <v>14</v>
      </c>
      <c r="H2242">
        <v>2013</v>
      </c>
      <c r="I2242" t="str">
        <f t="shared" si="88"/>
        <v>9: 300 - 399</v>
      </c>
      <c r="K2242" t="str">
        <f>"WB - Out"</f>
        <v>WB - Out</v>
      </c>
      <c r="L2242" s="1">
        <v>20</v>
      </c>
      <c r="M2242" t="s">
        <v>2076</v>
      </c>
      <c r="O2242" t="s">
        <v>28</v>
      </c>
      <c r="P2242">
        <v>7</v>
      </c>
      <c r="Q2242">
        <v>1</v>
      </c>
      <c r="R2242">
        <v>23</v>
      </c>
      <c r="S2242" s="2">
        <v>41821</v>
      </c>
      <c r="T2242" s="2">
        <v>41828</v>
      </c>
      <c r="U2242" s="2">
        <v>43857</v>
      </c>
      <c r="V2242" s="2">
        <v>43128</v>
      </c>
    </row>
    <row r="2243" spans="1:22" x14ac:dyDescent="0.2">
      <c r="A2243" t="str">
        <f>"378.3 FOO"</f>
        <v>378.3 FOO</v>
      </c>
      <c r="B2243" t="str">
        <f>"How you can maximize student aid: strate"</f>
        <v>How you can maximize student aid: strate</v>
      </c>
      <c r="C2243">
        <v>321200</v>
      </c>
      <c r="D2243" t="str">
        <f>"Foote, Tracy."</f>
        <v>Foote, Tracy.</v>
      </c>
      <c r="F2243" t="str">
        <f>"x, 166 p., 23 cm, ill."</f>
        <v>x, 166 p., 23 cm, ill.</v>
      </c>
      <c r="G2243" s="1">
        <v>14</v>
      </c>
      <c r="H2243">
        <v>2012</v>
      </c>
      <c r="I2243" t="str">
        <f t="shared" si="88"/>
        <v>9: 300 - 399</v>
      </c>
      <c r="K2243" t="str">
        <f>"WB - In"</f>
        <v>WB - In</v>
      </c>
      <c r="L2243" s="1">
        <v>30</v>
      </c>
      <c r="M2243" t="s">
        <v>2077</v>
      </c>
      <c r="O2243" t="s">
        <v>28</v>
      </c>
      <c r="P2243">
        <v>2</v>
      </c>
      <c r="Q2243">
        <v>0</v>
      </c>
      <c r="R2243">
        <v>19</v>
      </c>
      <c r="S2243" s="2">
        <v>41764</v>
      </c>
      <c r="T2243" s="2">
        <v>41766</v>
      </c>
      <c r="U2243" s="2">
        <v>43512</v>
      </c>
      <c r="V2243" s="2">
        <v>42448</v>
      </c>
    </row>
    <row r="2244" spans="1:22" x14ac:dyDescent="0.2">
      <c r="A2244" t="str">
        <f>"378.3 FRA"</f>
        <v>378.3 FRA</v>
      </c>
      <c r="B2244" t="str">
        <f>"Colleges that change futures: 50 schools"</f>
        <v>Colleges that change futures: 50 schools</v>
      </c>
      <c r="C2244">
        <v>342743</v>
      </c>
      <c r="D2244" t="str">
        <f>"Franek, Robert"</f>
        <v>Franek, Robert</v>
      </c>
      <c r="F2244" t="str">
        <f>"x, 341 pages, 21 cm"</f>
        <v>x, 341 pages, 21 cm</v>
      </c>
      <c r="G2244" s="1">
        <v>17</v>
      </c>
      <c r="H2244">
        <v>2017</v>
      </c>
      <c r="I2244" t="str">
        <f t="shared" si="88"/>
        <v>9: 300 - 399</v>
      </c>
      <c r="K2244" t="str">
        <f>"LL - In"</f>
        <v>LL - In</v>
      </c>
      <c r="L2244" s="1">
        <v>20</v>
      </c>
      <c r="M2244" t="s">
        <v>2078</v>
      </c>
      <c r="O2244" t="s">
        <v>28</v>
      </c>
      <c r="P2244">
        <v>2</v>
      </c>
      <c r="Q2244">
        <v>2</v>
      </c>
      <c r="R2244">
        <v>4</v>
      </c>
      <c r="S2244" s="2">
        <v>42947</v>
      </c>
      <c r="T2244" s="2">
        <v>42961</v>
      </c>
      <c r="U2244" s="2">
        <v>43801</v>
      </c>
      <c r="V2244" s="2">
        <v>43166</v>
      </c>
    </row>
    <row r="2245" spans="1:22" x14ac:dyDescent="0.2">
      <c r="A2245" t="str">
        <f>"378.3 FRA"</f>
        <v>378.3 FRA</v>
      </c>
      <c r="B2245" t="str">
        <f>"Colleges that pay you back: the 200 scho"</f>
        <v>Colleges that pay you back: the 200 scho</v>
      </c>
      <c r="C2245">
        <v>342744</v>
      </c>
      <c r="D2245" t="str">
        <f>"Franek, Robert"</f>
        <v>Franek, Robert</v>
      </c>
      <c r="F2245" t="str">
        <f>"467 pages, 27 cm"</f>
        <v>467 pages, 27 cm</v>
      </c>
      <c r="G2245" s="1">
        <v>17</v>
      </c>
      <c r="H2245">
        <v>2017</v>
      </c>
      <c r="I2245" t="str">
        <f t="shared" si="88"/>
        <v>9: 300 - 399</v>
      </c>
      <c r="K2245" t="str">
        <f>"LL - In"</f>
        <v>LL - In</v>
      </c>
      <c r="L2245" s="1">
        <v>27</v>
      </c>
      <c r="M2245" t="s">
        <v>2079</v>
      </c>
      <c r="O2245" t="s">
        <v>28</v>
      </c>
      <c r="P2245">
        <v>6</v>
      </c>
      <c r="Q2245">
        <v>0</v>
      </c>
      <c r="R2245">
        <v>6</v>
      </c>
      <c r="S2245" s="2">
        <v>42947</v>
      </c>
      <c r="T2245" s="2">
        <v>42989</v>
      </c>
      <c r="U2245" s="2">
        <v>43627</v>
      </c>
    </row>
    <row r="2246" spans="1:22" x14ac:dyDescent="0.2">
      <c r="A2246" t="str">
        <f>"378.3 GOL"</f>
        <v>378.3 GOL</v>
      </c>
      <c r="B2246" t="str">
        <f>"Paying the price: college costs, financi"</f>
        <v>Paying the price: college costs, financi</v>
      </c>
      <c r="C2246">
        <v>337694</v>
      </c>
      <c r="D2246" t="str">
        <f>"Goldrick-Rab, Sara"</f>
        <v>Goldrick-Rab, Sara</v>
      </c>
      <c r="F2246" t="str">
        <f>"373 p., 24 cm, illustrations"</f>
        <v>373 p., 24 cm, illustrations</v>
      </c>
      <c r="G2246" s="1">
        <v>16</v>
      </c>
      <c r="H2246">
        <v>2016</v>
      </c>
      <c r="I2246" t="str">
        <f t="shared" si="88"/>
        <v>9: 300 - 399</v>
      </c>
      <c r="K2246" t="str">
        <f>"WB - In"</f>
        <v>WB - In</v>
      </c>
      <c r="L2246" s="1">
        <v>33</v>
      </c>
      <c r="M2246" t="s">
        <v>2080</v>
      </c>
      <c r="O2246" t="s">
        <v>28</v>
      </c>
      <c r="P2246">
        <v>3</v>
      </c>
      <c r="Q2246">
        <v>0</v>
      </c>
      <c r="R2246">
        <v>5</v>
      </c>
      <c r="S2246" s="2">
        <v>42646</v>
      </c>
      <c r="T2246" s="2">
        <v>42849</v>
      </c>
      <c r="U2246" s="2">
        <v>43416</v>
      </c>
    </row>
    <row r="2247" spans="1:22" x14ac:dyDescent="0.2">
      <c r="A2247" t="str">
        <f>"378.3 KAN"</f>
        <v>378.3 KAN</v>
      </c>
      <c r="B2247" t="str">
        <f>"How to appeal for more financial aid: th"</f>
        <v>How to appeal for more financial aid: th</v>
      </c>
      <c r="C2247">
        <v>352721</v>
      </c>
      <c r="D2247" t="str">
        <f>"Kantrowitz, Mark."</f>
        <v>Kantrowitz, Mark.</v>
      </c>
      <c r="F2247" t="str">
        <f>"250 p."</f>
        <v>250 p.</v>
      </c>
      <c r="G2247" s="1">
        <v>19</v>
      </c>
      <c r="H2247">
        <v>2019</v>
      </c>
      <c r="I2247" t="str">
        <f t="shared" si="88"/>
        <v>9: 300 - 399</v>
      </c>
      <c r="K2247" t="str">
        <f>"WB - In"</f>
        <v>WB - In</v>
      </c>
      <c r="L2247" s="1">
        <v>25</v>
      </c>
      <c r="M2247" t="s">
        <v>2081</v>
      </c>
      <c r="O2247" t="s">
        <v>28</v>
      </c>
      <c r="P2247">
        <v>2</v>
      </c>
      <c r="Q2247">
        <v>0</v>
      </c>
      <c r="R2247">
        <v>2</v>
      </c>
      <c r="S2247" s="2">
        <v>43500</v>
      </c>
      <c r="T2247" s="2">
        <v>43525</v>
      </c>
      <c r="U2247" s="2">
        <v>43658</v>
      </c>
    </row>
    <row r="2248" spans="1:22" x14ac:dyDescent="0.2">
      <c r="A2248" t="str">
        <f>"378.3 ONE"</f>
        <v>378.3 ONE</v>
      </c>
      <c r="B2248" t="str">
        <f>"graduate survival guide: 5 mistakes you "</f>
        <v xml:space="preserve">graduate survival guide: 5 mistakes you </v>
      </c>
      <c r="C2248">
        <v>342754</v>
      </c>
      <c r="D2248" t="str">
        <f>"ONeal, Anthony"</f>
        <v>ONeal, Anthony</v>
      </c>
      <c r="F2248" t="str">
        <f>"xiv, 112 pages, 21 cm, illustrations (color), 1 DVD (sound, color ; 4 3/4 in.)"</f>
        <v>xiv, 112 pages, 21 cm, illustrations (color), 1 DVD (sound, color ; 4 3/4 in.)</v>
      </c>
      <c r="G2248" s="1">
        <v>17</v>
      </c>
      <c r="H2248">
        <v>2017</v>
      </c>
      <c r="I2248" t="str">
        <f t="shared" ref="I2248:I2311" si="91">"9: 300 - 399"</f>
        <v>9: 300 - 399</v>
      </c>
      <c r="K2248" t="str">
        <f>"WB - In"</f>
        <v>WB - In</v>
      </c>
      <c r="L2248" s="1">
        <v>25</v>
      </c>
      <c r="M2248" t="s">
        <v>2082</v>
      </c>
      <c r="O2248" t="s">
        <v>28</v>
      </c>
      <c r="P2248">
        <v>4</v>
      </c>
      <c r="Q2248">
        <v>0</v>
      </c>
      <c r="R2248">
        <v>4</v>
      </c>
      <c r="S2248" s="2">
        <v>42947</v>
      </c>
      <c r="T2248" s="2">
        <v>42961</v>
      </c>
      <c r="U2248" s="2">
        <v>43416</v>
      </c>
    </row>
    <row r="2249" spans="1:22" x14ac:dyDescent="0.2">
      <c r="A2249" t="str">
        <f t="shared" ref="A2249:A2255" si="92">"378.3 PET"</f>
        <v>378.3 PET</v>
      </c>
      <c r="B2249" t="str">
        <f>"Peterson's how to get money for college "</f>
        <v xml:space="preserve">Peterson's how to get money for college </v>
      </c>
      <c r="C2249">
        <v>343127</v>
      </c>
      <c r="F2249" t="str">
        <f>"vii. 935 p."</f>
        <v>vii. 935 p.</v>
      </c>
      <c r="G2249" s="1">
        <v>17</v>
      </c>
      <c r="H2249">
        <v>2017</v>
      </c>
      <c r="I2249" t="str">
        <f t="shared" si="91"/>
        <v>9: 300 - 399</v>
      </c>
      <c r="K2249" t="str">
        <f>"WB - In"</f>
        <v>WB - In</v>
      </c>
      <c r="L2249" s="1">
        <v>35</v>
      </c>
      <c r="M2249" t="s">
        <v>2083</v>
      </c>
      <c r="O2249" t="s">
        <v>28</v>
      </c>
      <c r="P2249">
        <v>5</v>
      </c>
      <c r="Q2249">
        <v>0</v>
      </c>
      <c r="R2249">
        <v>5</v>
      </c>
      <c r="S2249" s="2">
        <v>42970</v>
      </c>
      <c r="T2249" s="2">
        <v>42976</v>
      </c>
      <c r="U2249" s="2">
        <v>43148</v>
      </c>
    </row>
    <row r="2250" spans="1:22" x14ac:dyDescent="0.2">
      <c r="A2250" t="str">
        <f t="shared" si="92"/>
        <v>378.3 PET</v>
      </c>
      <c r="B2250" t="str">
        <f>"Peterson's how to get money for college "</f>
        <v xml:space="preserve">Peterson's how to get money for college </v>
      </c>
      <c r="C2250">
        <v>349365</v>
      </c>
      <c r="F2250" t="str">
        <f>"vii. 935 p."</f>
        <v>vii. 935 p.</v>
      </c>
      <c r="G2250" s="1">
        <v>18</v>
      </c>
      <c r="H2250">
        <v>2019</v>
      </c>
      <c r="I2250" t="str">
        <f t="shared" si="91"/>
        <v>9: 300 - 399</v>
      </c>
      <c r="K2250" t="str">
        <f>"WB - In"</f>
        <v>WB - In</v>
      </c>
      <c r="L2250" s="1">
        <v>35</v>
      </c>
      <c r="M2250" t="s">
        <v>2084</v>
      </c>
      <c r="O2250" t="s">
        <v>28</v>
      </c>
      <c r="P2250">
        <v>0</v>
      </c>
      <c r="Q2250">
        <v>0</v>
      </c>
      <c r="R2250">
        <v>0</v>
      </c>
      <c r="S2250" s="2">
        <v>43340</v>
      </c>
      <c r="T2250" s="2">
        <v>43357</v>
      </c>
    </row>
    <row r="2251" spans="1:22" x14ac:dyDescent="0.2">
      <c r="A2251" t="str">
        <f t="shared" si="92"/>
        <v>378.3 PET</v>
      </c>
      <c r="B2251" t="str">
        <f>"Peterson's how to get money for college "</f>
        <v xml:space="preserve">Peterson's how to get money for college </v>
      </c>
      <c r="C2251">
        <v>349366</v>
      </c>
      <c r="F2251" t="str">
        <f>"vii. 935 p."</f>
        <v>vii. 935 p.</v>
      </c>
      <c r="G2251" s="1">
        <v>18</v>
      </c>
      <c r="H2251">
        <v>2019</v>
      </c>
      <c r="I2251" t="str">
        <f t="shared" si="91"/>
        <v>9: 300 - 399</v>
      </c>
      <c r="K2251" t="str">
        <f>"LL - In"</f>
        <v>LL - In</v>
      </c>
      <c r="L2251" s="1">
        <v>35</v>
      </c>
      <c r="M2251" t="s">
        <v>2084</v>
      </c>
      <c r="O2251" t="s">
        <v>28</v>
      </c>
      <c r="P2251">
        <v>4</v>
      </c>
      <c r="Q2251">
        <v>0</v>
      </c>
      <c r="R2251">
        <v>4</v>
      </c>
      <c r="S2251" s="2">
        <v>43340</v>
      </c>
      <c r="T2251" s="2">
        <v>43357</v>
      </c>
      <c r="U2251" s="2">
        <v>43627</v>
      </c>
    </row>
    <row r="2252" spans="1:22" x14ac:dyDescent="0.2">
      <c r="A2252" t="str">
        <f t="shared" si="92"/>
        <v>378.3 PET</v>
      </c>
      <c r="B2252" t="str">
        <f>"Peterson's how to get money for college "</f>
        <v xml:space="preserve">Peterson's how to get money for college </v>
      </c>
      <c r="C2252">
        <v>358673</v>
      </c>
      <c r="F2252" t="str">
        <f>"vii. 935 p."</f>
        <v>vii. 935 p.</v>
      </c>
      <c r="G2252" s="1">
        <v>18</v>
      </c>
      <c r="H2252">
        <v>2020</v>
      </c>
      <c r="I2252" t="str">
        <f t="shared" si="91"/>
        <v>9: 300 - 399</v>
      </c>
      <c r="K2252" t="str">
        <f>"WB - Out"</f>
        <v>WB - Out</v>
      </c>
      <c r="L2252" s="1">
        <v>35</v>
      </c>
      <c r="M2252" t="s">
        <v>2085</v>
      </c>
      <c r="O2252" t="s">
        <v>28</v>
      </c>
      <c r="P2252">
        <v>2</v>
      </c>
      <c r="Q2252">
        <v>0</v>
      </c>
      <c r="R2252">
        <v>2</v>
      </c>
      <c r="S2252" s="2">
        <v>43764</v>
      </c>
      <c r="T2252" s="2">
        <v>43769</v>
      </c>
      <c r="U2252" s="2">
        <v>43857</v>
      </c>
    </row>
    <row r="2253" spans="1:22" x14ac:dyDescent="0.2">
      <c r="A2253" t="str">
        <f t="shared" si="92"/>
        <v>378.3 PET</v>
      </c>
      <c r="B2253" t="str">
        <f>"Peterson's how to get money for college "</f>
        <v xml:space="preserve">Peterson's how to get money for college </v>
      </c>
      <c r="C2253">
        <v>358674</v>
      </c>
      <c r="F2253" t="str">
        <f>"vii. 935 p."</f>
        <v>vii. 935 p.</v>
      </c>
      <c r="G2253" s="1">
        <v>19</v>
      </c>
      <c r="H2253">
        <v>2020</v>
      </c>
      <c r="I2253" t="str">
        <f t="shared" si="91"/>
        <v>9: 300 - 399</v>
      </c>
      <c r="K2253" t="str">
        <f>"LL - In"</f>
        <v>LL - In</v>
      </c>
      <c r="L2253" s="1">
        <v>35</v>
      </c>
      <c r="M2253" t="s">
        <v>2085</v>
      </c>
      <c r="O2253" t="s">
        <v>28</v>
      </c>
      <c r="P2253">
        <v>1</v>
      </c>
      <c r="Q2253">
        <v>0</v>
      </c>
      <c r="R2253">
        <v>1</v>
      </c>
      <c r="S2253" s="2">
        <v>43764</v>
      </c>
      <c r="T2253" s="2">
        <v>43769</v>
      </c>
      <c r="U2253" s="2">
        <v>43775</v>
      </c>
    </row>
    <row r="2254" spans="1:22" x14ac:dyDescent="0.2">
      <c r="A2254" t="str">
        <f t="shared" si="92"/>
        <v>378.3 PET</v>
      </c>
      <c r="B2254" t="str">
        <f>"Peterson's scholarships, grants, &amp; prize"</f>
        <v>Peterson's scholarships, grants, &amp; prize</v>
      </c>
      <c r="C2254">
        <v>358998</v>
      </c>
      <c r="F2254" t="str">
        <f>"1115 p."</f>
        <v>1115 p.</v>
      </c>
      <c r="G2254" s="1">
        <v>19</v>
      </c>
      <c r="H2254">
        <v>2020</v>
      </c>
      <c r="I2254" t="str">
        <f t="shared" si="91"/>
        <v>9: 300 - 399</v>
      </c>
      <c r="K2254" t="str">
        <f>"WB - Out"</f>
        <v>WB - Out</v>
      </c>
      <c r="L2254" s="1">
        <v>39</v>
      </c>
      <c r="M2254" t="s">
        <v>2086</v>
      </c>
      <c r="O2254" t="s">
        <v>28</v>
      </c>
      <c r="P2254">
        <v>1</v>
      </c>
      <c r="Q2254">
        <v>0</v>
      </c>
      <c r="R2254">
        <v>1</v>
      </c>
      <c r="S2254" s="2">
        <v>43811</v>
      </c>
      <c r="T2254" s="2">
        <v>43819</v>
      </c>
      <c r="U2254" s="2">
        <v>43857</v>
      </c>
    </row>
    <row r="2255" spans="1:22" x14ac:dyDescent="0.2">
      <c r="A2255" t="str">
        <f t="shared" si="92"/>
        <v>378.3 PET</v>
      </c>
      <c r="B2255" t="str">
        <f>"Peterson's scholarships, grants, &amp; prize"</f>
        <v>Peterson's scholarships, grants, &amp; prize</v>
      </c>
      <c r="C2255">
        <v>358999</v>
      </c>
      <c r="F2255" t="str">
        <f>"1115 p."</f>
        <v>1115 p.</v>
      </c>
      <c r="G2255" s="1">
        <v>19</v>
      </c>
      <c r="H2255">
        <v>2020</v>
      </c>
      <c r="I2255" t="str">
        <f t="shared" si="91"/>
        <v>9: 300 - 399</v>
      </c>
      <c r="K2255" t="str">
        <f>"LL - In"</f>
        <v>LL - In</v>
      </c>
      <c r="L2255" s="1">
        <v>39</v>
      </c>
      <c r="M2255" t="s">
        <v>2086</v>
      </c>
      <c r="O2255" t="s">
        <v>28</v>
      </c>
      <c r="P2255">
        <v>0</v>
      </c>
      <c r="Q2255">
        <v>0</v>
      </c>
      <c r="R2255">
        <v>0</v>
      </c>
      <c r="S2255" s="2">
        <v>43811</v>
      </c>
      <c r="T2255" s="2">
        <v>43819</v>
      </c>
    </row>
    <row r="2256" spans="1:22" x14ac:dyDescent="0.2">
      <c r="A2256" t="str">
        <f>"378.3 STA"</f>
        <v>378.3 STA</v>
      </c>
      <c r="B2256" t="str">
        <f>"financial aid handbook: getting the educ"</f>
        <v>financial aid handbook: getting the educ</v>
      </c>
      <c r="C2256">
        <v>321230</v>
      </c>
      <c r="D2256" t="str">
        <f>"Stack, Carol."</f>
        <v>Stack, Carol.</v>
      </c>
      <c r="F2256" t="str">
        <f>"286 p., 23 cm"</f>
        <v>286 p., 23 cm</v>
      </c>
      <c r="G2256" s="1">
        <v>14</v>
      </c>
      <c r="H2256">
        <v>2011</v>
      </c>
      <c r="I2256" t="str">
        <f t="shared" si="91"/>
        <v>9: 300 - 399</v>
      </c>
      <c r="K2256" t="str">
        <f>"WB - In"</f>
        <v>WB - In</v>
      </c>
      <c r="L2256" s="1">
        <v>22</v>
      </c>
      <c r="M2256" t="s">
        <v>2087</v>
      </c>
      <c r="O2256" t="s">
        <v>28</v>
      </c>
      <c r="P2256">
        <v>5</v>
      </c>
      <c r="Q2256">
        <v>1</v>
      </c>
      <c r="R2256">
        <v>17</v>
      </c>
      <c r="S2256" s="2">
        <v>41768</v>
      </c>
      <c r="T2256" s="2">
        <v>41772</v>
      </c>
      <c r="U2256" s="2">
        <v>43509</v>
      </c>
      <c r="V2256" s="2">
        <v>43085</v>
      </c>
    </row>
    <row r="2257" spans="1:22" x14ac:dyDescent="0.2">
      <c r="A2257" t="str">
        <f>"378.3 TAN"</f>
        <v>378.3 TAN</v>
      </c>
      <c r="B2257" t="str">
        <f>"501 ways for adult students to pay for c"</f>
        <v>501 ways for adult students to pay for c</v>
      </c>
      <c r="C2257">
        <v>328904</v>
      </c>
      <c r="D2257" t="str">
        <f>"Tanabe, Gen S."</f>
        <v>Tanabe, Gen S.</v>
      </c>
      <c r="F2257" t="str">
        <f>"288 pages, 23 cm, illustrations"</f>
        <v>288 pages, 23 cm, illustrations</v>
      </c>
      <c r="G2257" s="1">
        <v>15</v>
      </c>
      <c r="H2257">
        <v>2015</v>
      </c>
      <c r="I2257" t="str">
        <f t="shared" si="91"/>
        <v>9: 300 - 399</v>
      </c>
      <c r="K2257" t="str">
        <f>"WB - Out"</f>
        <v>WB - Out</v>
      </c>
      <c r="L2257" s="1">
        <v>23</v>
      </c>
      <c r="M2257" t="s">
        <v>2088</v>
      </c>
      <c r="O2257" t="s">
        <v>28</v>
      </c>
      <c r="P2257">
        <v>3</v>
      </c>
      <c r="Q2257">
        <v>0</v>
      </c>
      <c r="R2257">
        <v>3</v>
      </c>
      <c r="S2257" s="2">
        <v>42212</v>
      </c>
      <c r="T2257" s="2">
        <v>42219</v>
      </c>
      <c r="U2257" s="2">
        <v>43857</v>
      </c>
    </row>
    <row r="2258" spans="1:22" x14ac:dyDescent="0.2">
      <c r="A2258" t="str">
        <f>"378.3 TAN"</f>
        <v>378.3 TAN</v>
      </c>
      <c r="B2258" t="str">
        <f>"How to write a winning scholarship essay"</f>
        <v>How to write a winning scholarship essay</v>
      </c>
      <c r="C2258">
        <v>349077</v>
      </c>
      <c r="D2258" t="str">
        <f>"Tanabe, Gen S."</f>
        <v>Tanabe, Gen S.</v>
      </c>
      <c r="F2258" t="str">
        <f>"256 pages, 23 cm"</f>
        <v>256 pages, 23 cm</v>
      </c>
      <c r="G2258" s="1">
        <v>18</v>
      </c>
      <c r="H2258">
        <v>2018</v>
      </c>
      <c r="I2258" t="str">
        <f t="shared" si="91"/>
        <v>9: 300 - 399</v>
      </c>
      <c r="K2258" t="str">
        <f>"WB - Out"</f>
        <v>WB - Out</v>
      </c>
      <c r="L2258" s="1">
        <v>23</v>
      </c>
      <c r="M2258" t="s">
        <v>2089</v>
      </c>
      <c r="O2258" t="s">
        <v>28</v>
      </c>
      <c r="P2258">
        <v>5</v>
      </c>
      <c r="Q2258">
        <v>1</v>
      </c>
      <c r="R2258">
        <v>6</v>
      </c>
      <c r="S2258" s="2">
        <v>43312</v>
      </c>
      <c r="T2258" s="2">
        <v>43315</v>
      </c>
      <c r="U2258" s="2">
        <v>43857</v>
      </c>
      <c r="V2258" s="2">
        <v>43643</v>
      </c>
    </row>
    <row r="2259" spans="1:22" x14ac:dyDescent="0.2">
      <c r="A2259" t="str">
        <f>"378.3 TAN"</f>
        <v>378.3 TAN</v>
      </c>
      <c r="B2259" t="str">
        <f>"How to write a winning scholarship essay"</f>
        <v>How to write a winning scholarship essay</v>
      </c>
      <c r="C2259">
        <v>322688</v>
      </c>
      <c r="D2259" t="str">
        <f>"Tanabe, Gen S."</f>
        <v>Tanabe, Gen S.</v>
      </c>
      <c r="F2259" t="str">
        <f>"pages cm"</f>
        <v>pages cm</v>
      </c>
      <c r="G2259" s="1">
        <v>14</v>
      </c>
      <c r="H2259">
        <v>2014</v>
      </c>
      <c r="I2259" t="str">
        <f t="shared" si="91"/>
        <v>9: 300 - 399</v>
      </c>
      <c r="K2259" t="str">
        <f>"WB - Out"</f>
        <v>WB - Out</v>
      </c>
      <c r="L2259" s="1">
        <v>23</v>
      </c>
      <c r="M2259" t="s">
        <v>2090</v>
      </c>
      <c r="O2259" t="s">
        <v>28</v>
      </c>
      <c r="P2259">
        <v>12</v>
      </c>
      <c r="Q2259">
        <v>4</v>
      </c>
      <c r="R2259">
        <v>38</v>
      </c>
      <c r="S2259" s="2">
        <v>41848</v>
      </c>
      <c r="T2259" s="2">
        <v>42101</v>
      </c>
      <c r="U2259" s="2">
        <v>43857</v>
      </c>
      <c r="V2259" s="2">
        <v>43488</v>
      </c>
    </row>
    <row r="2260" spans="1:22" x14ac:dyDescent="0.2">
      <c r="A2260" t="str">
        <f>"378.3 ZIP"</f>
        <v>378.3 ZIP</v>
      </c>
      <c r="B2260" t="str">
        <f>"Graduate with zero debt: how to finish c"</f>
        <v>Graduate with zero debt: how to finish c</v>
      </c>
      <c r="C2260">
        <v>290690</v>
      </c>
      <c r="D2260" t="str">
        <f>"Ziporyn, Pallas Snider"</f>
        <v>Ziporyn, Pallas Snider</v>
      </c>
      <c r="F2260" t="str">
        <f>"280 p."</f>
        <v>280 p.</v>
      </c>
      <c r="G2260" s="1">
        <v>16</v>
      </c>
      <c r="H2260">
        <v>2015</v>
      </c>
      <c r="I2260" t="str">
        <f t="shared" si="91"/>
        <v>9: 300 - 399</v>
      </c>
      <c r="K2260" t="str">
        <f>"LL - In"</f>
        <v>LL - In</v>
      </c>
      <c r="L2260" s="1">
        <v>22</v>
      </c>
      <c r="M2260" t="s">
        <v>2091</v>
      </c>
      <c r="O2260" t="s">
        <v>28</v>
      </c>
      <c r="P2260">
        <v>3</v>
      </c>
      <c r="Q2260">
        <v>3</v>
      </c>
      <c r="R2260">
        <v>8</v>
      </c>
      <c r="S2260" s="2">
        <v>42635</v>
      </c>
      <c r="T2260" s="2">
        <v>42639</v>
      </c>
      <c r="U2260" s="2">
        <v>43651</v>
      </c>
      <c r="V2260" s="2">
        <v>43349</v>
      </c>
    </row>
    <row r="2261" spans="1:22" x14ac:dyDescent="0.2">
      <c r="A2261" t="str">
        <f>"379.2 DEL"</f>
        <v>379.2 DEL</v>
      </c>
      <c r="B2261" t="str">
        <f>"""Multiplication is for white people"": ra"</f>
        <v>"Multiplication is for white people": ra</v>
      </c>
      <c r="C2261">
        <v>306106</v>
      </c>
      <c r="D2261" t="str">
        <f>"Delpit, Lisa D."</f>
        <v>Delpit, Lisa D.</v>
      </c>
      <c r="F2261" t="str">
        <f>"224 p."</f>
        <v>224 p.</v>
      </c>
      <c r="G2261" s="1">
        <v>12</v>
      </c>
      <c r="H2261">
        <v>2011</v>
      </c>
      <c r="I2261" t="str">
        <f t="shared" si="91"/>
        <v>9: 300 - 399</v>
      </c>
      <c r="K2261" t="str">
        <f>"WB - In"</f>
        <v>WB - In</v>
      </c>
      <c r="L2261" s="1">
        <v>32</v>
      </c>
      <c r="M2261" t="s">
        <v>2092</v>
      </c>
      <c r="O2261" t="s">
        <v>28</v>
      </c>
      <c r="P2261">
        <v>1</v>
      </c>
      <c r="Q2261">
        <v>1</v>
      </c>
      <c r="R2261">
        <v>10</v>
      </c>
      <c r="S2261" s="2">
        <v>40984</v>
      </c>
      <c r="T2261" s="2">
        <v>41136</v>
      </c>
      <c r="U2261" s="2">
        <v>42842</v>
      </c>
      <c r="V2261" s="2">
        <v>43103</v>
      </c>
    </row>
    <row r="2262" spans="1:22" x14ac:dyDescent="0.2">
      <c r="A2262" t="str">
        <f>"379.2 GAT"</f>
        <v>379.2 GAT</v>
      </c>
      <c r="B2262" t="str">
        <f>"Weapons of mass instruction: a schooltea"</f>
        <v>Weapons of mass instruction: a schooltea</v>
      </c>
      <c r="C2262">
        <v>345206</v>
      </c>
      <c r="D2262" t="str">
        <f>"Gatto, John Taylor"</f>
        <v>Gatto, John Taylor</v>
      </c>
      <c r="F2262" t="str">
        <f>"xxiii, 214 p., 23 cm, ill."</f>
        <v>xxiii, 214 p., 23 cm, ill.</v>
      </c>
      <c r="G2262" s="1">
        <v>17</v>
      </c>
      <c r="H2262">
        <v>2010</v>
      </c>
      <c r="I2262" t="str">
        <f t="shared" si="91"/>
        <v>9: 300 - 399</v>
      </c>
      <c r="K2262" t="str">
        <f>"WB - In"</f>
        <v>WB - In</v>
      </c>
      <c r="L2262" s="1">
        <v>22</v>
      </c>
      <c r="M2262" t="s">
        <v>2093</v>
      </c>
      <c r="O2262" t="s">
        <v>28</v>
      </c>
      <c r="P2262">
        <v>5</v>
      </c>
      <c r="Q2262">
        <v>0</v>
      </c>
      <c r="R2262">
        <v>5</v>
      </c>
      <c r="S2262" s="2">
        <v>43087</v>
      </c>
      <c r="T2262" s="2">
        <v>43123</v>
      </c>
      <c r="U2262" s="2">
        <v>43332</v>
      </c>
    </row>
    <row r="2263" spans="1:22" x14ac:dyDescent="0.2">
      <c r="A2263" t="str">
        <f>"379.2 GAT"</f>
        <v>379.2 GAT</v>
      </c>
      <c r="B2263" t="str">
        <f>"Weapons of mass instruction: a schooltea"</f>
        <v>Weapons of mass instruction: a schooltea</v>
      </c>
      <c r="C2263">
        <v>403029</v>
      </c>
      <c r="D2263" t="str">
        <f>"Gatto, John Taylor"</f>
        <v>Gatto, John Taylor</v>
      </c>
      <c r="F2263" t="str">
        <f>"xxiii, 214 p., 23 cm, ill."</f>
        <v>xxiii, 214 p., 23 cm, ill.</v>
      </c>
      <c r="G2263" s="1">
        <v>18</v>
      </c>
      <c r="H2263">
        <v>2010</v>
      </c>
      <c r="I2263" t="str">
        <f t="shared" si="91"/>
        <v>9: 300 - 399</v>
      </c>
      <c r="K2263" t="str">
        <f>"LL - In"</f>
        <v>LL - In</v>
      </c>
      <c r="L2263" s="1">
        <v>22</v>
      </c>
      <c r="M2263" t="s">
        <v>2093</v>
      </c>
      <c r="O2263" t="s">
        <v>28</v>
      </c>
      <c r="P2263">
        <v>2</v>
      </c>
      <c r="Q2263">
        <v>0</v>
      </c>
      <c r="R2263">
        <v>2</v>
      </c>
      <c r="S2263" s="2">
        <v>43335</v>
      </c>
      <c r="T2263" s="2">
        <v>43357</v>
      </c>
      <c r="U2263" s="2">
        <v>43702</v>
      </c>
    </row>
    <row r="2264" spans="1:22" x14ac:dyDescent="0.2">
      <c r="A2264" t="str">
        <f>"379.2 SAN"</f>
        <v>379.2 SAN</v>
      </c>
      <c r="B2264" t="str">
        <f>"Mismatch: how affirmative action hurts s"</f>
        <v>Mismatch: how affirmative action hurts s</v>
      </c>
      <c r="C2264">
        <v>313087</v>
      </c>
      <c r="D2264" t="str">
        <f>"Sander, Richard Henry,"</f>
        <v>Sander, Richard Henry,</v>
      </c>
      <c r="F2264" t="str">
        <f>"xix, 348 p., 25 cm, ill."</f>
        <v>xix, 348 p., 25 cm, ill.</v>
      </c>
      <c r="G2264" s="1">
        <v>13</v>
      </c>
      <c r="H2264">
        <v>2012</v>
      </c>
      <c r="I2264" t="str">
        <f t="shared" si="91"/>
        <v>9: 300 - 399</v>
      </c>
      <c r="K2264" t="str">
        <f>"WB - In"</f>
        <v>WB - In</v>
      </c>
      <c r="L2264" s="1">
        <v>34</v>
      </c>
      <c r="M2264" t="s">
        <v>2094</v>
      </c>
      <c r="O2264" t="s">
        <v>28</v>
      </c>
      <c r="P2264">
        <v>0</v>
      </c>
      <c r="Q2264">
        <v>0</v>
      </c>
      <c r="R2264">
        <v>6</v>
      </c>
      <c r="S2264" s="2">
        <v>41359</v>
      </c>
      <c r="T2264" s="2">
        <v>41451</v>
      </c>
      <c r="U2264" s="2">
        <v>42639</v>
      </c>
    </row>
    <row r="2265" spans="1:22" x14ac:dyDescent="0.2">
      <c r="A2265" t="str">
        <f>"379.2 SHA"</f>
        <v>379.2 SHA</v>
      </c>
      <c r="B2265" t="str">
        <f>"Advancing democracy: African Americans a"</f>
        <v>Advancing democracy: African Americans a</v>
      </c>
      <c r="C2265">
        <v>343007</v>
      </c>
      <c r="D2265" t="str">
        <f>"Shabazz, Amilcar."</f>
        <v>Shabazz, Amilcar.</v>
      </c>
      <c r="F2265" t="str">
        <f>"xiii, 301 p., 25 cm, ill., map"</f>
        <v>xiii, 301 p., 25 cm, ill., map</v>
      </c>
      <c r="G2265" s="1">
        <v>17</v>
      </c>
      <c r="H2265">
        <v>2004</v>
      </c>
      <c r="I2265" t="str">
        <f t="shared" si="91"/>
        <v>9: 300 - 399</v>
      </c>
      <c r="K2265" t="str">
        <f>"WB - Out"</f>
        <v>WB - Out</v>
      </c>
      <c r="L2265" s="1">
        <v>45</v>
      </c>
      <c r="M2265" t="s">
        <v>2095</v>
      </c>
      <c r="O2265" t="s">
        <v>28</v>
      </c>
      <c r="P2265">
        <v>1</v>
      </c>
      <c r="Q2265">
        <v>0</v>
      </c>
      <c r="R2265">
        <v>1</v>
      </c>
      <c r="S2265" s="2">
        <v>42955</v>
      </c>
      <c r="T2265" s="2">
        <v>42961</v>
      </c>
      <c r="U2265" s="2">
        <v>43839</v>
      </c>
    </row>
    <row r="2266" spans="1:22" x14ac:dyDescent="0.2">
      <c r="A2266" t="str">
        <f>"379.2 WIL"</f>
        <v>379.2 WIL</v>
      </c>
      <c r="B2266" t="str">
        <f>"Ebony and ivy: race, slavery, and the tr"</f>
        <v>Ebony and ivy: race, slavery, and the tr</v>
      </c>
      <c r="C2266">
        <v>316688</v>
      </c>
      <c r="D2266" t="str">
        <f>"Wilder, Craig Steven."</f>
        <v>Wilder, Craig Steven.</v>
      </c>
      <c r="F2266" t="str">
        <f>"423 p."</f>
        <v>423 p.</v>
      </c>
      <c r="G2266" s="1">
        <v>13</v>
      </c>
      <c r="H2266">
        <v>2013</v>
      </c>
      <c r="I2266" t="str">
        <f t="shared" si="91"/>
        <v>9: 300 - 399</v>
      </c>
      <c r="K2266" t="str">
        <f>"WB - In"</f>
        <v>WB - In</v>
      </c>
      <c r="L2266" s="1">
        <v>35</v>
      </c>
      <c r="M2266" t="s">
        <v>2096</v>
      </c>
      <c r="O2266" t="s">
        <v>28</v>
      </c>
      <c r="P2266">
        <v>0</v>
      </c>
      <c r="Q2266">
        <v>0</v>
      </c>
      <c r="R2266">
        <v>3</v>
      </c>
      <c r="S2266" s="2">
        <v>41540</v>
      </c>
      <c r="T2266" s="2">
        <v>41605</v>
      </c>
      <c r="U2266" s="2">
        <v>42013</v>
      </c>
      <c r="V2266" s="2">
        <v>41547</v>
      </c>
    </row>
    <row r="2267" spans="1:22" x14ac:dyDescent="0.2">
      <c r="A2267" t="str">
        <f>"381 BUT"</f>
        <v>381 BUT</v>
      </c>
      <c r="B2267" t="str">
        <f>"life less throwaway: the lost art of buy"</f>
        <v>life less throwaway: the lost art of buy</v>
      </c>
      <c r="C2267">
        <v>348917</v>
      </c>
      <c r="D2267" t="str">
        <f>"Button, Tara"</f>
        <v>Button, Tara</v>
      </c>
      <c r="F2267" t="str">
        <f>"295 pages, 21 cm"</f>
        <v>295 pages, 21 cm</v>
      </c>
      <c r="G2267" s="1">
        <v>18</v>
      </c>
      <c r="H2267">
        <v>2018</v>
      </c>
      <c r="I2267" t="str">
        <f t="shared" si="91"/>
        <v>9: 300 - 399</v>
      </c>
      <c r="K2267" t="str">
        <f>"LL - In"</f>
        <v>LL - In</v>
      </c>
      <c r="L2267" s="1">
        <v>20</v>
      </c>
      <c r="M2267" t="s">
        <v>2097</v>
      </c>
      <c r="O2267" t="s">
        <v>28</v>
      </c>
      <c r="P2267">
        <v>10</v>
      </c>
      <c r="Q2267">
        <v>1</v>
      </c>
      <c r="R2267">
        <v>11</v>
      </c>
      <c r="S2267" s="2">
        <v>43304</v>
      </c>
      <c r="T2267" s="2">
        <v>43453</v>
      </c>
      <c r="U2267" s="2">
        <v>43702</v>
      </c>
      <c r="V2267" s="2">
        <v>43341</v>
      </c>
    </row>
    <row r="2268" spans="1:22" x14ac:dyDescent="0.2">
      <c r="A2268" t="str">
        <f>"381 HEL"</f>
        <v>381 HEL</v>
      </c>
      <c r="B2268" t="str">
        <f>"Protest politics in the marketplace: con"</f>
        <v>Protest politics in the marketplace: con</v>
      </c>
      <c r="C2268">
        <v>349896</v>
      </c>
      <c r="D2268" t="str">
        <f>"Heldman, Caroline,"</f>
        <v>Heldman, Caroline,</v>
      </c>
      <c r="F2268" t="str">
        <f>"xix, 287 pages, 23 cm, illustrations"</f>
        <v>xix, 287 pages, 23 cm, illustrations</v>
      </c>
      <c r="G2268" s="1">
        <v>18</v>
      </c>
      <c r="H2268">
        <v>2017</v>
      </c>
      <c r="I2268" t="str">
        <f t="shared" si="91"/>
        <v>9: 300 - 399</v>
      </c>
      <c r="K2268" t="str">
        <f>"LL - In"</f>
        <v>LL - In</v>
      </c>
      <c r="L2268" s="1">
        <v>33</v>
      </c>
      <c r="M2268" t="s">
        <v>2098</v>
      </c>
      <c r="O2268" t="s">
        <v>28</v>
      </c>
      <c r="P2268">
        <v>1</v>
      </c>
      <c r="Q2268">
        <v>0</v>
      </c>
      <c r="R2268">
        <v>1</v>
      </c>
      <c r="S2268" s="2">
        <v>43354</v>
      </c>
      <c r="T2268" s="2">
        <v>43360</v>
      </c>
      <c r="U2268" s="2">
        <v>43370</v>
      </c>
    </row>
    <row r="2269" spans="1:22" x14ac:dyDescent="0.2">
      <c r="A2269" t="str">
        <f>"381 RUH"</f>
        <v>381 RUH</v>
      </c>
      <c r="B2269" t="str">
        <f>"Grocery: the buying and selling of food "</f>
        <v xml:space="preserve">Grocery: the buying and selling of food </v>
      </c>
      <c r="C2269">
        <v>341609</v>
      </c>
      <c r="D2269" t="str">
        <f>"Ruhlman, Michael"</f>
        <v>Ruhlman, Michael</v>
      </c>
      <c r="F2269" t="str">
        <f>"307 pages, 23 cm"</f>
        <v>307 pages, 23 cm</v>
      </c>
      <c r="G2269" s="1">
        <v>17</v>
      </c>
      <c r="H2269">
        <v>2017</v>
      </c>
      <c r="I2269" t="str">
        <f t="shared" si="91"/>
        <v>9: 300 - 399</v>
      </c>
      <c r="K2269" t="str">
        <f>"WB - In"</f>
        <v>WB - In</v>
      </c>
      <c r="L2269" s="1">
        <v>33</v>
      </c>
      <c r="M2269" t="s">
        <v>2099</v>
      </c>
      <c r="O2269" t="s">
        <v>28</v>
      </c>
      <c r="P2269">
        <v>10</v>
      </c>
      <c r="Q2269">
        <v>1</v>
      </c>
      <c r="R2269">
        <v>11</v>
      </c>
      <c r="S2269" s="2">
        <v>42886</v>
      </c>
      <c r="T2269" s="2">
        <v>43082</v>
      </c>
      <c r="U2269" s="2">
        <v>43182</v>
      </c>
      <c r="V2269" s="2">
        <v>43108</v>
      </c>
    </row>
    <row r="2270" spans="1:22" x14ac:dyDescent="0.2">
      <c r="A2270" t="str">
        <f>"381 STA"</f>
        <v>381 STA</v>
      </c>
      <c r="B2270" t="str">
        <f>"Killer stuff and tons of money: seeking "</f>
        <v xml:space="preserve">Killer stuff and tons of money: seeking </v>
      </c>
      <c r="C2270">
        <v>300681</v>
      </c>
      <c r="D2270" t="str">
        <f>"Stanton, Maureen."</f>
        <v>Stanton, Maureen.</v>
      </c>
      <c r="F2270" t="str">
        <f>"326 p."</f>
        <v>326 p.</v>
      </c>
      <c r="G2270" s="1">
        <v>11</v>
      </c>
      <c r="H2270">
        <v>2011</v>
      </c>
      <c r="I2270" t="str">
        <f t="shared" si="91"/>
        <v>9: 300 - 399</v>
      </c>
      <c r="K2270" t="str">
        <f>"LL - In"</f>
        <v>LL - In</v>
      </c>
      <c r="L2270" s="1">
        <v>32</v>
      </c>
      <c r="M2270" t="s">
        <v>2100</v>
      </c>
      <c r="O2270" t="s">
        <v>28</v>
      </c>
      <c r="P2270">
        <v>1</v>
      </c>
      <c r="Q2270">
        <v>0</v>
      </c>
      <c r="R2270">
        <v>16</v>
      </c>
      <c r="S2270" s="2">
        <v>40703</v>
      </c>
      <c r="T2270" s="2">
        <v>41053</v>
      </c>
      <c r="U2270" s="2">
        <v>42776</v>
      </c>
    </row>
    <row r="2271" spans="1:22" x14ac:dyDescent="0.2">
      <c r="A2271" t="str">
        <f>"381 STO"</f>
        <v>381 STO</v>
      </c>
      <c r="B2271" t="str">
        <f>"everything store: Jeff Bezos and the age"</f>
        <v>everything store: Jeff Bezos and the age</v>
      </c>
      <c r="C2271">
        <v>356116</v>
      </c>
      <c r="D2271" t="str">
        <f>"Stone, Brad"</f>
        <v>Stone, Brad</v>
      </c>
      <c r="F2271" t="str">
        <f>"388 pages, 8 pages of unnumbered plates, 21 cm, illustrations"</f>
        <v>388 pages, 8 pages of unnumbered plates, 21 cm, illustrations</v>
      </c>
      <c r="G2271" s="1">
        <v>19</v>
      </c>
      <c r="H2271">
        <v>2014</v>
      </c>
      <c r="I2271" t="str">
        <f t="shared" si="91"/>
        <v>9: 300 - 399</v>
      </c>
      <c r="K2271" t="str">
        <f>"WB - In"</f>
        <v>WB - In</v>
      </c>
      <c r="L2271" s="1">
        <v>23</v>
      </c>
      <c r="M2271" t="s">
        <v>2101</v>
      </c>
      <c r="O2271" t="s">
        <v>28</v>
      </c>
      <c r="P2271">
        <v>1</v>
      </c>
      <c r="Q2271">
        <v>0</v>
      </c>
      <c r="R2271">
        <v>1</v>
      </c>
      <c r="S2271" s="2">
        <v>43655</v>
      </c>
      <c r="T2271" s="2">
        <v>43665</v>
      </c>
      <c r="U2271" s="2">
        <v>43666</v>
      </c>
    </row>
    <row r="2272" spans="1:22" x14ac:dyDescent="0.2">
      <c r="A2272" t="str">
        <f>"381 SUL"</f>
        <v>381 SUL</v>
      </c>
      <c r="B2272" t="str">
        <f>"Gotcha capitalism: how hidden fees rip y"</f>
        <v>Gotcha capitalism: how hidden fees rip y</v>
      </c>
      <c r="C2272">
        <v>358911</v>
      </c>
      <c r="D2272" t="str">
        <f>"Sullivan, Bob."</f>
        <v>Sullivan, Bob.</v>
      </c>
      <c r="F2272" t="str">
        <f>"349 p."</f>
        <v>349 p.</v>
      </c>
      <c r="G2272" s="1">
        <v>19</v>
      </c>
      <c r="H2272">
        <v>2018</v>
      </c>
      <c r="I2272" t="str">
        <f t="shared" si="91"/>
        <v>9: 300 - 399</v>
      </c>
      <c r="K2272" t="str">
        <f>"WB - In"</f>
        <v>WB - In</v>
      </c>
      <c r="L2272" s="1">
        <v>20</v>
      </c>
      <c r="M2272" t="s">
        <v>2102</v>
      </c>
      <c r="O2272" t="s">
        <v>28</v>
      </c>
      <c r="P2272">
        <v>0</v>
      </c>
      <c r="Q2272">
        <v>0</v>
      </c>
      <c r="R2272">
        <v>0</v>
      </c>
      <c r="S2272" s="2">
        <v>43767</v>
      </c>
      <c r="T2272" s="2">
        <v>43805</v>
      </c>
    </row>
    <row r="2273" spans="1:22" x14ac:dyDescent="0.2">
      <c r="A2273" t="str">
        <f>"381 WIT"</f>
        <v>381 WIT</v>
      </c>
      <c r="B2273" t="str">
        <f>"How music got free: the end of an indust"</f>
        <v>How music got free: the end of an indust</v>
      </c>
      <c r="C2273">
        <v>333122</v>
      </c>
      <c r="D2273" t="str">
        <f>"Witt, Stephen"</f>
        <v>Witt, Stephen</v>
      </c>
      <c r="F2273" t="str">
        <f>"296 pages, 24 cm"</f>
        <v>296 pages, 24 cm</v>
      </c>
      <c r="G2273" s="1">
        <v>16</v>
      </c>
      <c r="H2273">
        <v>2015</v>
      </c>
      <c r="I2273" t="str">
        <f t="shared" si="91"/>
        <v>9: 300 - 399</v>
      </c>
      <c r="K2273" t="str">
        <f>"LL - In"</f>
        <v>LL - In</v>
      </c>
      <c r="L2273" s="1">
        <v>33</v>
      </c>
      <c r="M2273" t="s">
        <v>2103</v>
      </c>
      <c r="O2273" t="s">
        <v>28</v>
      </c>
      <c r="P2273">
        <v>0</v>
      </c>
      <c r="Q2273">
        <v>0</v>
      </c>
      <c r="R2273">
        <v>9</v>
      </c>
      <c r="S2273" s="2">
        <v>42408</v>
      </c>
      <c r="T2273" s="2">
        <v>42686</v>
      </c>
      <c r="U2273" s="2">
        <v>42588</v>
      </c>
      <c r="V2273" s="2">
        <v>42712</v>
      </c>
    </row>
    <row r="2274" spans="1:22" x14ac:dyDescent="0.2">
      <c r="A2274" t="str">
        <f>"381 WIT"</f>
        <v>381 WIT</v>
      </c>
      <c r="B2274" t="str">
        <f>"How music got free: the end of an indust"</f>
        <v>How music got free: the end of an indust</v>
      </c>
      <c r="C2274">
        <v>291422</v>
      </c>
      <c r="D2274" t="str">
        <f>"Witt, Stephen"</f>
        <v>Witt, Stephen</v>
      </c>
      <c r="F2274" t="str">
        <f>"296 pages, 24 cm"</f>
        <v>296 pages, 24 cm</v>
      </c>
      <c r="G2274" s="1">
        <v>16</v>
      </c>
      <c r="H2274">
        <v>2015</v>
      </c>
      <c r="I2274" t="str">
        <f t="shared" si="91"/>
        <v>9: 300 - 399</v>
      </c>
      <c r="K2274" t="str">
        <f>"WB - In"</f>
        <v>WB - In</v>
      </c>
      <c r="L2274" s="1">
        <v>21</v>
      </c>
      <c r="M2274" t="s">
        <v>2103</v>
      </c>
      <c r="O2274" t="s">
        <v>28</v>
      </c>
      <c r="P2274">
        <v>1</v>
      </c>
      <c r="Q2274">
        <v>0</v>
      </c>
      <c r="R2274">
        <v>1</v>
      </c>
      <c r="S2274" s="2">
        <v>42668</v>
      </c>
      <c r="T2274" s="2">
        <v>42682</v>
      </c>
      <c r="U2274" s="2">
        <v>42924</v>
      </c>
    </row>
    <row r="2275" spans="1:22" x14ac:dyDescent="0.2">
      <c r="A2275" t="str">
        <f>"383 DEF"</f>
        <v>383 DEF</v>
      </c>
      <c r="B2275" t="str">
        <f>"West like lightning: the brief, legendar"</f>
        <v>West like lightning: the brief, legendar</v>
      </c>
      <c r="C2275">
        <v>401289</v>
      </c>
      <c r="D2275" t="str">
        <f>"DeFelice, Jim"</f>
        <v>DeFelice, Jim</v>
      </c>
      <c r="F2275" t="str">
        <f>"viii, 357 p., 24 cm, illustrations, maps"</f>
        <v>viii, 357 p., 24 cm, illustrations, maps</v>
      </c>
      <c r="G2275" s="1">
        <v>18</v>
      </c>
      <c r="H2275">
        <v>2018</v>
      </c>
      <c r="I2275" t="str">
        <f t="shared" si="91"/>
        <v>9: 300 - 399</v>
      </c>
      <c r="K2275" t="str">
        <f>"LL - In"</f>
        <v>LL - In</v>
      </c>
      <c r="L2275" s="1">
        <v>33</v>
      </c>
      <c r="M2275" t="s">
        <v>2104</v>
      </c>
      <c r="O2275" t="s">
        <v>28</v>
      </c>
      <c r="P2275">
        <v>7</v>
      </c>
      <c r="Q2275">
        <v>2</v>
      </c>
      <c r="R2275">
        <v>9</v>
      </c>
      <c r="S2275" s="2">
        <v>43237</v>
      </c>
      <c r="T2275" s="2">
        <v>43396</v>
      </c>
      <c r="U2275" s="2">
        <v>43380</v>
      </c>
      <c r="V2275" s="2">
        <v>43396</v>
      </c>
    </row>
    <row r="2276" spans="1:22" x14ac:dyDescent="0.2">
      <c r="A2276" t="str">
        <f>"383 GAL"</f>
        <v>383 GAL</v>
      </c>
      <c r="B2276" t="str">
        <f>"How the post office created America: a h"</f>
        <v>How the post office created America: a h</v>
      </c>
      <c r="C2276">
        <v>336113</v>
      </c>
      <c r="D2276" t="str">
        <f>"Gallagher, Winifred"</f>
        <v>Gallagher, Winifred</v>
      </c>
      <c r="F2276" t="str">
        <f>"326 pages, 25 cm, illustrations"</f>
        <v>326 pages, 25 cm, illustrations</v>
      </c>
      <c r="G2276" s="1">
        <v>16</v>
      </c>
      <c r="H2276">
        <v>2016</v>
      </c>
      <c r="I2276" t="str">
        <f t="shared" si="91"/>
        <v>9: 300 - 399</v>
      </c>
      <c r="K2276" t="str">
        <f>"LL - In"</f>
        <v>LL - In</v>
      </c>
      <c r="L2276" s="1">
        <v>33</v>
      </c>
      <c r="M2276" t="s">
        <v>2105</v>
      </c>
      <c r="O2276" t="s">
        <v>28</v>
      </c>
      <c r="P2276">
        <v>0</v>
      </c>
      <c r="Q2276">
        <v>0</v>
      </c>
      <c r="R2276">
        <v>9</v>
      </c>
      <c r="S2276" s="2">
        <v>42562</v>
      </c>
      <c r="T2276" s="2">
        <v>42768</v>
      </c>
      <c r="U2276" s="2">
        <v>42756</v>
      </c>
      <c r="V2276" s="2">
        <v>42582</v>
      </c>
    </row>
    <row r="2277" spans="1:22" x14ac:dyDescent="0.2">
      <c r="A2277" t="str">
        <f>"384 BLO"</f>
        <v>384 BLO</v>
      </c>
      <c r="B2277" t="str">
        <f>"Eccentric orbits: the Iridium story"</f>
        <v>Eccentric orbits: the Iridium story</v>
      </c>
      <c r="C2277">
        <v>296292</v>
      </c>
      <c r="D2277" t="str">
        <f>"Bloom, John,"</f>
        <v>Bloom, John,</v>
      </c>
      <c r="F2277" t="str">
        <f>"xx, 537 pages, 16 unnumbered pages of plates, 24 cm, illustrations (some color)"</f>
        <v>xx, 537 pages, 16 unnumbered pages of plates, 24 cm, illustrations (some color)</v>
      </c>
      <c r="G2277" s="1">
        <v>17</v>
      </c>
      <c r="H2277">
        <v>2016</v>
      </c>
      <c r="I2277" t="str">
        <f t="shared" si="91"/>
        <v>9: 300 - 399</v>
      </c>
      <c r="K2277" t="str">
        <f>"WB - In"</f>
        <v>WB - In</v>
      </c>
      <c r="L2277" s="1">
        <v>23</v>
      </c>
      <c r="M2277" t="s">
        <v>2106</v>
      </c>
      <c r="O2277" t="s">
        <v>28</v>
      </c>
      <c r="P2277">
        <v>1</v>
      </c>
      <c r="Q2277">
        <v>0</v>
      </c>
      <c r="R2277">
        <v>1</v>
      </c>
      <c r="S2277" s="2">
        <v>42936</v>
      </c>
      <c r="T2277" s="2">
        <v>42941</v>
      </c>
      <c r="U2277" s="2">
        <v>42943</v>
      </c>
    </row>
    <row r="2278" spans="1:22" x14ac:dyDescent="0.2">
      <c r="A2278" t="str">
        <f>"384 HAR"</f>
        <v>384 HAR</v>
      </c>
      <c r="B2278" t="str">
        <f>"fuzzy and the techie: why the liberal ar"</f>
        <v>fuzzy and the techie: why the liberal ar</v>
      </c>
      <c r="C2278">
        <v>341825</v>
      </c>
      <c r="D2278" t="str">
        <f>"Hartley, Scott"</f>
        <v>Hartley, Scott</v>
      </c>
      <c r="F2278" t="str">
        <f>"xi, 290 pages, 22 cm"</f>
        <v>xi, 290 pages, 22 cm</v>
      </c>
      <c r="G2278" s="1">
        <v>17</v>
      </c>
      <c r="H2278">
        <v>2017</v>
      </c>
      <c r="I2278" t="str">
        <f t="shared" si="91"/>
        <v>9: 300 - 399</v>
      </c>
      <c r="K2278" t="str">
        <f>"WB - In"</f>
        <v>WB - In</v>
      </c>
      <c r="L2278" s="1">
        <v>33</v>
      </c>
      <c r="M2278" t="s">
        <v>2107</v>
      </c>
      <c r="O2278" t="s">
        <v>28</v>
      </c>
      <c r="P2278">
        <v>8</v>
      </c>
      <c r="Q2278">
        <v>1</v>
      </c>
      <c r="R2278">
        <v>9</v>
      </c>
      <c r="S2278" s="2">
        <v>42898</v>
      </c>
      <c r="T2278" s="2">
        <v>43059</v>
      </c>
      <c r="U2278" s="2">
        <v>43046</v>
      </c>
      <c r="V2278" s="2">
        <v>42916</v>
      </c>
    </row>
    <row r="2279" spans="1:22" x14ac:dyDescent="0.2">
      <c r="A2279" t="str">
        <f>"384.5 HAZ"</f>
        <v>384.5 HAZ</v>
      </c>
      <c r="B2279" t="str">
        <f>"political spectrum: the tumultuous liber"</f>
        <v>political spectrum: the tumultuous liber</v>
      </c>
      <c r="C2279">
        <v>342764</v>
      </c>
      <c r="D2279" t="str">
        <f>"Hazlett, Thomas W."</f>
        <v>Hazlett, Thomas W.</v>
      </c>
      <c r="F2279" t="str">
        <f>"xi, 401 pages, 24 cm, illustrations, map"</f>
        <v>xi, 401 pages, 24 cm, illustrations, map</v>
      </c>
      <c r="G2279" s="1">
        <v>17</v>
      </c>
      <c r="H2279">
        <v>2017</v>
      </c>
      <c r="I2279" t="str">
        <f t="shared" si="91"/>
        <v>9: 300 - 399</v>
      </c>
      <c r="K2279" t="str">
        <f>"LL - In"</f>
        <v>LL - In</v>
      </c>
      <c r="L2279" s="1">
        <v>40</v>
      </c>
      <c r="M2279" t="s">
        <v>2108</v>
      </c>
      <c r="O2279" t="s">
        <v>28</v>
      </c>
      <c r="P2279">
        <v>1</v>
      </c>
      <c r="Q2279">
        <v>1</v>
      </c>
      <c r="R2279">
        <v>2</v>
      </c>
      <c r="S2279" s="2">
        <v>42947</v>
      </c>
      <c r="T2279" s="2">
        <v>43124</v>
      </c>
      <c r="U2279" s="2">
        <v>42956</v>
      </c>
      <c r="V2279" s="2">
        <v>43765</v>
      </c>
    </row>
    <row r="2280" spans="1:22" x14ac:dyDescent="0.2">
      <c r="A2280" t="str">
        <f>"386.4 KEL"</f>
        <v>386.4 KEL</v>
      </c>
      <c r="B2280" t="str">
        <f>"Heaven's ditch: God, gold, and murder on"</f>
        <v>Heaven's ditch: God, gold, and murder on</v>
      </c>
      <c r="C2280">
        <v>335966</v>
      </c>
      <c r="D2280" t="str">
        <f>"Kelly, Jack,"</f>
        <v>Kelly, Jack,</v>
      </c>
      <c r="F2280" t="str">
        <f>"290 pages, 25 cm, illustrations"</f>
        <v>290 pages, 25 cm, illustrations</v>
      </c>
      <c r="G2280" s="1">
        <v>16</v>
      </c>
      <c r="H2280">
        <v>2016</v>
      </c>
      <c r="I2280" t="str">
        <f t="shared" si="91"/>
        <v>9: 300 - 399</v>
      </c>
      <c r="K2280" t="str">
        <f>"WB - In"</f>
        <v>WB - In</v>
      </c>
      <c r="L2280" s="1">
        <v>33</v>
      </c>
      <c r="M2280" t="s">
        <v>2109</v>
      </c>
      <c r="O2280" t="s">
        <v>28</v>
      </c>
      <c r="P2280">
        <v>1</v>
      </c>
      <c r="Q2280">
        <v>0</v>
      </c>
      <c r="R2280">
        <v>10</v>
      </c>
      <c r="S2280" s="2">
        <v>42556</v>
      </c>
      <c r="T2280" s="2">
        <v>42782</v>
      </c>
      <c r="U2280" s="2">
        <v>42773</v>
      </c>
      <c r="V2280" s="2">
        <v>42739</v>
      </c>
    </row>
    <row r="2281" spans="1:22" x14ac:dyDescent="0.2">
      <c r="A2281" t="str">
        <f>"388 FOW"</f>
        <v>388 FOW</v>
      </c>
      <c r="B2281" t="str">
        <f>"Steam titans: Cunard, Collins, and the e"</f>
        <v>Steam titans: Cunard, Collins, and the e</v>
      </c>
      <c r="C2281">
        <v>343253</v>
      </c>
      <c r="D2281" t="str">
        <f>"Fowler, William M."</f>
        <v>Fowler, William M.</v>
      </c>
      <c r="F2281" t="str">
        <f>"358 pages, 25 cm, illustrations (some color)"</f>
        <v>358 pages, 25 cm, illustrations (some color)</v>
      </c>
      <c r="G2281" s="1">
        <v>17</v>
      </c>
      <c r="H2281">
        <v>2017</v>
      </c>
      <c r="I2281" t="str">
        <f t="shared" si="91"/>
        <v>9: 300 - 399</v>
      </c>
      <c r="K2281" t="str">
        <f>"LL - In"</f>
        <v>LL - In</v>
      </c>
      <c r="L2281" s="1">
        <v>35</v>
      </c>
      <c r="M2281" t="s">
        <v>2110</v>
      </c>
      <c r="O2281" t="s">
        <v>28</v>
      </c>
      <c r="P2281">
        <v>6</v>
      </c>
      <c r="Q2281">
        <v>0</v>
      </c>
      <c r="R2281">
        <v>6</v>
      </c>
      <c r="S2281" s="2">
        <v>42970</v>
      </c>
      <c r="T2281" s="2">
        <v>43124</v>
      </c>
      <c r="U2281" s="2">
        <v>43559</v>
      </c>
    </row>
    <row r="2282" spans="1:22" x14ac:dyDescent="0.2">
      <c r="A2282" t="str">
        <f>"388.3 BUR"</f>
        <v>388.3 BUR</v>
      </c>
      <c r="B2282" t="str">
        <f>"Autonomy: the quest to build the driverl"</f>
        <v>Autonomy: the quest to build the driverl</v>
      </c>
      <c r="C2282">
        <v>349737</v>
      </c>
      <c r="D2282" t="str">
        <f>"Burns, Lawrence D."</f>
        <v>Burns, Lawrence D.</v>
      </c>
      <c r="F2282" t="str">
        <f>"356 pages, 16 unnumbered pages of plates, 24 cm, color illustrations"</f>
        <v>356 pages, 16 unnumbered pages of plates, 24 cm, color illustrations</v>
      </c>
      <c r="G2282" s="1">
        <v>18</v>
      </c>
      <c r="H2282">
        <v>2018</v>
      </c>
      <c r="I2282" t="str">
        <f t="shared" si="91"/>
        <v>9: 300 - 399</v>
      </c>
      <c r="K2282" t="str">
        <f>"LL - In"</f>
        <v>LL - In</v>
      </c>
      <c r="L2282" s="1">
        <v>33</v>
      </c>
      <c r="M2282" t="s">
        <v>2111</v>
      </c>
      <c r="O2282" t="s">
        <v>28</v>
      </c>
      <c r="P2282">
        <v>6</v>
      </c>
      <c r="Q2282">
        <v>0</v>
      </c>
      <c r="R2282">
        <v>6</v>
      </c>
      <c r="S2282" s="2">
        <v>43347</v>
      </c>
      <c r="T2282" s="2">
        <v>43539</v>
      </c>
      <c r="U2282" s="2">
        <v>43730</v>
      </c>
    </row>
    <row r="2283" spans="1:22" x14ac:dyDescent="0.2">
      <c r="A2283" t="str">
        <f>"388.4 LAS"</f>
        <v>388.4 LAS</v>
      </c>
      <c r="B2283" t="str">
        <f>"Wild ride: inside Uber's quest for world"</f>
        <v>Wild ride: inside Uber's quest for world</v>
      </c>
      <c r="C2283">
        <v>343672</v>
      </c>
      <c r="D2283" t="str">
        <f>"Lashinsky, Adam."</f>
        <v>Lashinsky, Adam.</v>
      </c>
      <c r="F2283" t="str">
        <f>"228 pages, 8 unnumbered pages of plates, 24 cm, illustrations"</f>
        <v>228 pages, 8 unnumbered pages of plates, 24 cm, illustrations</v>
      </c>
      <c r="G2283" s="1">
        <v>17</v>
      </c>
      <c r="H2283">
        <v>2017</v>
      </c>
      <c r="I2283" t="str">
        <f t="shared" si="91"/>
        <v>9: 300 - 399</v>
      </c>
      <c r="K2283" t="str">
        <f>"WB - In"</f>
        <v>WB - In</v>
      </c>
      <c r="L2283" s="1">
        <v>33</v>
      </c>
      <c r="M2283" t="s">
        <v>2112</v>
      </c>
      <c r="O2283" t="s">
        <v>28</v>
      </c>
      <c r="P2283">
        <v>4</v>
      </c>
      <c r="Q2283">
        <v>0</v>
      </c>
      <c r="R2283">
        <v>4</v>
      </c>
      <c r="S2283" s="2">
        <v>43004</v>
      </c>
      <c r="T2283" s="2">
        <v>43174</v>
      </c>
      <c r="U2283" s="2">
        <v>43145</v>
      </c>
    </row>
    <row r="2284" spans="1:22" x14ac:dyDescent="0.2">
      <c r="A2284" t="str">
        <f>"391 ARM"</f>
        <v>391 ARM</v>
      </c>
      <c r="B2284" t="str">
        <f>"Harper's Bazaar fashion: your guide to p"</f>
        <v>Harper's Bazaar fashion: your guide to p</v>
      </c>
      <c r="C2284">
        <v>149369</v>
      </c>
      <c r="D2284" t="str">
        <f>"Armstrong, Lisa."</f>
        <v>Armstrong, Lisa.</v>
      </c>
      <c r="F2284" t="str">
        <f>"205 p., 19 cm., ill. (chiefly col.)"</f>
        <v>205 p., 19 cm., ill. (chiefly col.)</v>
      </c>
      <c r="G2284" s="1">
        <v>11</v>
      </c>
      <c r="H2284">
        <v>2010</v>
      </c>
      <c r="I2284" t="str">
        <f t="shared" si="91"/>
        <v>9: 300 - 399</v>
      </c>
      <c r="K2284" t="str">
        <f>"LL - In"</f>
        <v>LL - In</v>
      </c>
      <c r="L2284" s="1">
        <v>30</v>
      </c>
      <c r="M2284" t="s">
        <v>2113</v>
      </c>
      <c r="O2284" t="s">
        <v>28</v>
      </c>
      <c r="P2284">
        <v>2</v>
      </c>
      <c r="Q2284">
        <v>0</v>
      </c>
      <c r="R2284">
        <v>17</v>
      </c>
      <c r="S2284" s="2">
        <v>40641</v>
      </c>
      <c r="T2284" s="2">
        <v>41053</v>
      </c>
      <c r="U2284" s="2">
        <v>43136</v>
      </c>
    </row>
    <row r="2285" spans="1:22" x14ac:dyDescent="0.2">
      <c r="A2285" t="str">
        <f>"391 ARN"</f>
        <v>391 ARN</v>
      </c>
      <c r="B2285" t="str">
        <f>"Fashion drawing for dummies"</f>
        <v>Fashion drawing for dummies</v>
      </c>
      <c r="C2285">
        <v>256953</v>
      </c>
      <c r="D2285" t="str">
        <f>"Arnold, Lisa."</f>
        <v>Arnold, Lisa.</v>
      </c>
      <c r="F2285" t="str">
        <f>"368 p."</f>
        <v>368 p.</v>
      </c>
      <c r="G2285" s="1">
        <v>12</v>
      </c>
      <c r="H2285">
        <v>2011</v>
      </c>
      <c r="I2285" t="str">
        <f t="shared" si="91"/>
        <v>9: 300 - 399</v>
      </c>
      <c r="K2285" t="str">
        <f>"WB - In"</f>
        <v>WB - In</v>
      </c>
      <c r="L2285" s="1">
        <v>30</v>
      </c>
      <c r="M2285" t="s">
        <v>2114</v>
      </c>
      <c r="O2285" t="s">
        <v>28</v>
      </c>
      <c r="P2285">
        <v>3</v>
      </c>
      <c r="Q2285">
        <v>1</v>
      </c>
      <c r="R2285">
        <v>16</v>
      </c>
      <c r="S2285" s="2">
        <v>41040</v>
      </c>
      <c r="T2285" s="2">
        <v>41110</v>
      </c>
      <c r="U2285" s="2">
        <v>43718</v>
      </c>
      <c r="V2285" s="2">
        <v>43279</v>
      </c>
    </row>
    <row r="2286" spans="1:22" x14ac:dyDescent="0.2">
      <c r="A2286" t="str">
        <f>"391 BAR"</f>
        <v>391 BAR</v>
      </c>
      <c r="B2286" t="str">
        <f>"Models of influence: 50 women who reset "</f>
        <v xml:space="preserve">Models of influence: 50 women who reset </v>
      </c>
      <c r="C2286">
        <v>326104</v>
      </c>
      <c r="D2286" t="str">
        <f>"Barker, Nigel,"</f>
        <v>Barker, Nigel,</v>
      </c>
      <c r="F2286" t="str">
        <f>"255 pages, 30 cm, illustrations (some color)"</f>
        <v>255 pages, 30 cm, illustrations (some color)</v>
      </c>
      <c r="G2286" s="1">
        <v>15</v>
      </c>
      <c r="H2286">
        <v>2015</v>
      </c>
      <c r="I2286" t="str">
        <f t="shared" si="91"/>
        <v>9: 300 - 399</v>
      </c>
      <c r="K2286" t="str">
        <f>"WB - In"</f>
        <v>WB - In</v>
      </c>
      <c r="L2286" s="1">
        <v>45</v>
      </c>
      <c r="M2286" t="s">
        <v>2115</v>
      </c>
      <c r="O2286" t="s">
        <v>28</v>
      </c>
      <c r="P2286">
        <v>0</v>
      </c>
      <c r="Q2286">
        <v>0</v>
      </c>
      <c r="R2286">
        <v>10</v>
      </c>
      <c r="S2286" s="2">
        <v>42059</v>
      </c>
      <c r="T2286" s="2">
        <v>42257</v>
      </c>
      <c r="U2286" s="2">
        <v>42230</v>
      </c>
      <c r="V2286" s="2">
        <v>42583</v>
      </c>
    </row>
    <row r="2287" spans="1:22" x14ac:dyDescent="0.2">
      <c r="A2287" t="str">
        <f>"391 BLA"</f>
        <v>391 BLA</v>
      </c>
      <c r="B2287" t="str">
        <f>"Magnifeco: your head-to-toe guide to eth"</f>
        <v>Magnifeco: your head-to-toe guide to eth</v>
      </c>
      <c r="C2287">
        <v>285534</v>
      </c>
      <c r="D2287" t="str">
        <f>"Black, Kate,"</f>
        <v>Black, Kate,</v>
      </c>
      <c r="F2287" t="str">
        <f>"v, 233 pages, 23 cm, illustrations"</f>
        <v>v, 233 pages, 23 cm, illustrations</v>
      </c>
      <c r="G2287" s="1">
        <v>16</v>
      </c>
      <c r="H2287">
        <v>2015</v>
      </c>
      <c r="I2287" t="str">
        <f t="shared" si="91"/>
        <v>9: 300 - 399</v>
      </c>
      <c r="K2287" t="str">
        <f>"LL - In"</f>
        <v>LL - In</v>
      </c>
      <c r="L2287" s="1">
        <v>25</v>
      </c>
      <c r="M2287" t="s">
        <v>2116</v>
      </c>
      <c r="O2287" t="s">
        <v>28</v>
      </c>
      <c r="P2287">
        <v>1</v>
      </c>
      <c r="Q2287">
        <v>0</v>
      </c>
      <c r="R2287">
        <v>3</v>
      </c>
      <c r="S2287" s="2">
        <v>42401</v>
      </c>
      <c r="T2287" s="2">
        <v>42430</v>
      </c>
      <c r="U2287" s="2">
        <v>43774</v>
      </c>
    </row>
    <row r="2288" spans="1:22" x14ac:dyDescent="0.2">
      <c r="A2288" t="str">
        <f>"391 BOU"</f>
        <v>391 BOU</v>
      </c>
      <c r="B2288" t="str">
        <f>"20,000 years of fashion: the history of "</f>
        <v xml:space="preserve">20,000 years of fashion: the history of </v>
      </c>
      <c r="C2288">
        <v>63655</v>
      </c>
      <c r="D2288" t="str">
        <f>"Boucher, Francois"</f>
        <v>Boucher, Francois</v>
      </c>
      <c r="F2288" t="str">
        <f>"441 p., 29 cm., ill. (some col.)"</f>
        <v>441 p., 29 cm., ill. (some col.)</v>
      </c>
      <c r="G2288" s="1">
        <v>7</v>
      </c>
      <c r="H2288">
        <v>1987</v>
      </c>
      <c r="I2288" t="str">
        <f t="shared" si="91"/>
        <v>9: 300 - 399</v>
      </c>
      <c r="K2288" t="str">
        <f>"LL - In"</f>
        <v>LL - In</v>
      </c>
      <c r="L2288" s="1">
        <v>0</v>
      </c>
      <c r="M2288" t="s">
        <v>2117</v>
      </c>
      <c r="O2288" t="s">
        <v>28</v>
      </c>
      <c r="P2288">
        <v>2</v>
      </c>
      <c r="Q2288">
        <v>0</v>
      </c>
      <c r="R2288">
        <v>12</v>
      </c>
      <c r="S2288" s="2">
        <v>39325</v>
      </c>
      <c r="T2288" s="2">
        <v>41053</v>
      </c>
      <c r="U2288" s="2">
        <v>42835</v>
      </c>
      <c r="V2288" s="2">
        <v>41876</v>
      </c>
    </row>
    <row r="2289" spans="1:22" x14ac:dyDescent="0.2">
      <c r="A2289" t="str">
        <f>"391 BRY"</f>
        <v>391 BRY</v>
      </c>
      <c r="B2289" t="str">
        <f>"fashion file: advice, tips, and inspirat"</f>
        <v>fashion file: advice, tips, and inspirat</v>
      </c>
      <c r="C2289">
        <v>305841</v>
      </c>
      <c r="D2289" t="str">
        <f>"Bryant, Janie."</f>
        <v>Bryant, Janie.</v>
      </c>
      <c r="F2289" t="str">
        <f>"xv, 175 p., 24 cm., ill. (chiefly col.)"</f>
        <v>xv, 175 p., 24 cm., ill. (chiefly col.)</v>
      </c>
      <c r="G2289" s="1">
        <v>12</v>
      </c>
      <c r="H2289">
        <v>2010</v>
      </c>
      <c r="I2289" t="str">
        <f t="shared" si="91"/>
        <v>9: 300 - 399</v>
      </c>
      <c r="K2289" t="str">
        <f>"LL - In"</f>
        <v>LL - In</v>
      </c>
      <c r="L2289" s="1">
        <v>32</v>
      </c>
      <c r="M2289" t="s">
        <v>2118</v>
      </c>
      <c r="O2289" t="s">
        <v>28</v>
      </c>
      <c r="P2289">
        <v>0</v>
      </c>
      <c r="Q2289">
        <v>0</v>
      </c>
      <c r="R2289">
        <v>10</v>
      </c>
      <c r="S2289" s="2">
        <v>40968</v>
      </c>
      <c r="T2289" s="2">
        <v>41053</v>
      </c>
      <c r="U2289" s="2">
        <v>42590</v>
      </c>
      <c r="V2289" s="2">
        <v>41531</v>
      </c>
    </row>
    <row r="2290" spans="1:22" x14ac:dyDescent="0.2">
      <c r="A2290" t="str">
        <f>"391 DOR"</f>
        <v>391 DOR</v>
      </c>
      <c r="B2290" t="str">
        <f>"Fashion: the definitive history of costu"</f>
        <v>Fashion: the definitive history of costu</v>
      </c>
      <c r="C2290">
        <v>260559</v>
      </c>
      <c r="D2290" t="str">
        <f>"DK Publishing, Inc"</f>
        <v>DK Publishing, Inc</v>
      </c>
      <c r="F2290" t="str">
        <f>"480 p."</f>
        <v>480 p.</v>
      </c>
      <c r="G2290" s="1">
        <v>12</v>
      </c>
      <c r="H2290">
        <v>2012</v>
      </c>
      <c r="I2290" t="str">
        <f t="shared" si="91"/>
        <v>9: 300 - 399</v>
      </c>
      <c r="K2290" t="str">
        <f>"LL - In"</f>
        <v>LL - In</v>
      </c>
      <c r="L2290" s="1">
        <v>55</v>
      </c>
      <c r="M2290" t="s">
        <v>2119</v>
      </c>
      <c r="O2290" t="s">
        <v>28</v>
      </c>
      <c r="P2290">
        <v>3</v>
      </c>
      <c r="Q2290">
        <v>1</v>
      </c>
      <c r="R2290">
        <v>14</v>
      </c>
      <c r="S2290" s="2">
        <v>41185</v>
      </c>
      <c r="T2290" s="2">
        <v>41191</v>
      </c>
      <c r="U2290" s="2">
        <v>43136</v>
      </c>
      <c r="V2290" s="2">
        <v>43024</v>
      </c>
    </row>
    <row r="2291" spans="1:22" x14ac:dyDescent="0.2">
      <c r="A2291" t="str">
        <f>"391 DRE"</f>
        <v>391 DRE</v>
      </c>
      <c r="B2291" t="str">
        <f>"Dress like a woman: working women and wh"</f>
        <v>Dress like a woman: working women and wh</v>
      </c>
      <c r="C2291">
        <v>298541</v>
      </c>
      <c r="F2291" t="str">
        <f>"224 pages, 25 cm, chiefly illustrations (some color)"</f>
        <v>224 pages, 25 cm, chiefly illustrations (some color)</v>
      </c>
      <c r="G2291" s="1">
        <v>18</v>
      </c>
      <c r="H2291">
        <v>2018</v>
      </c>
      <c r="I2291" t="str">
        <f t="shared" si="91"/>
        <v>9: 300 - 399</v>
      </c>
      <c r="K2291" t="str">
        <f>"WB - In"</f>
        <v>WB - In</v>
      </c>
      <c r="L2291" s="1">
        <v>30</v>
      </c>
      <c r="M2291" t="s">
        <v>2120</v>
      </c>
      <c r="O2291" t="s">
        <v>28</v>
      </c>
      <c r="P2291">
        <v>7</v>
      </c>
      <c r="Q2291">
        <v>1</v>
      </c>
      <c r="R2291">
        <v>8</v>
      </c>
      <c r="S2291" s="2">
        <v>43181</v>
      </c>
      <c r="T2291" s="2">
        <v>43355</v>
      </c>
      <c r="U2291" s="2">
        <v>43334</v>
      </c>
      <c r="V2291" s="2">
        <v>43606</v>
      </c>
    </row>
    <row r="2292" spans="1:22" x14ac:dyDescent="0.2">
      <c r="A2292" t="str">
        <f>"391 FAS"</f>
        <v>391 FAS</v>
      </c>
      <c r="B2292" t="str">
        <f>"Fashion tribes: global street style"</f>
        <v>Fashion tribes: global street style</v>
      </c>
      <c r="C2292">
        <v>283894</v>
      </c>
      <c r="D2292" t="str">
        <f>"Tamagni, Daniele"</f>
        <v>Tamagni, Daniele</v>
      </c>
      <c r="F2292" t="str">
        <f>"289 pages, 25 cm, colour illustrations"</f>
        <v>289 pages, 25 cm, colour illustrations</v>
      </c>
      <c r="G2292" s="1">
        <v>15</v>
      </c>
      <c r="H2292">
        <v>2015</v>
      </c>
      <c r="I2292" t="str">
        <f t="shared" si="91"/>
        <v>9: 300 - 399</v>
      </c>
      <c r="K2292" t="str">
        <f>"WB - In"</f>
        <v>WB - In</v>
      </c>
      <c r="L2292" s="1">
        <v>40</v>
      </c>
      <c r="M2292" t="s">
        <v>2121</v>
      </c>
      <c r="O2292" t="s">
        <v>28</v>
      </c>
      <c r="P2292">
        <v>0</v>
      </c>
      <c r="Q2292">
        <v>0</v>
      </c>
      <c r="R2292">
        <v>4</v>
      </c>
      <c r="S2292" s="2">
        <v>42304</v>
      </c>
      <c r="T2292" s="2">
        <v>42470</v>
      </c>
      <c r="U2292" s="2">
        <v>42739</v>
      </c>
    </row>
    <row r="2293" spans="1:22" x14ac:dyDescent="0.2">
      <c r="A2293" t="str">
        <f>"391 GIV"</f>
        <v>391 GIV</v>
      </c>
      <c r="B2293" t="str">
        <f>"Battle of Versailles: the night American"</f>
        <v>Battle of Versailles: the night American</v>
      </c>
      <c r="C2293">
        <v>327608</v>
      </c>
      <c r="D2293" t="str">
        <f>"Givhan, Robin"</f>
        <v>Givhan, Robin</v>
      </c>
      <c r="F2293" t="str">
        <f>"310 pages, 25 cm, illustrations (some color)"</f>
        <v>310 pages, 25 cm, illustrations (some color)</v>
      </c>
      <c r="G2293" s="1">
        <v>15</v>
      </c>
      <c r="H2293">
        <v>2015</v>
      </c>
      <c r="I2293" t="str">
        <f t="shared" si="91"/>
        <v>9: 300 - 399</v>
      </c>
      <c r="K2293" t="str">
        <f>"LL - In"</f>
        <v>LL - In</v>
      </c>
      <c r="L2293" s="1">
        <v>33</v>
      </c>
      <c r="M2293" t="s">
        <v>2122</v>
      </c>
      <c r="O2293" t="s">
        <v>28</v>
      </c>
      <c r="P2293">
        <v>3</v>
      </c>
      <c r="Q2293">
        <v>0</v>
      </c>
      <c r="R2293">
        <v>12</v>
      </c>
      <c r="S2293" s="2">
        <v>42153</v>
      </c>
      <c r="T2293" s="2">
        <v>42345</v>
      </c>
      <c r="U2293" s="2">
        <v>43488</v>
      </c>
      <c r="V2293" s="2">
        <v>42408</v>
      </c>
    </row>
    <row r="2294" spans="1:22" x14ac:dyDescent="0.2">
      <c r="A2294" t="str">
        <f>"391 GRO"</f>
        <v>391 GRO</v>
      </c>
      <c r="B2294" t="str">
        <f>"Focus: the secret, sexy, sometimes sordi"</f>
        <v>Focus: the secret, sexy, sometimes sordi</v>
      </c>
      <c r="C2294">
        <v>336123</v>
      </c>
      <c r="D2294" t="str">
        <f>"Gross, Michael"</f>
        <v>Gross, Michael</v>
      </c>
      <c r="F2294" t="str">
        <f>"400 p."</f>
        <v>400 p.</v>
      </c>
      <c r="G2294" s="1">
        <v>16</v>
      </c>
      <c r="H2294">
        <v>2016</v>
      </c>
      <c r="I2294" t="str">
        <f t="shared" si="91"/>
        <v>9: 300 - 399</v>
      </c>
      <c r="K2294" t="str">
        <f>"WB - In"</f>
        <v>WB - In</v>
      </c>
      <c r="L2294" s="1">
        <v>33</v>
      </c>
      <c r="M2294" t="s">
        <v>2123</v>
      </c>
      <c r="O2294" t="s">
        <v>28</v>
      </c>
      <c r="P2294">
        <v>2</v>
      </c>
      <c r="Q2294">
        <v>0</v>
      </c>
      <c r="R2294">
        <v>6</v>
      </c>
      <c r="S2294" s="2">
        <v>42563</v>
      </c>
      <c r="T2294" s="2">
        <v>42704</v>
      </c>
      <c r="U2294" s="2">
        <v>43613</v>
      </c>
      <c r="V2294" s="2">
        <v>42662</v>
      </c>
    </row>
    <row r="2295" spans="1:22" x14ac:dyDescent="0.2">
      <c r="A2295" t="str">
        <f>"391 GUN"</f>
        <v>391 GUN</v>
      </c>
      <c r="B2295" t="str">
        <f>"Tim Gunn's fashion bible: the fascinatin"</f>
        <v>Tim Gunn's fashion bible: the fascinatin</v>
      </c>
      <c r="C2295">
        <v>309540</v>
      </c>
      <c r="D2295" t="str">
        <f>"Gunn, Tim."</f>
        <v>Gunn, Tim.</v>
      </c>
      <c r="F2295" t="str">
        <f>"312 p."</f>
        <v>312 p.</v>
      </c>
      <c r="G2295" s="1">
        <v>12</v>
      </c>
      <c r="H2295">
        <v>2012</v>
      </c>
      <c r="I2295" t="str">
        <f t="shared" si="91"/>
        <v>9: 300 - 399</v>
      </c>
      <c r="K2295" t="str">
        <f>"LL - In"</f>
        <v>LL - In</v>
      </c>
      <c r="L2295" s="1">
        <v>33</v>
      </c>
      <c r="M2295" t="s">
        <v>2124</v>
      </c>
      <c r="O2295" t="s">
        <v>28</v>
      </c>
      <c r="P2295">
        <v>2</v>
      </c>
      <c r="Q2295">
        <v>1</v>
      </c>
      <c r="R2295">
        <v>18</v>
      </c>
      <c r="S2295" s="2">
        <v>41164</v>
      </c>
      <c r="T2295" s="2">
        <v>41373</v>
      </c>
      <c r="U2295" s="2">
        <v>43158</v>
      </c>
      <c r="V2295" s="2">
        <v>43726</v>
      </c>
    </row>
    <row r="2296" spans="1:22" x14ac:dyDescent="0.2">
      <c r="A2296" t="str">
        <f>"391 HET"</f>
        <v>391 HET</v>
      </c>
      <c r="B2296" t="str">
        <f>"Women in clothes"</f>
        <v>Women in clothes</v>
      </c>
      <c r="C2296">
        <v>323723</v>
      </c>
      <c r="D2296" t="str">
        <f>"Heti, Sheila,"</f>
        <v>Heti, Sheila,</v>
      </c>
      <c r="F2296" t="str">
        <f>"515 pages, 23 cm, illustrations (some color)"</f>
        <v>515 pages, 23 cm, illustrations (some color)</v>
      </c>
      <c r="G2296" s="1">
        <v>14</v>
      </c>
      <c r="H2296">
        <v>2014</v>
      </c>
      <c r="I2296" t="str">
        <f t="shared" si="91"/>
        <v>9: 300 - 399</v>
      </c>
      <c r="K2296" t="str">
        <f>"WB - In"</f>
        <v>WB - In</v>
      </c>
      <c r="L2296" s="1">
        <v>35</v>
      </c>
      <c r="M2296" t="s">
        <v>2125</v>
      </c>
      <c r="O2296" t="s">
        <v>28</v>
      </c>
      <c r="P2296">
        <v>3</v>
      </c>
      <c r="Q2296">
        <v>1</v>
      </c>
      <c r="R2296">
        <v>16</v>
      </c>
      <c r="S2296" s="2">
        <v>41898</v>
      </c>
      <c r="T2296" s="2">
        <v>42107</v>
      </c>
      <c r="U2296" s="2">
        <v>43268</v>
      </c>
      <c r="V2296" s="2">
        <v>43802</v>
      </c>
    </row>
    <row r="2297" spans="1:22" x14ac:dyDescent="0.2">
      <c r="A2297" t="str">
        <f>"391 MIL"</f>
        <v>391 MIL</v>
      </c>
      <c r="B2297" t="str">
        <f>"Couture: the great designers"</f>
        <v>Couture: the great designers</v>
      </c>
      <c r="C2297">
        <v>179705</v>
      </c>
      <c r="D2297" t="str">
        <f>"Milbank, Caroline Rennolds"</f>
        <v>Milbank, Caroline Rennolds</v>
      </c>
      <c r="F2297" t="str">
        <f>"440 p."</f>
        <v>440 p.</v>
      </c>
      <c r="G2297">
        <v>4</v>
      </c>
      <c r="H2297">
        <v>1985</v>
      </c>
      <c r="I2297" t="str">
        <f t="shared" si="91"/>
        <v>9: 300 - 399</v>
      </c>
      <c r="K2297" t="str">
        <f>"LL - In"</f>
        <v>LL - In</v>
      </c>
      <c r="L2297" s="1">
        <v>45</v>
      </c>
      <c r="M2297" t="s">
        <v>2126</v>
      </c>
      <c r="O2297" t="s">
        <v>28</v>
      </c>
      <c r="P2297">
        <v>1</v>
      </c>
      <c r="Q2297">
        <v>0</v>
      </c>
      <c r="R2297">
        <v>35</v>
      </c>
      <c r="S2297" s="2">
        <v>38182</v>
      </c>
      <c r="T2297" s="2">
        <v>41053</v>
      </c>
      <c r="U2297" s="2">
        <v>43153</v>
      </c>
      <c r="V2297" s="2">
        <v>41876</v>
      </c>
    </row>
    <row r="2298" spans="1:22" x14ac:dyDescent="0.2">
      <c r="A2298" t="str">
        <f>"391 ROY"</f>
        <v>391 ROY</v>
      </c>
      <c r="B2298" t="str">
        <f>"Design your life: creating success throu"</f>
        <v>Design your life: creating success throu</v>
      </c>
      <c r="C2298">
        <v>287177</v>
      </c>
      <c r="D2298" t="str">
        <f>"Roy, Rachel"</f>
        <v>Roy, Rachel</v>
      </c>
      <c r="F2298" t="str">
        <f>"194 pages, 22 cm, color illustrations"</f>
        <v>194 pages, 22 cm, color illustrations</v>
      </c>
      <c r="G2298" s="1">
        <v>16</v>
      </c>
      <c r="H2298">
        <v>2016</v>
      </c>
      <c r="I2298" t="str">
        <f t="shared" si="91"/>
        <v>9: 300 - 399</v>
      </c>
      <c r="K2298" t="str">
        <f>"WB - In"</f>
        <v>WB - In</v>
      </c>
      <c r="L2298" s="1">
        <v>32</v>
      </c>
      <c r="M2298" t="s">
        <v>2127</v>
      </c>
      <c r="O2298" t="s">
        <v>28</v>
      </c>
      <c r="P2298">
        <v>3</v>
      </c>
      <c r="Q2298">
        <v>0</v>
      </c>
      <c r="R2298">
        <v>10</v>
      </c>
      <c r="S2298" s="2">
        <v>42453</v>
      </c>
      <c r="T2298" s="2">
        <v>42631</v>
      </c>
      <c r="U2298" s="2">
        <v>43536</v>
      </c>
    </row>
    <row r="2299" spans="1:22" x14ac:dyDescent="0.2">
      <c r="A2299" t="str">
        <f>"391 RUB"</f>
        <v>391 RUB</v>
      </c>
      <c r="B2299" t="str">
        <f>"100 unforgettable dresses"</f>
        <v>100 unforgettable dresses</v>
      </c>
      <c r="C2299">
        <v>304703</v>
      </c>
      <c r="D2299" t="str">
        <f>"Rubenstein, Hal."</f>
        <v>Rubenstein, Hal.</v>
      </c>
      <c r="F2299" t="str">
        <f>"207 p., 29 cm., ill. (some col.)"</f>
        <v>207 p., 29 cm., ill. (some col.)</v>
      </c>
      <c r="G2299" s="1">
        <v>11</v>
      </c>
      <c r="H2299">
        <v>2011</v>
      </c>
      <c r="I2299" t="str">
        <f t="shared" si="91"/>
        <v>9: 300 - 399</v>
      </c>
      <c r="K2299" t="str">
        <f>"LL - In"</f>
        <v>LL - In</v>
      </c>
      <c r="L2299" s="1">
        <v>40</v>
      </c>
      <c r="M2299" t="s">
        <v>2128</v>
      </c>
      <c r="O2299" t="s">
        <v>28</v>
      </c>
      <c r="P2299">
        <v>1</v>
      </c>
      <c r="Q2299">
        <v>0</v>
      </c>
      <c r="R2299">
        <v>25</v>
      </c>
      <c r="S2299" s="2">
        <v>40899</v>
      </c>
      <c r="T2299" s="2">
        <v>41107</v>
      </c>
      <c r="U2299" s="2">
        <v>43153</v>
      </c>
      <c r="V2299" s="2">
        <v>41452</v>
      </c>
    </row>
    <row r="2300" spans="1:22" x14ac:dyDescent="0.2">
      <c r="A2300" t="str">
        <f>"391 SCH"</f>
        <v>391 SCH</v>
      </c>
      <c r="B2300" t="str">
        <f>"sartorialist: X"</f>
        <v>sartorialist: X</v>
      </c>
      <c r="C2300">
        <v>331799</v>
      </c>
      <c r="D2300" t="str">
        <f>"Schuman, Scott."</f>
        <v>Schuman, Scott.</v>
      </c>
      <c r="F2300" t="str">
        <f>"511 pages, 19 cm, chiefly illustrations (chiefly color)"</f>
        <v>511 pages, 19 cm, chiefly illustrations (chiefly color)</v>
      </c>
      <c r="G2300" s="1">
        <v>15</v>
      </c>
      <c r="H2300">
        <v>2015</v>
      </c>
      <c r="I2300" t="str">
        <f t="shared" si="91"/>
        <v>9: 300 - 399</v>
      </c>
      <c r="K2300" t="str">
        <f>"WB - In"</f>
        <v>WB - In</v>
      </c>
      <c r="L2300" s="1">
        <v>35</v>
      </c>
      <c r="M2300" t="s">
        <v>2129</v>
      </c>
      <c r="O2300" t="s">
        <v>28</v>
      </c>
      <c r="P2300">
        <v>2</v>
      </c>
      <c r="Q2300">
        <v>0</v>
      </c>
      <c r="R2300">
        <v>7</v>
      </c>
      <c r="S2300" s="2">
        <v>42351</v>
      </c>
      <c r="T2300" s="2">
        <v>42528</v>
      </c>
      <c r="U2300" s="2">
        <v>43182</v>
      </c>
    </row>
    <row r="2301" spans="1:22" x14ac:dyDescent="0.2">
      <c r="A2301" t="str">
        <f>"391 SPI"</f>
        <v>391 SPI</v>
      </c>
      <c r="B2301" t="str">
        <f>"Worn stories"</f>
        <v>Worn stories</v>
      </c>
      <c r="C2301">
        <v>323469</v>
      </c>
      <c r="D2301" t="str">
        <f>"Spivack, Emily"</f>
        <v>Spivack, Emily</v>
      </c>
      <c r="F2301" t="str">
        <f>"157 p."</f>
        <v>157 p.</v>
      </c>
      <c r="G2301" s="1">
        <v>14</v>
      </c>
      <c r="H2301">
        <v>2014</v>
      </c>
      <c r="I2301" t="str">
        <f t="shared" si="91"/>
        <v>9: 300 - 399</v>
      </c>
      <c r="K2301" t="str">
        <f>"LL - In"</f>
        <v>LL - In</v>
      </c>
      <c r="L2301" s="1">
        <v>30</v>
      </c>
      <c r="M2301" t="s">
        <v>2130</v>
      </c>
      <c r="O2301" t="s">
        <v>28</v>
      </c>
      <c r="P2301">
        <v>3</v>
      </c>
      <c r="Q2301">
        <v>2</v>
      </c>
      <c r="R2301">
        <v>13</v>
      </c>
      <c r="S2301" s="2">
        <v>41891</v>
      </c>
      <c r="T2301" s="2">
        <v>42134</v>
      </c>
      <c r="U2301" s="2">
        <v>43763</v>
      </c>
      <c r="V2301" s="2">
        <v>43592</v>
      </c>
    </row>
    <row r="2302" spans="1:22" x14ac:dyDescent="0.2">
      <c r="A2302" t="str">
        <f>"391.4 EIS"</f>
        <v>391.4 EIS</v>
      </c>
      <c r="B2302" t="str">
        <f>"How to tell a woman by her handbag"</f>
        <v>How to tell a woman by her handbag</v>
      </c>
      <c r="C2302">
        <v>245344</v>
      </c>
      <c r="D2302" t="str">
        <f>"Eisman, Kathryn."</f>
        <v>Eisman, Kathryn.</v>
      </c>
      <c r="F2302" t="str">
        <f>"xi, 79 p., 16 x 23 cm., ill."</f>
        <v>xi, 79 p., 16 x 23 cm., ill.</v>
      </c>
      <c r="G2302" s="1">
        <v>11</v>
      </c>
      <c r="H2302">
        <v>2010</v>
      </c>
      <c r="I2302" t="str">
        <f t="shared" si="91"/>
        <v>9: 300 - 399</v>
      </c>
      <c r="K2302" t="str">
        <f>"WB - In"</f>
        <v>WB - In</v>
      </c>
      <c r="L2302" s="1">
        <v>17</v>
      </c>
      <c r="M2302" t="s">
        <v>2131</v>
      </c>
      <c r="O2302" t="s">
        <v>28</v>
      </c>
      <c r="P2302">
        <v>0</v>
      </c>
      <c r="Q2302">
        <v>0</v>
      </c>
      <c r="R2302">
        <v>12</v>
      </c>
      <c r="S2302" s="2">
        <v>40585</v>
      </c>
      <c r="T2302" s="2">
        <v>41053</v>
      </c>
      <c r="U2302" s="2">
        <v>42749</v>
      </c>
      <c r="V2302" s="2">
        <v>41452</v>
      </c>
    </row>
    <row r="2303" spans="1:22" x14ac:dyDescent="0.2">
      <c r="A2303" t="str">
        <f>"391.4 POT"</f>
        <v>391.4 POT</v>
      </c>
      <c r="B2303" t="str">
        <f>"How to shine a shoe: a gentleman's guide"</f>
        <v>How to shine a shoe: a gentleman's guide</v>
      </c>
      <c r="C2303">
        <v>354208</v>
      </c>
      <c r="D2303" t="str">
        <f>"Dool, Steve"</f>
        <v>Dool, Steve</v>
      </c>
      <c r="F2303" t="str">
        <f>"121 p."</f>
        <v>121 p.</v>
      </c>
      <c r="G2303" s="1">
        <v>19</v>
      </c>
      <c r="H2303">
        <v>2019</v>
      </c>
      <c r="I2303" t="str">
        <f t="shared" si="91"/>
        <v>9: 300 - 399</v>
      </c>
      <c r="K2303" t="str">
        <f>"WB - In"</f>
        <v>WB - In</v>
      </c>
      <c r="L2303" s="1">
        <v>19</v>
      </c>
      <c r="M2303" t="s">
        <v>2132</v>
      </c>
      <c r="O2303" t="s">
        <v>28</v>
      </c>
      <c r="P2303">
        <v>0</v>
      </c>
      <c r="Q2303">
        <v>0</v>
      </c>
      <c r="R2303">
        <v>0</v>
      </c>
      <c r="S2303" s="2">
        <v>43572</v>
      </c>
      <c r="T2303" s="2">
        <v>43626</v>
      </c>
    </row>
    <row r="2304" spans="1:22" x14ac:dyDescent="0.2">
      <c r="A2304" t="str">
        <f>"391.4 VAS"</f>
        <v>391.4 VAS</v>
      </c>
      <c r="B2304" t="str">
        <f>"Handmade shoes for men"</f>
        <v>Handmade shoes for men</v>
      </c>
      <c r="C2304">
        <v>261546</v>
      </c>
      <c r="D2304" t="str">
        <f>"Vass, L�szl�."</f>
        <v>Vass, L�szl�.</v>
      </c>
      <c r="F2304" t="str">
        <f>"215 p., 26 cm., ill. (some col.)"</f>
        <v>215 p., 26 cm., ill. (some col.)</v>
      </c>
      <c r="G2304" s="1">
        <v>12</v>
      </c>
      <c r="H2304">
        <v>1999</v>
      </c>
      <c r="I2304" t="str">
        <f t="shared" si="91"/>
        <v>9: 300 - 399</v>
      </c>
      <c r="K2304" t="str">
        <f>"LL - In"</f>
        <v>LL - In</v>
      </c>
      <c r="L2304" s="1">
        <v>30</v>
      </c>
      <c r="M2304" t="s">
        <v>2133</v>
      </c>
      <c r="O2304" t="s">
        <v>28</v>
      </c>
      <c r="P2304">
        <v>1</v>
      </c>
      <c r="Q2304">
        <v>0</v>
      </c>
      <c r="R2304">
        <v>6</v>
      </c>
      <c r="S2304" s="2">
        <v>41220</v>
      </c>
      <c r="T2304" s="2">
        <v>41221</v>
      </c>
      <c r="U2304" s="2">
        <v>42805</v>
      </c>
      <c r="V2304" s="2">
        <v>42551</v>
      </c>
    </row>
    <row r="2305" spans="1:22" x14ac:dyDescent="0.2">
      <c r="A2305" t="str">
        <f>"391.6 FIT"</f>
        <v>391.6 FIT</v>
      </c>
      <c r="B2305" t="str">
        <f>"Pen &amp; ink: tattoos and the stories behin"</f>
        <v>Pen &amp; ink: tattoos and the stories behin</v>
      </c>
      <c r="C2305">
        <v>325162</v>
      </c>
      <c r="D2305" t="str">
        <f>"Fitzgerald, Isaac."</f>
        <v>Fitzgerald, Isaac.</v>
      </c>
      <c r="F2305" t="str">
        <f>"x, 133 pages, 22 cm, illusrations"</f>
        <v>x, 133 pages, 22 cm, illusrations</v>
      </c>
      <c r="G2305" s="1">
        <v>14</v>
      </c>
      <c r="H2305">
        <v>2014</v>
      </c>
      <c r="I2305" t="str">
        <f t="shared" si="91"/>
        <v>9: 300 - 399</v>
      </c>
      <c r="K2305" t="str">
        <f>"WB - In"</f>
        <v>WB - In</v>
      </c>
      <c r="L2305" s="1">
        <v>27</v>
      </c>
      <c r="M2305" t="s">
        <v>2134</v>
      </c>
      <c r="O2305" t="s">
        <v>28</v>
      </c>
      <c r="P2305">
        <v>0</v>
      </c>
      <c r="Q2305">
        <v>1</v>
      </c>
      <c r="R2305">
        <v>7</v>
      </c>
      <c r="S2305" s="2">
        <v>41995</v>
      </c>
      <c r="T2305" s="2">
        <v>42129</v>
      </c>
      <c r="U2305" s="2">
        <v>42560</v>
      </c>
      <c r="V2305" s="2">
        <v>43222</v>
      </c>
    </row>
    <row r="2306" spans="1:22" x14ac:dyDescent="0.2">
      <c r="A2306" t="str">
        <f>"391.6 IRI"</f>
        <v>391.6 IRI</v>
      </c>
      <c r="B2306" t="str">
        <f>"Great book of tattoo designs: [more than"</f>
        <v>Great book of tattoo designs: [more than</v>
      </c>
      <c r="C2306">
        <v>316450</v>
      </c>
      <c r="D2306" t="str">
        <f>"Irish, Lora S."</f>
        <v>Irish, Lora S.</v>
      </c>
      <c r="F2306" t="str">
        <f>"vii, 403 p., 19 cm, chiefly ill."</f>
        <v>vii, 403 p., 19 cm, chiefly ill.</v>
      </c>
      <c r="G2306" s="1">
        <v>13</v>
      </c>
      <c r="H2306">
        <v>2013</v>
      </c>
      <c r="I2306" t="str">
        <f t="shared" si="91"/>
        <v>9: 300 - 399</v>
      </c>
      <c r="K2306" t="str">
        <f>"WB - In"</f>
        <v>WB - In</v>
      </c>
      <c r="L2306" s="1">
        <v>22</v>
      </c>
      <c r="M2306" t="s">
        <v>2135</v>
      </c>
      <c r="O2306" t="s">
        <v>28</v>
      </c>
      <c r="P2306">
        <v>0</v>
      </c>
      <c r="Q2306">
        <v>0</v>
      </c>
      <c r="R2306">
        <v>1</v>
      </c>
      <c r="S2306" s="2">
        <v>41515</v>
      </c>
      <c r="T2306" s="2">
        <v>41541</v>
      </c>
      <c r="U2306" s="2">
        <v>42311</v>
      </c>
    </row>
    <row r="2307" spans="1:22" x14ac:dyDescent="0.2">
      <c r="A2307" t="str">
        <f>"391.6 TAT"</f>
        <v>391.6 TAT</v>
      </c>
      <c r="B2307" t="str">
        <f>"Tattoo Johnny: 3,000 tattoo designs"</f>
        <v>Tattoo Johnny: 3,000 tattoo designs</v>
      </c>
      <c r="C2307">
        <v>321349</v>
      </c>
      <c r="F2307" t="str">
        <f>"352 p., 29 cm, chiefly ill. (chiefly col.)"</f>
        <v>352 p., 29 cm, chiefly ill. (chiefly col.)</v>
      </c>
      <c r="G2307" s="1">
        <v>14</v>
      </c>
      <c r="H2307">
        <v>2010</v>
      </c>
      <c r="I2307" t="str">
        <f t="shared" si="91"/>
        <v>9: 300 - 399</v>
      </c>
      <c r="K2307" t="str">
        <f>"WB - In"</f>
        <v>WB - In</v>
      </c>
      <c r="L2307" s="1">
        <v>20</v>
      </c>
      <c r="M2307" t="s">
        <v>2136</v>
      </c>
      <c r="O2307" t="s">
        <v>28</v>
      </c>
      <c r="P2307">
        <v>0</v>
      </c>
      <c r="Q2307">
        <v>0</v>
      </c>
      <c r="R2307">
        <v>3</v>
      </c>
      <c r="S2307" s="2">
        <v>41774</v>
      </c>
      <c r="T2307" s="2">
        <v>41780</v>
      </c>
      <c r="U2307" s="2">
        <v>42661</v>
      </c>
      <c r="V2307" s="2">
        <v>42677</v>
      </c>
    </row>
    <row r="2308" spans="1:22" x14ac:dyDescent="0.2">
      <c r="A2308" t="str">
        <f>"392.5 FEN"</f>
        <v>392.5 FEN</v>
      </c>
      <c r="B2308" t="str">
        <f>"It's all about the dress: savvy secrets,"</f>
        <v>It's all about the dress: savvy secrets,</v>
      </c>
      <c r="C2308">
        <v>303879</v>
      </c>
      <c r="D2308" t="str">
        <f>"Fenoli, Randy."</f>
        <v>Fenoli, Randy.</v>
      </c>
      <c r="F2308" t="str">
        <f>"230 p., 27 cm., ill. (chiefly col.)"</f>
        <v>230 p., 27 cm., ill. (chiefly col.)</v>
      </c>
      <c r="G2308" s="1">
        <v>11</v>
      </c>
      <c r="H2308">
        <v>2011</v>
      </c>
      <c r="I2308" t="str">
        <f t="shared" si="91"/>
        <v>9: 300 - 399</v>
      </c>
      <c r="K2308" t="str">
        <f>"LL - In"</f>
        <v>LL - In</v>
      </c>
      <c r="L2308" s="1">
        <v>33</v>
      </c>
      <c r="M2308" t="s">
        <v>2137</v>
      </c>
      <c r="O2308" t="s">
        <v>28</v>
      </c>
      <c r="P2308">
        <v>0</v>
      </c>
      <c r="Q2308">
        <v>0</v>
      </c>
      <c r="R2308">
        <v>11</v>
      </c>
      <c r="S2308" s="2">
        <v>40849</v>
      </c>
      <c r="T2308" s="2">
        <v>41053</v>
      </c>
      <c r="U2308" s="2">
        <v>41016</v>
      </c>
      <c r="V2308" s="2">
        <v>41587</v>
      </c>
    </row>
    <row r="2309" spans="1:22" x14ac:dyDescent="0.2">
      <c r="A2309" t="str">
        <f>"392.5 SOU"</f>
        <v>392.5 SOU</v>
      </c>
      <c r="B2309" t="str">
        <f>"Weddings   celebrations to inspire"</f>
        <v>Weddings   celebrations to inspire</v>
      </c>
      <c r="C2309">
        <v>329552</v>
      </c>
      <c r="D2309" t="str">
        <f>"Souza, Sasha"</f>
        <v>Souza, Sasha</v>
      </c>
      <c r="F2309" t="str">
        <f>"215 p."</f>
        <v>215 p.</v>
      </c>
      <c r="G2309" s="1">
        <v>15</v>
      </c>
      <c r="H2309">
        <v>2014</v>
      </c>
      <c r="I2309" t="str">
        <f t="shared" si="91"/>
        <v>9: 300 - 399</v>
      </c>
      <c r="K2309" t="str">
        <f>"LL - In"</f>
        <v>LL - In</v>
      </c>
      <c r="L2309" s="1">
        <v>25</v>
      </c>
      <c r="M2309" t="s">
        <v>2138</v>
      </c>
      <c r="O2309" t="s">
        <v>28</v>
      </c>
      <c r="P2309">
        <v>2</v>
      </c>
      <c r="Q2309">
        <v>0</v>
      </c>
      <c r="R2309">
        <v>5</v>
      </c>
      <c r="S2309" s="2">
        <v>42240</v>
      </c>
      <c r="T2309" s="2">
        <v>42282</v>
      </c>
      <c r="U2309" s="2">
        <v>43292</v>
      </c>
    </row>
    <row r="2310" spans="1:22" x14ac:dyDescent="0.2">
      <c r="A2310" t="str">
        <f>"393 DOU"</f>
        <v>393 DOU</v>
      </c>
      <c r="B2310" t="str">
        <f>"From here to eternity: traveling the wor"</f>
        <v>From here to eternity: traveling the wor</v>
      </c>
      <c r="C2310">
        <v>297224</v>
      </c>
      <c r="D2310" t="str">
        <f>"Doughty, Caitlin."</f>
        <v>Doughty, Caitlin.</v>
      </c>
      <c r="F2310" t="str">
        <f>"236 p."</f>
        <v>236 p.</v>
      </c>
      <c r="G2310" s="1">
        <v>17</v>
      </c>
      <c r="H2310">
        <v>2017</v>
      </c>
      <c r="I2310" t="str">
        <f t="shared" si="91"/>
        <v>9: 300 - 399</v>
      </c>
      <c r="K2310" t="str">
        <f>"WB - In"</f>
        <v>WB - In</v>
      </c>
      <c r="L2310" s="1">
        <v>30</v>
      </c>
      <c r="M2310" t="s">
        <v>2139</v>
      </c>
      <c r="O2310" t="s">
        <v>28</v>
      </c>
      <c r="P2310">
        <v>7</v>
      </c>
      <c r="Q2310">
        <v>1</v>
      </c>
      <c r="R2310">
        <v>8</v>
      </c>
      <c r="S2310" s="2">
        <v>43012</v>
      </c>
      <c r="T2310" s="2">
        <v>43174</v>
      </c>
      <c r="U2310" s="2">
        <v>43190</v>
      </c>
      <c r="V2310" s="2">
        <v>43032</v>
      </c>
    </row>
    <row r="2311" spans="1:22" x14ac:dyDescent="0.2">
      <c r="A2311" t="str">
        <f>"393 DOU"</f>
        <v>393 DOU</v>
      </c>
      <c r="B2311" t="str">
        <f>"Smoke gets in your eyes &amp; other lessons "</f>
        <v xml:space="preserve">Smoke gets in your eyes &amp; other lessons </v>
      </c>
      <c r="C2311">
        <v>323901</v>
      </c>
      <c r="D2311" t="str">
        <f>"Doughty, Caitlin."</f>
        <v>Doughty, Caitlin.</v>
      </c>
      <c r="F2311" t="str">
        <f>"x, 254 pages, 22 cm"</f>
        <v>x, 254 pages, 22 cm</v>
      </c>
      <c r="G2311" s="1">
        <v>14</v>
      </c>
      <c r="H2311">
        <v>2014</v>
      </c>
      <c r="I2311" t="str">
        <f t="shared" si="91"/>
        <v>9: 300 - 399</v>
      </c>
      <c r="K2311" t="str">
        <f>"WB - In"</f>
        <v>WB - In</v>
      </c>
      <c r="L2311" s="1">
        <v>30</v>
      </c>
      <c r="M2311" t="s">
        <v>2140</v>
      </c>
      <c r="O2311" t="s">
        <v>28</v>
      </c>
      <c r="P2311">
        <v>4</v>
      </c>
      <c r="Q2311">
        <v>0</v>
      </c>
      <c r="R2311">
        <v>19</v>
      </c>
      <c r="S2311" s="2">
        <v>41912</v>
      </c>
      <c r="T2311" s="2">
        <v>42107</v>
      </c>
      <c r="U2311" s="2">
        <v>43742</v>
      </c>
    </row>
    <row r="2312" spans="1:22" x14ac:dyDescent="0.2">
      <c r="A2312" t="str">
        <f>"393 HER"</f>
        <v>393 HER</v>
      </c>
      <c r="B2312" t="str">
        <f>"Reimagining death: stories and practical"</f>
        <v>Reimagining death: stories and practical</v>
      </c>
      <c r="C2312">
        <v>352274</v>
      </c>
      <c r="D2312" t="str">
        <f>"Herring, Lucinda"</f>
        <v>Herring, Lucinda</v>
      </c>
      <c r="F2312" t="str">
        <f>"257 p."</f>
        <v>257 p.</v>
      </c>
      <c r="G2312" s="1">
        <v>19</v>
      </c>
      <c r="H2312">
        <v>2019</v>
      </c>
      <c r="I2312" t="str">
        <f t="shared" ref="I2312:I2375" si="93">"9: 300 - 399"</f>
        <v>9: 300 - 399</v>
      </c>
      <c r="K2312" t="str">
        <f>"WB - In"</f>
        <v>WB - In</v>
      </c>
      <c r="L2312" s="1">
        <v>27</v>
      </c>
      <c r="M2312" t="s">
        <v>2141</v>
      </c>
      <c r="O2312" t="s">
        <v>28</v>
      </c>
      <c r="P2312">
        <v>0</v>
      </c>
      <c r="Q2312">
        <v>0</v>
      </c>
      <c r="R2312">
        <v>0</v>
      </c>
      <c r="S2312" s="2">
        <v>43479</v>
      </c>
      <c r="T2312" s="2">
        <v>43493</v>
      </c>
    </row>
    <row r="2313" spans="1:22" x14ac:dyDescent="0.2">
      <c r="A2313" t="str">
        <f>"393 HEW"</f>
        <v>393 HEW</v>
      </c>
      <c r="B2313" t="str">
        <f>"Good words: memorializing through a eulo"</f>
        <v>Good words: memorializing through a eulo</v>
      </c>
      <c r="C2313">
        <v>296814</v>
      </c>
      <c r="D2313" t="str">
        <f>"Hewett, Beth L."</f>
        <v>Hewett, Beth L.</v>
      </c>
      <c r="F2313" t="str">
        <f>"207 p."</f>
        <v>207 p.</v>
      </c>
      <c r="G2313" s="1">
        <v>17</v>
      </c>
      <c r="H2313">
        <v>2014</v>
      </c>
      <c r="I2313" t="str">
        <f t="shared" si="93"/>
        <v>9: 300 - 399</v>
      </c>
      <c r="K2313" t="str">
        <f>"WB - In"</f>
        <v>WB - In</v>
      </c>
      <c r="L2313" s="1">
        <v>23</v>
      </c>
      <c r="M2313" t="s">
        <v>2142</v>
      </c>
      <c r="O2313" t="s">
        <v>28</v>
      </c>
      <c r="P2313">
        <v>2</v>
      </c>
      <c r="Q2313">
        <v>1</v>
      </c>
      <c r="R2313">
        <v>3</v>
      </c>
      <c r="S2313" s="2">
        <v>42984</v>
      </c>
      <c r="T2313" s="2">
        <v>42990</v>
      </c>
      <c r="U2313" s="2">
        <v>43008</v>
      </c>
      <c r="V2313" s="2">
        <v>43251</v>
      </c>
    </row>
    <row r="2314" spans="1:22" x14ac:dyDescent="0.2">
      <c r="A2314" t="str">
        <f>"393 MET"</f>
        <v>393 MET</v>
      </c>
      <c r="B2314" t="str">
        <f>"Being dead is no excuse: the official So"</f>
        <v>Being dead is no excuse: the official So</v>
      </c>
      <c r="C2314">
        <v>189791</v>
      </c>
      <c r="D2314" t="str">
        <f>"Metcalfe, Gayden"</f>
        <v>Metcalfe, Gayden</v>
      </c>
      <c r="F2314" t="str">
        <f>"243 p."</f>
        <v>243 p.</v>
      </c>
      <c r="G2314">
        <v>5</v>
      </c>
      <c r="H2314">
        <v>2005</v>
      </c>
      <c r="I2314" t="str">
        <f t="shared" si="93"/>
        <v>9: 300 - 399</v>
      </c>
      <c r="K2314" t="str">
        <f>"WB - In"</f>
        <v>WB - In</v>
      </c>
      <c r="L2314" s="1">
        <v>25</v>
      </c>
      <c r="M2314" t="s">
        <v>2143</v>
      </c>
      <c r="O2314" t="s">
        <v>28</v>
      </c>
      <c r="P2314">
        <v>2</v>
      </c>
      <c r="Q2314">
        <v>1</v>
      </c>
      <c r="R2314">
        <v>24</v>
      </c>
      <c r="S2314" s="2">
        <v>38637</v>
      </c>
      <c r="T2314" s="2">
        <v>41053</v>
      </c>
      <c r="U2314" s="2">
        <v>43193</v>
      </c>
      <c r="V2314" s="2">
        <v>43335</v>
      </c>
    </row>
    <row r="2315" spans="1:22" x14ac:dyDescent="0.2">
      <c r="A2315" t="str">
        <f>"393 MIT"</f>
        <v>393 MIT</v>
      </c>
      <c r="B2315" t="str">
        <f>"American way of death revisited"</f>
        <v>American way of death revisited</v>
      </c>
      <c r="C2315">
        <v>322445</v>
      </c>
      <c r="D2315" t="str">
        <f>"Mitford, Jessica,"</f>
        <v>Mitford, Jessica,</v>
      </c>
      <c r="F2315" t="str">
        <f>"xix, 296 p., 21 cm"</f>
        <v>xix, 296 p., 21 cm</v>
      </c>
      <c r="G2315" s="1">
        <v>14</v>
      </c>
      <c r="H2315">
        <v>2000</v>
      </c>
      <c r="I2315" t="str">
        <f t="shared" si="93"/>
        <v>9: 300 - 399</v>
      </c>
      <c r="K2315" t="str">
        <f>"LL - In"</f>
        <v>LL - In</v>
      </c>
      <c r="L2315" s="1">
        <v>22</v>
      </c>
      <c r="M2315" t="s">
        <v>2144</v>
      </c>
      <c r="O2315" t="s">
        <v>28</v>
      </c>
      <c r="P2315">
        <v>1</v>
      </c>
      <c r="Q2315">
        <v>0</v>
      </c>
      <c r="R2315">
        <v>3</v>
      </c>
      <c r="S2315" s="2">
        <v>41827</v>
      </c>
      <c r="T2315" s="2">
        <v>41835</v>
      </c>
      <c r="U2315" s="2">
        <v>43436</v>
      </c>
    </row>
    <row r="2316" spans="1:22" x14ac:dyDescent="0.2">
      <c r="A2316" t="str">
        <f>"393 RYM"</f>
        <v>393 RYM</v>
      </c>
      <c r="B2316" t="str">
        <f>"How to plan a funeral: a practical guide"</f>
        <v>How to plan a funeral: a practical guide</v>
      </c>
      <c r="C2316">
        <v>287211</v>
      </c>
      <c r="D2316" t="str">
        <f>"Ryman, Jay"</f>
        <v>Ryman, Jay</v>
      </c>
      <c r="F2316" t="str">
        <f>"139 p."</f>
        <v>139 p.</v>
      </c>
      <c r="G2316" s="1">
        <v>16</v>
      </c>
      <c r="H2316">
        <v>2015</v>
      </c>
      <c r="I2316" t="str">
        <f t="shared" si="93"/>
        <v>9: 300 - 399</v>
      </c>
      <c r="K2316" t="str">
        <f>"WB - In"</f>
        <v>WB - In</v>
      </c>
      <c r="L2316" s="1">
        <v>15</v>
      </c>
      <c r="M2316" t="s">
        <v>2145</v>
      </c>
      <c r="O2316" t="s">
        <v>28</v>
      </c>
      <c r="P2316">
        <v>1</v>
      </c>
      <c r="Q2316">
        <v>0</v>
      </c>
      <c r="R2316">
        <v>1</v>
      </c>
      <c r="S2316" s="2">
        <v>42454</v>
      </c>
      <c r="T2316" s="2">
        <v>42465</v>
      </c>
      <c r="U2316" s="2">
        <v>43028</v>
      </c>
    </row>
    <row r="2317" spans="1:22" x14ac:dyDescent="0.2">
      <c r="A2317" t="str">
        <f>"393 SLO"</f>
        <v>393 SLO</v>
      </c>
      <c r="B2317" t="str">
        <f>"Final rights: reclaiming the American wa"</f>
        <v>Final rights: reclaiming the American wa</v>
      </c>
      <c r="C2317">
        <v>301981</v>
      </c>
      <c r="D2317" t="str">
        <f>"Slocum, Joshua"</f>
        <v>Slocum, Joshua</v>
      </c>
      <c r="F2317" t="str">
        <f>"511 p., 23 cm."</f>
        <v>511 p., 23 cm.</v>
      </c>
      <c r="G2317" s="1">
        <v>11</v>
      </c>
      <c r="H2317">
        <v>2011</v>
      </c>
      <c r="I2317" t="str">
        <f t="shared" si="93"/>
        <v>9: 300 - 399</v>
      </c>
      <c r="K2317" t="str">
        <f>"LL - In"</f>
        <v>LL - In</v>
      </c>
      <c r="L2317" s="1">
        <v>25</v>
      </c>
      <c r="M2317" t="s">
        <v>2146</v>
      </c>
      <c r="O2317" t="s">
        <v>28</v>
      </c>
      <c r="P2317">
        <v>2</v>
      </c>
      <c r="Q2317">
        <v>0</v>
      </c>
      <c r="R2317">
        <v>8</v>
      </c>
      <c r="S2317" s="2">
        <v>40757</v>
      </c>
      <c r="T2317" s="2">
        <v>41053</v>
      </c>
      <c r="U2317" s="2">
        <v>43028</v>
      </c>
      <c r="V2317" s="2">
        <v>42380</v>
      </c>
    </row>
    <row r="2318" spans="1:22" x14ac:dyDescent="0.2">
      <c r="A2318" t="str">
        <f>"393 SLO"</f>
        <v>393 SLO</v>
      </c>
      <c r="B2318" t="str">
        <f>"Final rights: reclaiming the American wa"</f>
        <v>Final rights: reclaiming the American wa</v>
      </c>
      <c r="C2318">
        <v>304645</v>
      </c>
      <c r="D2318" t="str">
        <f>"Slocum, Joshua"</f>
        <v>Slocum, Joshua</v>
      </c>
      <c r="F2318" t="str">
        <f>"511 p., 23 cm."</f>
        <v>511 p., 23 cm.</v>
      </c>
      <c r="G2318" s="1">
        <v>11</v>
      </c>
      <c r="H2318">
        <v>2011</v>
      </c>
      <c r="I2318" t="str">
        <f t="shared" si="93"/>
        <v>9: 300 - 399</v>
      </c>
      <c r="K2318" t="str">
        <f>"WB - In"</f>
        <v>WB - In</v>
      </c>
      <c r="L2318" s="1">
        <v>25</v>
      </c>
      <c r="M2318" t="s">
        <v>2146</v>
      </c>
      <c r="O2318" t="s">
        <v>28</v>
      </c>
      <c r="P2318">
        <v>2</v>
      </c>
      <c r="Q2318">
        <v>0</v>
      </c>
      <c r="R2318">
        <v>6</v>
      </c>
      <c r="S2318" s="2">
        <v>40891</v>
      </c>
      <c r="T2318" s="2">
        <v>41053</v>
      </c>
      <c r="U2318" s="2">
        <v>42984</v>
      </c>
    </row>
    <row r="2319" spans="1:22" x14ac:dyDescent="0.2">
      <c r="A2319" t="str">
        <f>"393 TAN"</f>
        <v>393 TAN</v>
      </c>
      <c r="B2319" t="str">
        <f>"Deliver your own eulogy: embracing morta"</f>
        <v>Deliver your own eulogy: embracing morta</v>
      </c>
      <c r="C2319">
        <v>289255</v>
      </c>
      <c r="D2319" t="str">
        <f>"Tan, Teng-Kee"</f>
        <v>Tan, Teng-Kee</v>
      </c>
      <c r="F2319" t="str">
        <f>"198 p."</f>
        <v>198 p.</v>
      </c>
      <c r="G2319" s="1">
        <v>16</v>
      </c>
      <c r="H2319">
        <v>2015</v>
      </c>
      <c r="I2319" t="str">
        <f t="shared" si="93"/>
        <v>9: 300 - 399</v>
      </c>
      <c r="K2319" t="str">
        <f>"WB - In"</f>
        <v>WB - In</v>
      </c>
      <c r="L2319" s="1">
        <v>25</v>
      </c>
      <c r="M2319" t="s">
        <v>2147</v>
      </c>
      <c r="O2319" t="s">
        <v>28</v>
      </c>
      <c r="P2319">
        <v>1</v>
      </c>
      <c r="Q2319">
        <v>0</v>
      </c>
      <c r="R2319">
        <v>1</v>
      </c>
      <c r="S2319" s="2">
        <v>42561</v>
      </c>
      <c r="T2319" s="2">
        <v>42635</v>
      </c>
      <c r="U2319" s="2">
        <v>42900</v>
      </c>
    </row>
    <row r="2320" spans="1:22" x14ac:dyDescent="0.2">
      <c r="A2320" t="str">
        <f>"393 TOO"</f>
        <v>393 TOO</v>
      </c>
      <c r="B2320" t="str">
        <f>"My father's wake: how the Irish teach us"</f>
        <v>My father's wake: how the Irish teach us</v>
      </c>
      <c r="C2320">
        <v>347053</v>
      </c>
      <c r="D2320" t="str">
        <f>"Toolis, Kevin"</f>
        <v>Toolis, Kevin</v>
      </c>
      <c r="F2320" t="str">
        <f>"275 pages, 22 cm"</f>
        <v>275 pages, 22 cm</v>
      </c>
      <c r="G2320" s="1">
        <v>18</v>
      </c>
      <c r="H2320">
        <v>2017</v>
      </c>
      <c r="I2320" t="str">
        <f t="shared" si="93"/>
        <v>9: 300 - 399</v>
      </c>
      <c r="K2320" t="str">
        <f>"WB - In"</f>
        <v>WB - In</v>
      </c>
      <c r="L2320" s="1">
        <v>31</v>
      </c>
      <c r="M2320" t="s">
        <v>2148</v>
      </c>
      <c r="O2320" t="s">
        <v>28</v>
      </c>
      <c r="P2320">
        <v>8</v>
      </c>
      <c r="Q2320">
        <v>0</v>
      </c>
      <c r="R2320">
        <v>8</v>
      </c>
      <c r="S2320" s="2">
        <v>43192</v>
      </c>
      <c r="T2320" s="2">
        <v>43376</v>
      </c>
      <c r="U2320" s="2">
        <v>43366</v>
      </c>
    </row>
    <row r="2321" spans="1:22" x14ac:dyDescent="0.2">
      <c r="A2321" t="str">
        <f>"394.2 CAR"</f>
        <v>394.2 CAR</v>
      </c>
      <c r="B2321" t="str">
        <f>"Festivals, family and food: guide to sea"</f>
        <v>Festivals, family and food: guide to sea</v>
      </c>
      <c r="C2321">
        <v>242823</v>
      </c>
      <c r="D2321" t="str">
        <f>"Carey, Diana"</f>
        <v>Carey, Diana</v>
      </c>
      <c r="F2321" t="str">
        <f>"viii, 215 p."</f>
        <v>viii, 215 p.</v>
      </c>
      <c r="G2321" s="1">
        <v>10</v>
      </c>
      <c r="H2321">
        <v>1982</v>
      </c>
      <c r="I2321" t="str">
        <f t="shared" si="93"/>
        <v>9: 300 - 399</v>
      </c>
      <c r="K2321" t="str">
        <f>"WB - In"</f>
        <v>WB - In</v>
      </c>
      <c r="L2321" s="1">
        <v>27</v>
      </c>
      <c r="M2321" t="s">
        <v>2149</v>
      </c>
      <c r="O2321" t="s">
        <v>28</v>
      </c>
      <c r="P2321">
        <v>2</v>
      </c>
      <c r="Q2321">
        <v>1</v>
      </c>
      <c r="R2321">
        <v>12</v>
      </c>
      <c r="S2321" s="2">
        <v>40519</v>
      </c>
      <c r="T2321" s="2">
        <v>41053</v>
      </c>
      <c r="U2321" s="2">
        <v>43052</v>
      </c>
      <c r="V2321" s="2">
        <v>43833</v>
      </c>
    </row>
    <row r="2322" spans="1:22" x14ac:dyDescent="0.2">
      <c r="A2322" t="str">
        <f>"394.2 CHR BEA"</f>
        <v>394.2 CHR BEA</v>
      </c>
      <c r="B2322" t="str">
        <f>"beautiful word for Christmas: to bring t"</f>
        <v>beautiful word for Christmas: to bring t</v>
      </c>
      <c r="C2322">
        <v>298349</v>
      </c>
      <c r="F2322" t="str">
        <f>"207 p."</f>
        <v>207 p.</v>
      </c>
      <c r="G2322" s="1">
        <v>17</v>
      </c>
      <c r="H2322">
        <v>2016</v>
      </c>
      <c r="I2322" t="str">
        <f t="shared" si="93"/>
        <v>9: 300 - 399</v>
      </c>
      <c r="K2322" t="str">
        <f>"LL - In"</f>
        <v>LL - In</v>
      </c>
      <c r="L2322" s="1">
        <v>20</v>
      </c>
      <c r="M2322" t="s">
        <v>2150</v>
      </c>
      <c r="O2322" t="s">
        <v>28</v>
      </c>
      <c r="P2322">
        <v>2</v>
      </c>
      <c r="Q2322">
        <v>0</v>
      </c>
      <c r="R2322">
        <v>2</v>
      </c>
      <c r="S2322" s="2">
        <v>43074</v>
      </c>
      <c r="T2322" s="2">
        <v>43153</v>
      </c>
      <c r="U2322" s="2">
        <v>43105</v>
      </c>
    </row>
    <row r="2323" spans="1:22" x14ac:dyDescent="0.2">
      <c r="A2323" t="str">
        <f>"394.2 CHR BEE"</f>
        <v>394.2 CHR BEE</v>
      </c>
      <c r="B2323" t="str">
        <f>"Christmas garland"</f>
        <v>Christmas garland</v>
      </c>
      <c r="C2323">
        <v>283315</v>
      </c>
      <c r="D2323" t="str">
        <f>"Beerbohm, Max"</f>
        <v>Beerbohm, Max</v>
      </c>
      <c r="F2323" t="str">
        <f>"69 p."</f>
        <v>69 p.</v>
      </c>
      <c r="G2323" s="1">
        <v>15</v>
      </c>
      <c r="H2323">
        <v>2005</v>
      </c>
      <c r="I2323" t="str">
        <f t="shared" si="93"/>
        <v>9: 300 - 399</v>
      </c>
      <c r="K2323" t="str">
        <f>"WB - In"</f>
        <v>WB - In</v>
      </c>
      <c r="L2323" s="1">
        <v>13</v>
      </c>
      <c r="O2323" t="s">
        <v>28</v>
      </c>
      <c r="P2323">
        <v>0</v>
      </c>
      <c r="Q2323">
        <v>0</v>
      </c>
      <c r="R2323">
        <v>2</v>
      </c>
      <c r="S2323" s="2">
        <v>42326</v>
      </c>
      <c r="T2323" s="2">
        <v>42332</v>
      </c>
      <c r="U2323" s="2">
        <v>42348</v>
      </c>
    </row>
    <row r="2324" spans="1:22" x14ac:dyDescent="0.2">
      <c r="A2324" t="str">
        <f>"394.2 CHR BIG"</f>
        <v>394.2 CHR BIG</v>
      </c>
      <c r="B2324" t="str">
        <f>"big book of Christmas songs: piano, voca"</f>
        <v>big book of Christmas songs: piano, voca</v>
      </c>
      <c r="C2324">
        <v>304462</v>
      </c>
      <c r="F2324" t="str">
        <f>"270 p."</f>
        <v>270 p.</v>
      </c>
      <c r="G2324" s="1">
        <v>11</v>
      </c>
      <c r="H2324">
        <v>1991</v>
      </c>
      <c r="I2324" t="str">
        <f t="shared" si="93"/>
        <v>9: 300 - 399</v>
      </c>
      <c r="K2324" t="str">
        <f>"WB - In"</f>
        <v>WB - In</v>
      </c>
      <c r="L2324" s="1">
        <v>25</v>
      </c>
      <c r="M2324" t="s">
        <v>2151</v>
      </c>
      <c r="O2324" t="s">
        <v>28</v>
      </c>
      <c r="P2324">
        <v>1</v>
      </c>
      <c r="Q2324">
        <v>0</v>
      </c>
      <c r="R2324">
        <v>10</v>
      </c>
      <c r="S2324" s="2">
        <v>40878</v>
      </c>
      <c r="T2324" s="2">
        <v>41053</v>
      </c>
      <c r="U2324" s="2">
        <v>43054</v>
      </c>
      <c r="V2324" s="2">
        <v>42002</v>
      </c>
    </row>
    <row r="2325" spans="1:22" x14ac:dyDescent="0.2">
      <c r="A2325" t="str">
        <f>"394.2 CHR BOO"</f>
        <v>394.2 CHR BOO</v>
      </c>
      <c r="B2325" t="str">
        <f>"big secret: the whole and honest truth a"</f>
        <v>big secret: the whole and honest truth a</v>
      </c>
      <c r="C2325">
        <v>352409</v>
      </c>
      <c r="F2325" t="s">
        <v>2152</v>
      </c>
      <c r="G2325" s="1">
        <v>19</v>
      </c>
      <c r="H2325">
        <v>2015</v>
      </c>
      <c r="I2325" t="str">
        <f t="shared" si="93"/>
        <v>9: 300 - 399</v>
      </c>
      <c r="K2325" t="str">
        <f>"LL - In"</f>
        <v>LL - In</v>
      </c>
      <c r="L2325" s="1">
        <v>20</v>
      </c>
      <c r="M2325" t="s">
        <v>2153</v>
      </c>
      <c r="O2325" t="s">
        <v>28</v>
      </c>
      <c r="P2325">
        <v>0</v>
      </c>
      <c r="Q2325">
        <v>1</v>
      </c>
      <c r="R2325">
        <v>1</v>
      </c>
      <c r="S2325" s="2">
        <v>43488</v>
      </c>
      <c r="T2325" s="2">
        <v>43696</v>
      </c>
      <c r="V2325" s="2">
        <v>43719</v>
      </c>
    </row>
    <row r="2326" spans="1:22" x14ac:dyDescent="0.2">
      <c r="A2326" t="str">
        <f>"394.2 CHR BRA"</f>
        <v>394.2 CHR BRA</v>
      </c>
      <c r="B2326" t="str">
        <f>"Christmas joy: a keepsake book from the "</f>
        <v xml:space="preserve">Christmas joy: a keepsake book from the </v>
      </c>
      <c r="C2326">
        <v>96100</v>
      </c>
      <c r="D2326" t="str">
        <f>"Branch, Susan Stewart"</f>
        <v>Branch, Susan Stewart</v>
      </c>
      <c r="F2326" t="str">
        <f>"48 p"</f>
        <v>48 p</v>
      </c>
      <c r="G2326">
        <v>0</v>
      </c>
      <c r="H2326">
        <v>1995</v>
      </c>
      <c r="I2326" t="str">
        <f t="shared" si="93"/>
        <v>9: 300 - 399</v>
      </c>
      <c r="K2326" t="str">
        <f>"LL - In"</f>
        <v>LL - In</v>
      </c>
      <c r="L2326" s="1">
        <v>15</v>
      </c>
      <c r="M2326" t="s">
        <v>2154</v>
      </c>
      <c r="O2326" t="s">
        <v>28</v>
      </c>
      <c r="P2326">
        <v>0</v>
      </c>
      <c r="Q2326">
        <v>0</v>
      </c>
      <c r="R2326">
        <v>20</v>
      </c>
      <c r="S2326" s="2">
        <v>36593</v>
      </c>
      <c r="T2326" s="2">
        <v>42580</v>
      </c>
      <c r="U2326" s="2">
        <v>42348</v>
      </c>
      <c r="V2326" s="2">
        <v>42058</v>
      </c>
    </row>
    <row r="2327" spans="1:22" x14ac:dyDescent="0.2">
      <c r="A2327" t="str">
        <f>"394.2 CHR BRA"</f>
        <v>394.2 CHR BRA</v>
      </c>
      <c r="B2327" t="str">
        <f>"Christmas joy: a keepsake book from the "</f>
        <v xml:space="preserve">Christmas joy: a keepsake book from the </v>
      </c>
      <c r="C2327">
        <v>302543</v>
      </c>
      <c r="D2327" t="str">
        <f>"Branch, Susan Stewart"</f>
        <v>Branch, Susan Stewart</v>
      </c>
      <c r="F2327" t="str">
        <f>"48 p"</f>
        <v>48 p</v>
      </c>
      <c r="G2327" s="1">
        <v>11</v>
      </c>
      <c r="H2327">
        <v>1995</v>
      </c>
      <c r="I2327" t="str">
        <f t="shared" si="93"/>
        <v>9: 300 - 399</v>
      </c>
      <c r="K2327" t="str">
        <f>"WB - In"</f>
        <v>WB - In</v>
      </c>
      <c r="L2327" s="1">
        <v>16</v>
      </c>
      <c r="M2327" t="s">
        <v>2154</v>
      </c>
      <c r="O2327" t="s">
        <v>28</v>
      </c>
      <c r="P2327">
        <v>3</v>
      </c>
      <c r="Q2327">
        <v>1</v>
      </c>
      <c r="R2327">
        <v>17</v>
      </c>
      <c r="S2327" s="2">
        <v>40786</v>
      </c>
      <c r="T2327" s="2">
        <v>41053</v>
      </c>
      <c r="U2327" s="2">
        <v>43810</v>
      </c>
      <c r="V2327" s="2">
        <v>43838</v>
      </c>
    </row>
    <row r="2328" spans="1:22" x14ac:dyDescent="0.2">
      <c r="A2328" t="str">
        <f>"394.2 CHR BRU"</f>
        <v>394.2 CHR BRU</v>
      </c>
      <c r="B2328" t="str">
        <f>"Inventing the Christmas tree"</f>
        <v>Inventing the Christmas tree</v>
      </c>
      <c r="C2328">
        <v>262183</v>
      </c>
      <c r="D2328" t="str">
        <f>"Brunner, Bernd,"</f>
        <v>Brunner, Bernd,</v>
      </c>
      <c r="F2328" t="str">
        <f>"99 p., 19 cm., ill. (some col.)"</f>
        <v>99 p., 19 cm., ill. (some col.)</v>
      </c>
      <c r="G2328" s="1">
        <v>12</v>
      </c>
      <c r="H2328">
        <v>2012</v>
      </c>
      <c r="I2328" t="str">
        <f t="shared" si="93"/>
        <v>9: 300 - 399</v>
      </c>
      <c r="K2328" t="str">
        <f>"WB - In"</f>
        <v>WB - In</v>
      </c>
      <c r="L2328" s="1">
        <v>20</v>
      </c>
      <c r="M2328" t="s">
        <v>2155</v>
      </c>
      <c r="O2328" t="s">
        <v>28</v>
      </c>
      <c r="P2328">
        <v>3</v>
      </c>
      <c r="Q2328">
        <v>0</v>
      </c>
      <c r="R2328">
        <v>7</v>
      </c>
      <c r="S2328" s="2">
        <v>41253</v>
      </c>
      <c r="T2328" s="2">
        <v>42422</v>
      </c>
      <c r="U2328" s="2">
        <v>43817</v>
      </c>
      <c r="V2328" s="2">
        <v>41635</v>
      </c>
    </row>
    <row r="2329" spans="1:22" x14ac:dyDescent="0.2">
      <c r="A2329" t="str">
        <f>"394.2 CHR CAP"</f>
        <v>394.2 CHR CAP</v>
      </c>
      <c r="B2329" t="str">
        <f>"Christmas memory, one Christmas, &amp; the T"</f>
        <v>Christmas memory, one Christmas, &amp; the T</v>
      </c>
      <c r="C2329">
        <v>158629</v>
      </c>
      <c r="D2329" t="str">
        <f>"Capote, Truman"</f>
        <v>Capote, Truman</v>
      </c>
      <c r="F2329" t="str">
        <f>"107 p."</f>
        <v>107 p.</v>
      </c>
      <c r="G2329">
        <v>2</v>
      </c>
      <c r="H2329">
        <v>1996</v>
      </c>
      <c r="I2329" t="str">
        <f t="shared" si="93"/>
        <v>9: 300 - 399</v>
      </c>
      <c r="K2329" t="str">
        <f>"WB - In"</f>
        <v>WB - In</v>
      </c>
      <c r="L2329" s="1">
        <v>19</v>
      </c>
      <c r="M2329" t="s">
        <v>2156</v>
      </c>
      <c r="O2329" t="s">
        <v>28</v>
      </c>
      <c r="P2329">
        <v>1</v>
      </c>
      <c r="Q2329">
        <v>0</v>
      </c>
      <c r="R2329">
        <v>33</v>
      </c>
      <c r="S2329" s="2">
        <v>37259</v>
      </c>
      <c r="T2329" s="2">
        <v>41053</v>
      </c>
      <c r="U2329" s="2">
        <v>43045</v>
      </c>
      <c r="V2329" s="2">
        <v>41276</v>
      </c>
    </row>
    <row r="2330" spans="1:22" x14ac:dyDescent="0.2">
      <c r="A2330" t="str">
        <f>"394.2 CHR CHI"</f>
        <v>394.2 CHR CHI</v>
      </c>
      <c r="B2330" t="str">
        <f>"Chicken soup for the soul: Christmas mag"</f>
        <v>Chicken soup for the soul: Christmas mag</v>
      </c>
      <c r="C2330">
        <v>145990</v>
      </c>
      <c r="F2330" t="str">
        <f>"xiv, 381 p., 22 cm."</f>
        <v>xiv, 381 p., 22 cm.</v>
      </c>
      <c r="G2330" s="1">
        <v>10</v>
      </c>
      <c r="H2330">
        <v>2010</v>
      </c>
      <c r="I2330" t="str">
        <f t="shared" si="93"/>
        <v>9: 300 - 399</v>
      </c>
      <c r="K2330" t="str">
        <f>"WB - In"</f>
        <v>WB - In</v>
      </c>
      <c r="L2330" s="1">
        <v>20</v>
      </c>
      <c r="M2330" t="s">
        <v>2157</v>
      </c>
      <c r="O2330" t="s">
        <v>28</v>
      </c>
      <c r="P2330">
        <v>1</v>
      </c>
      <c r="Q2330">
        <v>1</v>
      </c>
      <c r="R2330">
        <v>13</v>
      </c>
      <c r="S2330" s="2">
        <v>40477</v>
      </c>
      <c r="T2330" s="2">
        <v>42422</v>
      </c>
      <c r="U2330" s="2">
        <v>43818</v>
      </c>
      <c r="V2330" s="2">
        <v>43738</v>
      </c>
    </row>
    <row r="2331" spans="1:22" x14ac:dyDescent="0.2">
      <c r="A2331" t="str">
        <f>"394.2 CHR CHI"</f>
        <v>394.2 CHR CHI</v>
      </c>
      <c r="B2331" t="str">
        <f>"Chicken soup for the soul: the gift of C"</f>
        <v>Chicken soup for the soul: the gift of C</v>
      </c>
      <c r="C2331">
        <v>340469</v>
      </c>
      <c r="F2331" t="str">
        <f>"x, 468 p., 22 cm"</f>
        <v>x, 468 p., 22 cm</v>
      </c>
      <c r="G2331" s="1">
        <v>17</v>
      </c>
      <c r="H2331">
        <v>2012</v>
      </c>
      <c r="I2331" t="str">
        <f t="shared" si="93"/>
        <v>9: 300 - 399</v>
      </c>
      <c r="K2331" t="str">
        <f>"LL - In"</f>
        <v>LL - In</v>
      </c>
      <c r="L2331" s="1">
        <v>20</v>
      </c>
      <c r="M2331" t="s">
        <v>2158</v>
      </c>
      <c r="O2331" t="s">
        <v>28</v>
      </c>
      <c r="P2331">
        <v>0</v>
      </c>
      <c r="Q2331">
        <v>0</v>
      </c>
      <c r="R2331">
        <v>0</v>
      </c>
      <c r="S2331" s="2">
        <v>42821</v>
      </c>
      <c r="T2331" s="2">
        <v>42829</v>
      </c>
    </row>
    <row r="2332" spans="1:22" x14ac:dyDescent="0.2">
      <c r="A2332" t="str">
        <f>"394.2 CHR CHR"</f>
        <v>394.2 CHR CHR</v>
      </c>
      <c r="B2332" t="str">
        <f>"Christmas all through the South: joyful "</f>
        <v xml:space="preserve">Christmas all through the South: joyful </v>
      </c>
      <c r="C2332">
        <v>330805</v>
      </c>
      <c r="F2332" t="str">
        <f>"399 pages, 29 cm, color illustrations"</f>
        <v>399 pages, 29 cm, color illustrations</v>
      </c>
      <c r="G2332" s="1">
        <v>15</v>
      </c>
      <c r="H2332">
        <v>2014</v>
      </c>
      <c r="I2332" t="str">
        <f t="shared" si="93"/>
        <v>9: 300 - 399</v>
      </c>
      <c r="K2332" t="str">
        <f>"LL - In"</f>
        <v>LL - In</v>
      </c>
      <c r="L2332" s="1">
        <v>45</v>
      </c>
      <c r="M2332" t="s">
        <v>2159</v>
      </c>
      <c r="O2332" t="s">
        <v>28</v>
      </c>
      <c r="P2332">
        <v>0</v>
      </c>
      <c r="Q2332">
        <v>0</v>
      </c>
      <c r="R2332">
        <v>4</v>
      </c>
      <c r="S2332" s="2">
        <v>42300</v>
      </c>
      <c r="T2332" s="2">
        <v>42422</v>
      </c>
      <c r="U2332" s="2">
        <v>42694</v>
      </c>
    </row>
    <row r="2333" spans="1:22" x14ac:dyDescent="0.2">
      <c r="A2333" t="str">
        <f>"394.2 CHR CHR"</f>
        <v>394.2 CHR CHR</v>
      </c>
      <c r="B2333" t="str">
        <f>"Christmas carols"</f>
        <v>Christmas carols</v>
      </c>
      <c r="C2333">
        <v>166808</v>
      </c>
      <c r="F2333" t="str">
        <f>"64 p."</f>
        <v>64 p.</v>
      </c>
      <c r="G2333">
        <v>2</v>
      </c>
      <c r="H2333">
        <v>1990</v>
      </c>
      <c r="I2333" t="str">
        <f t="shared" si="93"/>
        <v>9: 300 - 399</v>
      </c>
      <c r="K2333" t="str">
        <f>"WB - In"</f>
        <v>WB - In</v>
      </c>
      <c r="L2333" s="1">
        <v>15</v>
      </c>
      <c r="M2333" t="s">
        <v>2160</v>
      </c>
      <c r="O2333" t="s">
        <v>28</v>
      </c>
      <c r="P2333">
        <v>0</v>
      </c>
      <c r="Q2333">
        <v>1</v>
      </c>
      <c r="R2333">
        <v>16</v>
      </c>
      <c r="S2333" s="2">
        <v>37587</v>
      </c>
      <c r="T2333" s="2">
        <v>41053</v>
      </c>
      <c r="U2333" s="2">
        <v>41990</v>
      </c>
      <c r="V2333" s="2">
        <v>43781</v>
      </c>
    </row>
    <row r="2334" spans="1:22" x14ac:dyDescent="0.2">
      <c r="A2334" t="str">
        <f>"394.2 CHR CHR"</f>
        <v>394.2 CHR CHR</v>
      </c>
      <c r="B2334" t="str">
        <f>"Christmas joys: decorating, crafts &amp; rec"</f>
        <v>Christmas joys: decorating, crafts &amp; rec</v>
      </c>
      <c r="C2334">
        <v>331649</v>
      </c>
      <c r="F2334" t="str">
        <f>"280 pages, 26 cm, color illustrations"</f>
        <v>280 pages, 26 cm, color illustrations</v>
      </c>
      <c r="G2334" s="1">
        <v>15</v>
      </c>
      <c r="H2334">
        <v>2015</v>
      </c>
      <c r="I2334" t="str">
        <f t="shared" si="93"/>
        <v>9: 300 - 399</v>
      </c>
      <c r="K2334" t="str">
        <f>"WB - In"</f>
        <v>WB - In</v>
      </c>
      <c r="L2334" s="1">
        <v>35</v>
      </c>
      <c r="M2334" t="s">
        <v>2161</v>
      </c>
      <c r="O2334" t="s">
        <v>28</v>
      </c>
      <c r="P2334">
        <v>3</v>
      </c>
      <c r="Q2334">
        <v>1</v>
      </c>
      <c r="R2334">
        <v>8</v>
      </c>
      <c r="S2334" s="2">
        <v>42332</v>
      </c>
      <c r="T2334" s="2">
        <v>42365</v>
      </c>
      <c r="U2334" s="2">
        <v>43819</v>
      </c>
      <c r="V2334" s="2">
        <v>43246</v>
      </c>
    </row>
    <row r="2335" spans="1:22" x14ac:dyDescent="0.2">
      <c r="A2335" t="str">
        <f>"394.2 CHR CHR"</f>
        <v>394.2 CHR CHR</v>
      </c>
      <c r="B2335" t="str">
        <f>"Christmas ornaments: exquisite handmade "</f>
        <v xml:space="preserve">Christmas ornaments: exquisite handmade </v>
      </c>
      <c r="C2335">
        <v>94374</v>
      </c>
      <c r="F2335" t="str">
        <f>"64 p"</f>
        <v>64 p</v>
      </c>
      <c r="G2335">
        <v>99</v>
      </c>
      <c r="H2335">
        <v>1998</v>
      </c>
      <c r="I2335" t="str">
        <f t="shared" si="93"/>
        <v>9: 300 - 399</v>
      </c>
      <c r="K2335" t="str">
        <f>"WB - In"</f>
        <v>WB - In</v>
      </c>
      <c r="L2335" s="1">
        <v>15</v>
      </c>
      <c r="M2335" t="s">
        <v>2162</v>
      </c>
      <c r="O2335" t="s">
        <v>28</v>
      </c>
      <c r="P2335">
        <v>0</v>
      </c>
      <c r="Q2335">
        <v>0</v>
      </c>
      <c r="R2335">
        <v>40</v>
      </c>
      <c r="S2335" s="2">
        <v>36453</v>
      </c>
      <c r="T2335" s="2">
        <v>41053</v>
      </c>
      <c r="U2335" s="2">
        <v>42712</v>
      </c>
      <c r="V2335" s="2">
        <v>42368</v>
      </c>
    </row>
    <row r="2336" spans="1:22" x14ac:dyDescent="0.2">
      <c r="A2336" t="str">
        <f>"394.2 CHR CHR"</f>
        <v>394.2 CHR CHR</v>
      </c>
      <c r="B2336" t="str">
        <f>"Christmas with Southern living, 2016: th"</f>
        <v>Christmas with Southern living, 2016: th</v>
      </c>
      <c r="C2336">
        <v>338667</v>
      </c>
      <c r="F2336" t="str">
        <f>"192 pages, 29 cm, illustrations (chiefly color)"</f>
        <v>192 pages, 29 cm, illustrations (chiefly color)</v>
      </c>
      <c r="G2336" s="1">
        <v>16</v>
      </c>
      <c r="H2336">
        <v>2016</v>
      </c>
      <c r="I2336" t="str">
        <f t="shared" si="93"/>
        <v>9: 300 - 399</v>
      </c>
      <c r="K2336" t="str">
        <f>"LL - In"</f>
        <v>LL - In</v>
      </c>
      <c r="L2336" s="1">
        <v>35</v>
      </c>
      <c r="M2336" t="s">
        <v>2163</v>
      </c>
      <c r="O2336" t="s">
        <v>28</v>
      </c>
      <c r="P2336">
        <v>1</v>
      </c>
      <c r="Q2336">
        <v>0</v>
      </c>
      <c r="R2336">
        <v>3</v>
      </c>
      <c r="S2336" s="2">
        <v>42716</v>
      </c>
      <c r="T2336" s="2">
        <v>42760</v>
      </c>
      <c r="U2336" s="2">
        <v>43017</v>
      </c>
    </row>
    <row r="2337" spans="1:22" x14ac:dyDescent="0.2">
      <c r="A2337" t="str">
        <f>"394.2 CHR COL"</f>
        <v>394.2 CHR COL</v>
      </c>
      <c r="B2337" t="str">
        <f>"Stories behind the greatest hits of Chri"</f>
        <v>Stories behind the greatest hits of Chri</v>
      </c>
      <c r="C2337">
        <v>145543</v>
      </c>
      <c r="D2337" t="str">
        <f>"Collins, Ace"</f>
        <v>Collins, Ace</v>
      </c>
      <c r="F2337" t="str">
        <f>"216 p."</f>
        <v>216 p.</v>
      </c>
      <c r="G2337" s="1">
        <v>10</v>
      </c>
      <c r="H2337">
        <v>2010</v>
      </c>
      <c r="I2337" t="str">
        <f t="shared" si="93"/>
        <v>9: 300 - 399</v>
      </c>
      <c r="K2337" t="str">
        <f>"WB - In"</f>
        <v>WB - In</v>
      </c>
      <c r="L2337" s="1">
        <v>21</v>
      </c>
      <c r="M2337" t="s">
        <v>2164</v>
      </c>
      <c r="O2337" t="s">
        <v>28</v>
      </c>
      <c r="P2337">
        <v>1</v>
      </c>
      <c r="Q2337">
        <v>2</v>
      </c>
      <c r="R2337">
        <v>12</v>
      </c>
      <c r="S2337" s="2">
        <v>40456</v>
      </c>
      <c r="T2337" s="2">
        <v>41053</v>
      </c>
      <c r="U2337" s="2">
        <v>43814</v>
      </c>
      <c r="V2337" s="2">
        <v>43781</v>
      </c>
    </row>
    <row r="2338" spans="1:22" x14ac:dyDescent="0.2">
      <c r="A2338" t="str">
        <f>"394.2 CHR ESS"</f>
        <v>394.2 CHR ESS</v>
      </c>
      <c r="B2338" t="str">
        <f>"essential Christmas cookbook"</f>
        <v>essential Christmas cookbook</v>
      </c>
      <c r="C2338">
        <v>176281</v>
      </c>
      <c r="F2338" t="str">
        <f>"304 p."</f>
        <v>304 p.</v>
      </c>
      <c r="G2338">
        <v>4</v>
      </c>
      <c r="H2338">
        <v>2000</v>
      </c>
      <c r="I2338" t="str">
        <f t="shared" si="93"/>
        <v>9: 300 - 399</v>
      </c>
      <c r="K2338" t="str">
        <f>"WB - In"</f>
        <v>WB - In</v>
      </c>
      <c r="L2338" s="1">
        <v>30</v>
      </c>
      <c r="M2338" t="s">
        <v>2165</v>
      </c>
      <c r="O2338" t="s">
        <v>28</v>
      </c>
      <c r="P2338">
        <v>0</v>
      </c>
      <c r="Q2338">
        <v>1</v>
      </c>
      <c r="R2338">
        <v>20</v>
      </c>
      <c r="S2338" s="2">
        <v>38029</v>
      </c>
      <c r="T2338" s="2">
        <v>41053</v>
      </c>
      <c r="U2338" s="2">
        <v>41987</v>
      </c>
      <c r="V2338" s="2">
        <v>43092</v>
      </c>
    </row>
    <row r="2339" spans="1:22" x14ac:dyDescent="0.2">
      <c r="A2339" t="str">
        <f>"394.2 CHR GAI"</f>
        <v>394.2 CHR GAI</v>
      </c>
      <c r="B2339" t="str">
        <f>"homecoming family Christmas: sensing the"</f>
        <v>homecoming family Christmas: sensing the</v>
      </c>
      <c r="C2339">
        <v>251786</v>
      </c>
      <c r="D2339" t="str">
        <f>"Gaither, Bill."</f>
        <v>Gaither, Bill.</v>
      </c>
      <c r="F2339" t="str">
        <f>"163 p."</f>
        <v>163 p.</v>
      </c>
      <c r="G2339" s="1">
        <v>11</v>
      </c>
      <c r="H2339">
        <v>2011</v>
      </c>
      <c r="I2339" t="str">
        <f t="shared" si="93"/>
        <v>9: 300 - 399</v>
      </c>
      <c r="K2339" t="str">
        <f>"WB - In"</f>
        <v>WB - In</v>
      </c>
      <c r="L2339" s="1">
        <v>25</v>
      </c>
      <c r="M2339" t="s">
        <v>2166</v>
      </c>
      <c r="O2339" t="s">
        <v>28</v>
      </c>
      <c r="P2339">
        <v>0</v>
      </c>
      <c r="Q2339">
        <v>2</v>
      </c>
      <c r="R2339">
        <v>10</v>
      </c>
      <c r="S2339" s="2">
        <v>40829</v>
      </c>
      <c r="T2339" s="2">
        <v>41053</v>
      </c>
      <c r="U2339" s="2">
        <v>41613</v>
      </c>
      <c r="V2339" s="2">
        <v>43827</v>
      </c>
    </row>
    <row r="2340" spans="1:22" x14ac:dyDescent="0.2">
      <c r="A2340" t="str">
        <f>"394.2 CHR GEN"</f>
        <v>394.2 CHR GEN</v>
      </c>
      <c r="B2340" t="str">
        <f>"(wonderful) truth about Santa"</f>
        <v>(wonderful) truth about Santa</v>
      </c>
      <c r="C2340">
        <v>352404</v>
      </c>
      <c r="D2340" t="str">
        <f>"Gendron, B K."</f>
        <v>Gendron, B K.</v>
      </c>
      <c r="F2340" t="s">
        <v>2152</v>
      </c>
      <c r="G2340" s="1">
        <v>19</v>
      </c>
      <c r="H2340">
        <v>2015</v>
      </c>
      <c r="I2340" t="str">
        <f t="shared" si="93"/>
        <v>9: 300 - 399</v>
      </c>
      <c r="K2340" t="str">
        <f>"WB - In"</f>
        <v>WB - In</v>
      </c>
      <c r="L2340" s="1">
        <v>18</v>
      </c>
      <c r="M2340" t="s">
        <v>2167</v>
      </c>
      <c r="O2340" t="s">
        <v>28</v>
      </c>
      <c r="P2340">
        <v>1</v>
      </c>
      <c r="Q2340">
        <v>0</v>
      </c>
      <c r="R2340">
        <v>1</v>
      </c>
      <c r="S2340" s="2">
        <v>43488</v>
      </c>
      <c r="T2340" s="2">
        <v>43696</v>
      </c>
      <c r="U2340" s="2">
        <v>43809</v>
      </c>
    </row>
    <row r="2341" spans="1:22" x14ac:dyDescent="0.2">
      <c r="A2341" t="str">
        <f>"394.2 CHR GOO"</f>
        <v>394.2 CHR GOO</v>
      </c>
      <c r="B2341" t="str">
        <f>"Good Housekeeping Christmas cookbook"</f>
        <v>Good Housekeeping Christmas cookbook</v>
      </c>
      <c r="C2341">
        <v>344689</v>
      </c>
      <c r="F2341" t="str">
        <f>"422 pages, 26 cm, color illustrations"</f>
        <v>422 pages, 26 cm, color illustrations</v>
      </c>
      <c r="G2341" s="1">
        <v>17</v>
      </c>
      <c r="H2341">
        <v>2017</v>
      </c>
      <c r="I2341" t="str">
        <f t="shared" si="93"/>
        <v>9: 300 - 399</v>
      </c>
      <c r="K2341" t="str">
        <f>"WB - In"</f>
        <v>WB - In</v>
      </c>
      <c r="L2341" s="1">
        <v>35</v>
      </c>
      <c r="M2341" t="s">
        <v>2168</v>
      </c>
      <c r="O2341" t="s">
        <v>28</v>
      </c>
      <c r="P2341">
        <v>4</v>
      </c>
      <c r="Q2341">
        <v>0</v>
      </c>
      <c r="R2341">
        <v>4</v>
      </c>
      <c r="S2341" s="2">
        <v>43054</v>
      </c>
      <c r="T2341" s="2">
        <v>43114</v>
      </c>
      <c r="U2341" s="2">
        <v>43805</v>
      </c>
    </row>
    <row r="2342" spans="1:22" x14ac:dyDescent="0.2">
      <c r="A2342" t="str">
        <f>"394.2 CHR HOL"</f>
        <v>394.2 CHR HOL</v>
      </c>
      <c r="B2342" t="str">
        <f>"Holiday cheer: festive inspirations for "</f>
        <v xml:space="preserve">Holiday cheer: festive inspirations for </v>
      </c>
      <c r="C2342">
        <v>324940</v>
      </c>
      <c r="F2342" t="str">
        <f>"127 pages, 28 cm, color illustrations"</f>
        <v>127 pages, 28 cm, color illustrations</v>
      </c>
      <c r="G2342" s="1">
        <v>14</v>
      </c>
      <c r="H2342">
        <v>2014</v>
      </c>
      <c r="I2342" t="str">
        <f t="shared" si="93"/>
        <v>9: 300 - 399</v>
      </c>
      <c r="K2342" t="str">
        <f>"LL - In"</f>
        <v>LL - In</v>
      </c>
      <c r="L2342" s="1">
        <v>25</v>
      </c>
      <c r="M2342" t="s">
        <v>2169</v>
      </c>
      <c r="O2342" t="s">
        <v>28</v>
      </c>
      <c r="P2342">
        <v>4</v>
      </c>
      <c r="Q2342">
        <v>0</v>
      </c>
      <c r="R2342">
        <v>11</v>
      </c>
      <c r="S2342" s="2">
        <v>41976</v>
      </c>
      <c r="T2342" s="2">
        <v>42074</v>
      </c>
      <c r="U2342" s="2">
        <v>43793</v>
      </c>
    </row>
    <row r="2343" spans="1:22" x14ac:dyDescent="0.2">
      <c r="A2343" t="str">
        <f>"394.2 CHR LIN"</f>
        <v>394.2 CHR LIN</v>
      </c>
      <c r="B2343" t="str">
        <f>"Swedish Christmas table: traditional hol"</f>
        <v>Swedish Christmas table: traditional hol</v>
      </c>
      <c r="C2343">
        <v>404016</v>
      </c>
      <c r="D2343" t="str">
        <f>"Linder, Jens"</f>
        <v>Linder, Jens</v>
      </c>
      <c r="F2343" t="str">
        <f>"198 pages, 28 cm, color illustrations"</f>
        <v>198 pages, 28 cm, color illustrations</v>
      </c>
      <c r="G2343" s="1">
        <v>18</v>
      </c>
      <c r="H2343">
        <v>2014</v>
      </c>
      <c r="I2343" t="str">
        <f t="shared" si="93"/>
        <v>9: 300 - 399</v>
      </c>
      <c r="K2343" t="str">
        <f>"WB - In"</f>
        <v>WB - In</v>
      </c>
      <c r="L2343" s="1">
        <v>30</v>
      </c>
      <c r="M2343" t="s">
        <v>2170</v>
      </c>
      <c r="O2343" t="s">
        <v>28</v>
      </c>
      <c r="P2343">
        <v>7</v>
      </c>
      <c r="Q2343">
        <v>0</v>
      </c>
      <c r="R2343">
        <v>7</v>
      </c>
      <c r="S2343" s="2">
        <v>43422</v>
      </c>
      <c r="T2343" s="2">
        <v>43508</v>
      </c>
      <c r="U2343" s="2">
        <v>43504</v>
      </c>
    </row>
    <row r="2344" spans="1:22" x14ac:dyDescent="0.2">
      <c r="A2344" t="str">
        <f>"394.2 CHR LIZ"</f>
        <v>394.2 CHR LIZ</v>
      </c>
      <c r="B2344" t="str">
        <f>"Being Santa Claus: what I learned about "</f>
        <v xml:space="preserve">Being Santa Claus: what I learned about </v>
      </c>
      <c r="C2344">
        <v>311107</v>
      </c>
      <c r="D2344" t="str">
        <f>"Lizard, Sal."</f>
        <v>Lizard, Sal.</v>
      </c>
      <c r="F2344" t="str">
        <f>"192 p."</f>
        <v>192 p.</v>
      </c>
      <c r="G2344" s="1">
        <v>12</v>
      </c>
      <c r="H2344">
        <v>2012</v>
      </c>
      <c r="I2344" t="str">
        <f t="shared" si="93"/>
        <v>9: 300 - 399</v>
      </c>
      <c r="K2344" t="str">
        <f>"WB - In"</f>
        <v>WB - In</v>
      </c>
      <c r="L2344" s="1">
        <v>25</v>
      </c>
      <c r="M2344" t="s">
        <v>2171</v>
      </c>
      <c r="O2344" t="s">
        <v>28</v>
      </c>
      <c r="P2344">
        <v>1</v>
      </c>
      <c r="Q2344">
        <v>2</v>
      </c>
      <c r="R2344">
        <v>12</v>
      </c>
      <c r="S2344" s="2">
        <v>41232</v>
      </c>
      <c r="T2344" s="2">
        <v>41352</v>
      </c>
      <c r="U2344" s="2">
        <v>43446</v>
      </c>
      <c r="V2344" s="2">
        <v>43827</v>
      </c>
    </row>
    <row r="2345" spans="1:22" x14ac:dyDescent="0.2">
      <c r="A2345" t="str">
        <f>"394.2 CHR MAC"</f>
        <v>394.2 CHR MAC</v>
      </c>
      <c r="B2345" t="str">
        <f>"Debbie Macomber's Christmas cookbook"</f>
        <v>Debbie Macomber's Christmas cookbook</v>
      </c>
      <c r="C2345">
        <v>303109</v>
      </c>
      <c r="D2345" t="str">
        <f>"Macomber, Debbie"</f>
        <v>Macomber, Debbie</v>
      </c>
      <c r="F2345" t="str">
        <f>"221 p."</f>
        <v>221 p.</v>
      </c>
      <c r="G2345" s="1">
        <v>11</v>
      </c>
      <c r="H2345">
        <v>2011</v>
      </c>
      <c r="I2345" t="str">
        <f t="shared" si="93"/>
        <v>9: 300 - 399</v>
      </c>
      <c r="K2345" t="str">
        <f>"WB - In"</f>
        <v>WB - In</v>
      </c>
      <c r="L2345" s="1">
        <v>35</v>
      </c>
      <c r="M2345" t="s">
        <v>2172</v>
      </c>
      <c r="O2345" t="s">
        <v>28</v>
      </c>
      <c r="P2345">
        <v>1</v>
      </c>
      <c r="Q2345">
        <v>0</v>
      </c>
      <c r="R2345">
        <v>18</v>
      </c>
      <c r="S2345" s="2">
        <v>40814</v>
      </c>
      <c r="T2345" s="2">
        <v>41053</v>
      </c>
      <c r="U2345" s="2">
        <v>43816</v>
      </c>
    </row>
    <row r="2346" spans="1:22" x14ac:dyDescent="0.2">
      <c r="A2346" t="str">
        <f>"394.2 CHR MCC"</f>
        <v>394.2 CHR MCC</v>
      </c>
      <c r="B2346" t="str">
        <f>"In the dark streets shineth: a 1941 Chri"</f>
        <v>In the dark streets shineth: a 1941 Chri</v>
      </c>
      <c r="C2346">
        <v>145715</v>
      </c>
      <c r="D2346" t="str">
        <f>"McCullough, David G."</f>
        <v>McCullough, David G.</v>
      </c>
      <c r="F2346" t="str">
        <f>"39 p."</f>
        <v>39 p.</v>
      </c>
      <c r="G2346" s="1">
        <v>10</v>
      </c>
      <c r="H2346">
        <v>2010</v>
      </c>
      <c r="I2346" t="str">
        <f t="shared" si="93"/>
        <v>9: 300 - 399</v>
      </c>
      <c r="K2346" t="str">
        <f>"LL - In"</f>
        <v>LL - In</v>
      </c>
      <c r="L2346" s="1">
        <v>25</v>
      </c>
      <c r="M2346" t="s">
        <v>2173</v>
      </c>
      <c r="O2346" t="s">
        <v>28</v>
      </c>
      <c r="P2346">
        <v>0</v>
      </c>
      <c r="Q2346">
        <v>0</v>
      </c>
      <c r="R2346">
        <v>10</v>
      </c>
      <c r="S2346" s="2">
        <v>40464</v>
      </c>
      <c r="T2346" s="2">
        <v>41053</v>
      </c>
      <c r="U2346" s="2">
        <v>42325</v>
      </c>
      <c r="V2346" s="2">
        <v>42002</v>
      </c>
    </row>
    <row r="2347" spans="1:22" x14ac:dyDescent="0.2">
      <c r="A2347" t="str">
        <f>"394.2 CHR MCC"</f>
        <v>394.2 CHR MCC</v>
      </c>
      <c r="B2347" t="str">
        <f>"In the dark streets shineth: a 1941 Chri"</f>
        <v>In the dark streets shineth: a 1941 Chri</v>
      </c>
      <c r="C2347">
        <v>145717</v>
      </c>
      <c r="D2347" t="str">
        <f>"McCullough, David G."</f>
        <v>McCullough, David G.</v>
      </c>
      <c r="F2347" t="str">
        <f>"39 p."</f>
        <v>39 p.</v>
      </c>
      <c r="G2347" s="1">
        <v>10</v>
      </c>
      <c r="H2347">
        <v>2010</v>
      </c>
      <c r="I2347" t="str">
        <f t="shared" si="93"/>
        <v>9: 300 - 399</v>
      </c>
      <c r="K2347" t="str">
        <f>"WB - In"</f>
        <v>WB - In</v>
      </c>
      <c r="L2347" s="1">
        <v>25</v>
      </c>
      <c r="M2347" t="s">
        <v>2173</v>
      </c>
      <c r="O2347" t="s">
        <v>28</v>
      </c>
      <c r="P2347">
        <v>2</v>
      </c>
      <c r="Q2347">
        <v>0</v>
      </c>
      <c r="R2347">
        <v>11</v>
      </c>
      <c r="S2347" s="2">
        <v>40464</v>
      </c>
      <c r="T2347" s="2">
        <v>41053</v>
      </c>
      <c r="U2347" s="2">
        <v>43819</v>
      </c>
      <c r="V2347" s="2">
        <v>42731</v>
      </c>
    </row>
    <row r="2348" spans="1:22" x14ac:dyDescent="0.2">
      <c r="A2348" t="str">
        <f>"394.2 CHR MUL"</f>
        <v>394.2 CHR MUL</v>
      </c>
      <c r="B2348" t="str">
        <f>"Everything I need to know about Christma"</f>
        <v>Everything I need to know about Christma</v>
      </c>
      <c r="C2348">
        <v>276513</v>
      </c>
      <c r="D2348" t="str">
        <f>"Muldrow, Diane"</f>
        <v>Muldrow, Diane</v>
      </c>
      <c r="F2348" t="str">
        <f>"96 pages"</f>
        <v>96 pages</v>
      </c>
      <c r="G2348" s="1">
        <v>14</v>
      </c>
      <c r="H2348">
        <v>2014</v>
      </c>
      <c r="I2348" t="str">
        <f t="shared" si="93"/>
        <v>9: 300 - 399</v>
      </c>
      <c r="K2348" t="str">
        <f>"LL - In"</f>
        <v>LL - In</v>
      </c>
      <c r="L2348" s="1">
        <v>15</v>
      </c>
      <c r="M2348" t="s">
        <v>2174</v>
      </c>
      <c r="O2348" t="s">
        <v>28</v>
      </c>
      <c r="P2348">
        <v>0</v>
      </c>
      <c r="Q2348">
        <v>0</v>
      </c>
      <c r="R2348">
        <v>16</v>
      </c>
      <c r="S2348" s="2">
        <v>41898</v>
      </c>
      <c r="T2348" s="2">
        <v>42107</v>
      </c>
      <c r="U2348" s="2">
        <v>42678</v>
      </c>
      <c r="V2348" s="2">
        <v>42304</v>
      </c>
    </row>
    <row r="2349" spans="1:22" x14ac:dyDescent="0.2">
      <c r="A2349" t="str">
        <f>"394.2 CHR NEW"</f>
        <v>394.2 CHR NEW</v>
      </c>
      <c r="B2349" t="str">
        <f>"Gifts in jars: recipes for homemade Chri"</f>
        <v>Gifts in jars: recipes for homemade Chri</v>
      </c>
      <c r="C2349">
        <v>284752</v>
      </c>
      <c r="D2349" t="str">
        <f>"Newman, Kristina"</f>
        <v>Newman, Kristina</v>
      </c>
      <c r="G2349" s="1">
        <v>15</v>
      </c>
      <c r="H2349">
        <v>2015</v>
      </c>
      <c r="I2349" t="str">
        <f t="shared" si="93"/>
        <v>9: 300 - 399</v>
      </c>
      <c r="K2349" t="str">
        <f>"WB - In"</f>
        <v>WB - In</v>
      </c>
      <c r="L2349" s="1">
        <v>15</v>
      </c>
      <c r="M2349" t="s">
        <v>2175</v>
      </c>
      <c r="O2349" t="s">
        <v>28</v>
      </c>
      <c r="P2349">
        <v>0</v>
      </c>
      <c r="Q2349">
        <v>1</v>
      </c>
      <c r="R2349">
        <v>3</v>
      </c>
      <c r="S2349" s="2">
        <v>42342</v>
      </c>
      <c r="T2349" s="2">
        <v>42354</v>
      </c>
      <c r="U2349" s="2">
        <v>42722</v>
      </c>
      <c r="V2349" s="2">
        <v>43827</v>
      </c>
    </row>
    <row r="2350" spans="1:22" x14ac:dyDescent="0.2">
      <c r="A2350" t="str">
        <f>"394.2 CHR OST"</f>
        <v>394.2 CHR OST</v>
      </c>
      <c r="B2350" t="str">
        <f>"Christmas spirit: memories of family, fr"</f>
        <v>Christmas spirit: memories of family, fr</v>
      </c>
      <c r="C2350">
        <v>146321</v>
      </c>
      <c r="D2350" t="str">
        <f>"Osteen, Joel"</f>
        <v>Osteen, Joel</v>
      </c>
      <c r="F2350" t="str">
        <f>"142 p."</f>
        <v>142 p.</v>
      </c>
      <c r="G2350" s="1">
        <v>10</v>
      </c>
      <c r="H2350">
        <v>2010</v>
      </c>
      <c r="I2350" t="str">
        <f t="shared" si="93"/>
        <v>9: 300 - 399</v>
      </c>
      <c r="K2350" t="str">
        <f>"WB - In"</f>
        <v>WB - In</v>
      </c>
      <c r="L2350" s="1">
        <v>21</v>
      </c>
      <c r="M2350" t="s">
        <v>2176</v>
      </c>
      <c r="O2350" t="s">
        <v>28</v>
      </c>
      <c r="P2350">
        <v>2</v>
      </c>
      <c r="Q2350">
        <v>0</v>
      </c>
      <c r="R2350">
        <v>9</v>
      </c>
      <c r="S2350" s="2">
        <v>40486</v>
      </c>
      <c r="T2350" s="2">
        <v>41053</v>
      </c>
      <c r="U2350" s="2">
        <v>43818</v>
      </c>
      <c r="V2350" s="2">
        <v>40906</v>
      </c>
    </row>
    <row r="2351" spans="1:22" x14ac:dyDescent="0.2">
      <c r="A2351" t="str">
        <f>"394.2 CHR PAP"</f>
        <v>394.2 CHR PAP</v>
      </c>
      <c r="B2351" t="str">
        <f>"Christmas candy book"</f>
        <v>Christmas candy book</v>
      </c>
      <c r="C2351">
        <v>108928</v>
      </c>
      <c r="D2351" t="str">
        <f>"Pappas, Lou Seibert"</f>
        <v>Pappas, Lou Seibert</v>
      </c>
      <c r="F2351" t="str">
        <f>"96 p., 21 cm., col. ill."</f>
        <v>96 p., 21 cm., col. ill.</v>
      </c>
      <c r="G2351" s="1">
        <v>2</v>
      </c>
      <c r="H2351">
        <v>2002</v>
      </c>
      <c r="I2351" t="str">
        <f t="shared" si="93"/>
        <v>9: 300 - 399</v>
      </c>
      <c r="K2351" t="str">
        <f>"WB - In"</f>
        <v>WB - In</v>
      </c>
      <c r="L2351" s="1">
        <v>20</v>
      </c>
      <c r="M2351" t="s">
        <v>2177</v>
      </c>
      <c r="O2351" t="s">
        <v>28</v>
      </c>
      <c r="P2351">
        <v>0</v>
      </c>
      <c r="Q2351">
        <v>1</v>
      </c>
      <c r="R2351">
        <v>44</v>
      </c>
      <c r="S2351" s="2">
        <v>37582</v>
      </c>
      <c r="T2351" s="2">
        <v>41053</v>
      </c>
      <c r="U2351" s="2">
        <v>42712</v>
      </c>
      <c r="V2351" s="2">
        <v>43827</v>
      </c>
    </row>
    <row r="2352" spans="1:22" x14ac:dyDescent="0.2">
      <c r="A2352" t="str">
        <f>"394.2 CHR SIL"</f>
        <v>394.2 CHR SIL</v>
      </c>
      <c r="B2352" t="str">
        <f>"treasury of Christmas carols"</f>
        <v>treasury of Christmas carols</v>
      </c>
      <c r="C2352">
        <v>54706</v>
      </c>
      <c r="D2352" t="str">
        <f>"Silverman, Jerry"</f>
        <v>Silverman, Jerry</v>
      </c>
      <c r="F2352" t="str">
        <f>"95 p."</f>
        <v>95 p.</v>
      </c>
      <c r="G2352" t="s">
        <v>2178</v>
      </c>
      <c r="H2352">
        <v>1991</v>
      </c>
      <c r="I2352" t="str">
        <f t="shared" si="93"/>
        <v>9: 300 - 399</v>
      </c>
      <c r="K2352" t="str">
        <f>"WB - In"</f>
        <v>WB - In</v>
      </c>
      <c r="L2352" s="1">
        <v>20.95</v>
      </c>
      <c r="O2352" t="s">
        <v>28</v>
      </c>
      <c r="P2352">
        <v>0</v>
      </c>
      <c r="Q2352">
        <v>1</v>
      </c>
      <c r="R2352">
        <v>7</v>
      </c>
      <c r="S2352" s="2">
        <v>36409</v>
      </c>
      <c r="T2352" s="2">
        <v>41053</v>
      </c>
      <c r="U2352" s="2">
        <v>42344</v>
      </c>
      <c r="V2352" s="2">
        <v>43781</v>
      </c>
    </row>
    <row r="2353" spans="1:22" x14ac:dyDescent="0.2">
      <c r="A2353" t="str">
        <f>"394.2 CHR SMI"</f>
        <v>394.2 CHR SMI</v>
      </c>
      <c r="B2353" t="str">
        <f>"13th gift: a true story of a Christmas m"</f>
        <v>13th gift: a true story of a Christmas m</v>
      </c>
      <c r="C2353">
        <v>325024</v>
      </c>
      <c r="D2353" t="str">
        <f>"Smith, Joanne Huist,"</f>
        <v>Smith, Joanne Huist,</v>
      </c>
      <c r="F2353" t="str">
        <f>"204 pages, 22 cm"</f>
        <v>204 pages, 22 cm</v>
      </c>
      <c r="G2353" s="1">
        <v>14</v>
      </c>
      <c r="H2353">
        <v>2014</v>
      </c>
      <c r="I2353" t="str">
        <f t="shared" si="93"/>
        <v>9: 300 - 399</v>
      </c>
      <c r="K2353" t="str">
        <f>"WB - In"</f>
        <v>WB - In</v>
      </c>
      <c r="L2353" s="1">
        <v>20</v>
      </c>
      <c r="M2353" t="s">
        <v>2179</v>
      </c>
      <c r="O2353" t="s">
        <v>28</v>
      </c>
      <c r="P2353">
        <v>1</v>
      </c>
      <c r="Q2353">
        <v>1</v>
      </c>
      <c r="R2353">
        <v>7</v>
      </c>
      <c r="S2353" s="2">
        <v>41982</v>
      </c>
      <c r="T2353" s="2">
        <v>42046</v>
      </c>
      <c r="U2353" s="2">
        <v>43803</v>
      </c>
      <c r="V2353" s="2">
        <v>43827</v>
      </c>
    </row>
    <row r="2354" spans="1:22" x14ac:dyDescent="0.2">
      <c r="A2354" t="str">
        <f>"394.2 CHR SMI"</f>
        <v>394.2 CHR SMI</v>
      </c>
      <c r="B2354" t="str">
        <f>"13th gift: a true story of a Christmas m"</f>
        <v>13th gift: a true story of a Christmas m</v>
      </c>
      <c r="C2354">
        <v>328130</v>
      </c>
      <c r="D2354" t="str">
        <f>"Smith, Joanne Huist,"</f>
        <v>Smith, Joanne Huist,</v>
      </c>
      <c r="F2354" t="str">
        <f>"204 pages, 22 cm"</f>
        <v>204 pages, 22 cm</v>
      </c>
      <c r="G2354" s="1">
        <v>15</v>
      </c>
      <c r="H2354">
        <v>2014</v>
      </c>
      <c r="I2354" t="str">
        <f t="shared" si="93"/>
        <v>9: 300 - 399</v>
      </c>
      <c r="K2354" t="str">
        <f>"LL - In"</f>
        <v>LL - In</v>
      </c>
      <c r="L2354" s="1">
        <v>20</v>
      </c>
      <c r="M2354" t="s">
        <v>2179</v>
      </c>
      <c r="O2354" t="s">
        <v>28</v>
      </c>
      <c r="P2354">
        <v>1</v>
      </c>
      <c r="Q2354">
        <v>1</v>
      </c>
      <c r="R2354">
        <v>6</v>
      </c>
      <c r="S2354" s="2">
        <v>42177</v>
      </c>
      <c r="T2354" s="2">
        <v>42422</v>
      </c>
      <c r="U2354" s="2">
        <v>43416</v>
      </c>
      <c r="V2354" s="2">
        <v>43802</v>
      </c>
    </row>
    <row r="2355" spans="1:22" x14ac:dyDescent="0.2">
      <c r="A2355" t="str">
        <f>"394.2 CHR STE"</f>
        <v>394.2 CHR STE</v>
      </c>
      <c r="B2355" t="str">
        <f>"Rick Steves' European Christmas"</f>
        <v>Rick Steves' European Christmas</v>
      </c>
      <c r="C2355">
        <v>285171</v>
      </c>
      <c r="D2355" t="str">
        <f>"Steves, Rick"</f>
        <v>Steves, Rick</v>
      </c>
      <c r="F2355" t="str">
        <f>"239 p., 18 cm, col. ill."</f>
        <v>239 p., 18 cm, col. ill.</v>
      </c>
      <c r="G2355" s="1">
        <v>16</v>
      </c>
      <c r="H2355">
        <v>2013</v>
      </c>
      <c r="I2355" t="str">
        <f t="shared" si="93"/>
        <v>9: 300 - 399</v>
      </c>
      <c r="K2355" t="str">
        <f>"WB - In"</f>
        <v>WB - In</v>
      </c>
      <c r="L2355" s="1">
        <v>20</v>
      </c>
      <c r="M2355" t="s">
        <v>2180</v>
      </c>
      <c r="O2355" t="s">
        <v>28</v>
      </c>
      <c r="P2355">
        <v>6</v>
      </c>
      <c r="Q2355">
        <v>3</v>
      </c>
      <c r="R2355">
        <v>13</v>
      </c>
      <c r="S2355" s="2">
        <v>42374</v>
      </c>
      <c r="T2355" s="2">
        <v>42731</v>
      </c>
      <c r="U2355" s="2">
        <v>43816</v>
      </c>
      <c r="V2355" s="2">
        <v>43073</v>
      </c>
    </row>
    <row r="2356" spans="1:22" x14ac:dyDescent="0.2">
      <c r="A2356" t="str">
        <f>"394.2 CHR STI"</f>
        <v>394.2 CHR STI</v>
      </c>
      <c r="B2356" t="str">
        <f>"almost perfect Christmas"</f>
        <v>almost perfect Christmas</v>
      </c>
      <c r="C2356">
        <v>351219</v>
      </c>
      <c r="D2356" t="str">
        <f>"Stibbe, Nina,"</f>
        <v>Stibbe, Nina,</v>
      </c>
      <c r="F2356" t="str">
        <f>"176 p."</f>
        <v>176 p.</v>
      </c>
      <c r="G2356" s="1">
        <v>18</v>
      </c>
      <c r="H2356">
        <v>2018</v>
      </c>
      <c r="I2356" t="str">
        <f t="shared" si="93"/>
        <v>9: 300 - 399</v>
      </c>
      <c r="K2356" t="str">
        <f>"WB - In"</f>
        <v>WB - In</v>
      </c>
      <c r="L2356" s="1">
        <v>30</v>
      </c>
      <c r="M2356" t="s">
        <v>2181</v>
      </c>
      <c r="O2356" t="s">
        <v>28</v>
      </c>
      <c r="P2356">
        <v>9</v>
      </c>
      <c r="Q2356">
        <v>1</v>
      </c>
      <c r="R2356">
        <v>10</v>
      </c>
      <c r="S2356" s="2">
        <v>43417</v>
      </c>
      <c r="T2356" s="2">
        <v>43600</v>
      </c>
      <c r="U2356" s="2">
        <v>43817</v>
      </c>
      <c r="V2356" s="2">
        <v>43489</v>
      </c>
    </row>
    <row r="2357" spans="1:22" x14ac:dyDescent="0.2">
      <c r="A2357" t="str">
        <f>"394.2 CHR VAN"</f>
        <v>394.2 CHR VAN</v>
      </c>
      <c r="B2357" t="str">
        <f>"Home made Christmas"</f>
        <v>Home made Christmas</v>
      </c>
      <c r="C2357">
        <v>351365</v>
      </c>
      <c r="D2357" t="str">
        <f>"Van Boven, Yvette."</f>
        <v>Van Boven, Yvette.</v>
      </c>
      <c r="F2357" t="str">
        <f>"299 p."</f>
        <v>299 p.</v>
      </c>
      <c r="G2357" s="1">
        <v>18</v>
      </c>
      <c r="H2357">
        <v>2018</v>
      </c>
      <c r="I2357" t="str">
        <f t="shared" si="93"/>
        <v>9: 300 - 399</v>
      </c>
      <c r="K2357" t="str">
        <f>"WB - In"</f>
        <v>WB - In</v>
      </c>
      <c r="L2357" s="1">
        <v>40</v>
      </c>
      <c r="M2357" t="s">
        <v>2182</v>
      </c>
      <c r="O2357" t="s">
        <v>28</v>
      </c>
      <c r="P2357">
        <v>6</v>
      </c>
      <c r="Q2357">
        <v>3</v>
      </c>
      <c r="R2357">
        <v>9</v>
      </c>
      <c r="S2357" s="2">
        <v>43424</v>
      </c>
      <c r="T2357" s="2">
        <v>43461</v>
      </c>
      <c r="U2357" s="2">
        <v>43805</v>
      </c>
      <c r="V2357" s="2">
        <v>43827</v>
      </c>
    </row>
    <row r="2358" spans="1:22" x14ac:dyDescent="0.2">
      <c r="A2358" t="str">
        <f>"394.2 CHR WAG"</f>
        <v>394.2 CHR WAG</v>
      </c>
      <c r="B2358" t="str">
        <f>"Christmas memories: gifts, activities, f"</f>
        <v>Christmas memories: gifts, activities, f</v>
      </c>
      <c r="C2358">
        <v>408645</v>
      </c>
      <c r="D2358" t="str">
        <f>"Waggoner, Susan"</f>
        <v>Waggoner, Susan</v>
      </c>
      <c r="F2358" t="str">
        <f>"127 pages, 24 cm, illustrations (some color)"</f>
        <v>127 pages, 24 cm, illustrations (some color)</v>
      </c>
      <c r="G2358" s="1">
        <v>19</v>
      </c>
      <c r="H2358">
        <v>2009</v>
      </c>
      <c r="I2358" t="str">
        <f t="shared" si="93"/>
        <v>9: 300 - 399</v>
      </c>
      <c r="K2358" t="str">
        <f>"LL - Out"</f>
        <v>LL - Out</v>
      </c>
      <c r="L2358" s="1">
        <v>15</v>
      </c>
      <c r="M2358" t="s">
        <v>2183</v>
      </c>
      <c r="O2358" t="s">
        <v>28</v>
      </c>
      <c r="P2358">
        <v>1</v>
      </c>
      <c r="Q2358">
        <v>0</v>
      </c>
      <c r="R2358">
        <v>1</v>
      </c>
      <c r="S2358" s="2">
        <v>43837</v>
      </c>
      <c r="T2358" s="2">
        <v>43839</v>
      </c>
      <c r="U2358" s="2">
        <v>43841</v>
      </c>
    </row>
    <row r="2359" spans="1:22" x14ac:dyDescent="0.2">
      <c r="A2359" t="str">
        <f>"394.2 DAY MAC"</f>
        <v>394.2 DAY MAC</v>
      </c>
      <c r="B2359" t="str">
        <f>"Day of the Dead folk art"</f>
        <v>Day of the Dead folk art</v>
      </c>
      <c r="C2359">
        <v>337552</v>
      </c>
      <c r="D2359" t="str">
        <f>"Mack, Stevie."</f>
        <v>Mack, Stevie.</v>
      </c>
      <c r="F2359" t="str">
        <f>"128 pages, 24 cm, color illustrations"</f>
        <v>128 pages, 24 cm, color illustrations</v>
      </c>
      <c r="G2359" s="1">
        <v>16</v>
      </c>
      <c r="H2359">
        <v>2015</v>
      </c>
      <c r="I2359" t="str">
        <f t="shared" si="93"/>
        <v>9: 300 - 399</v>
      </c>
      <c r="K2359" t="str">
        <f>"WB - In"</f>
        <v>WB - In</v>
      </c>
      <c r="L2359" s="1">
        <v>25</v>
      </c>
      <c r="M2359" t="s">
        <v>2184</v>
      </c>
      <c r="O2359" t="s">
        <v>28</v>
      </c>
      <c r="P2359">
        <v>2</v>
      </c>
      <c r="Q2359">
        <v>1</v>
      </c>
      <c r="R2359">
        <v>8</v>
      </c>
      <c r="S2359" s="2">
        <v>42639</v>
      </c>
      <c r="T2359" s="2">
        <v>42803</v>
      </c>
      <c r="U2359" s="2">
        <v>43039</v>
      </c>
      <c r="V2359" s="2">
        <v>43740</v>
      </c>
    </row>
    <row r="2360" spans="1:22" x14ac:dyDescent="0.2">
      <c r="A2360" t="str">
        <f>"394.2 DAY PAS"</f>
        <v>394.2 DAY PAS</v>
      </c>
      <c r="B2360" t="str">
        <f>"Day of the Dead: 20 creative projects to"</f>
        <v>Day of the Dead: 20 creative projects to</v>
      </c>
      <c r="C2360">
        <v>344072</v>
      </c>
      <c r="D2360" t="str">
        <f>"Pascual, Paula."</f>
        <v>Pascual, Paula.</v>
      </c>
      <c r="F2360" t="str">
        <f>"96 pages, 21 cm, illustrations (mostly color)"</f>
        <v>96 pages, 21 cm, illustrations (mostly color)</v>
      </c>
      <c r="G2360" s="1">
        <v>17</v>
      </c>
      <c r="H2360">
        <v>2017</v>
      </c>
      <c r="I2360" t="str">
        <f t="shared" si="93"/>
        <v>9: 300 - 399</v>
      </c>
      <c r="K2360" t="str">
        <f>"WB - In"</f>
        <v>WB - In</v>
      </c>
      <c r="L2360" s="1">
        <v>18</v>
      </c>
      <c r="M2360" t="s">
        <v>2185</v>
      </c>
      <c r="O2360" t="s">
        <v>28</v>
      </c>
      <c r="P2360">
        <v>1</v>
      </c>
      <c r="Q2360">
        <v>0</v>
      </c>
      <c r="R2360">
        <v>1</v>
      </c>
      <c r="S2360" s="2">
        <v>43027</v>
      </c>
      <c r="T2360" s="2">
        <v>43050</v>
      </c>
      <c r="U2360" s="2">
        <v>43050</v>
      </c>
    </row>
    <row r="2361" spans="1:22" x14ac:dyDescent="0.2">
      <c r="A2361" t="str">
        <f>"394.2 HAL BAN"</f>
        <v>394.2 HAL BAN</v>
      </c>
      <c r="B2361" t="str">
        <f>"Halloween how-to: costumes, parties, dec"</f>
        <v>Halloween how-to: costumes, parties, dec</v>
      </c>
      <c r="C2361">
        <v>104632</v>
      </c>
      <c r="D2361" t="str">
        <f>"Bannatyne, Lesley Pratt"</f>
        <v>Bannatyne, Lesley Pratt</v>
      </c>
      <c r="F2361" t="str">
        <f>"272 p., 23 cm., ill."</f>
        <v>272 p., 23 cm., ill.</v>
      </c>
      <c r="G2361" s="1">
        <v>1</v>
      </c>
      <c r="H2361">
        <v>2001</v>
      </c>
      <c r="I2361" t="str">
        <f t="shared" si="93"/>
        <v>9: 300 - 399</v>
      </c>
      <c r="K2361" t="str">
        <f>"WB - In"</f>
        <v>WB - In</v>
      </c>
      <c r="L2361" s="1">
        <v>23</v>
      </c>
      <c r="M2361" t="s">
        <v>2186</v>
      </c>
      <c r="O2361" t="s">
        <v>28</v>
      </c>
      <c r="P2361">
        <v>0</v>
      </c>
      <c r="Q2361">
        <v>0</v>
      </c>
      <c r="R2361">
        <v>24</v>
      </c>
      <c r="S2361" s="2">
        <v>38614</v>
      </c>
      <c r="T2361" s="2">
        <v>41586</v>
      </c>
      <c r="U2361" s="2">
        <v>42667</v>
      </c>
      <c r="V2361" s="2">
        <v>42667</v>
      </c>
    </row>
    <row r="2362" spans="1:22" x14ac:dyDescent="0.2">
      <c r="A2362" t="str">
        <f>"394.2 HAL CLA"</f>
        <v>394.2 HAL CLA</v>
      </c>
      <c r="B2362" t="str">
        <f>"Halloween handbook: 447 costumes"</f>
        <v>Halloween handbook: 447 costumes</v>
      </c>
      <c r="C2362">
        <v>181255</v>
      </c>
      <c r="D2362" t="str">
        <f>"Clark, Bridie"</f>
        <v>Clark, Bridie</v>
      </c>
      <c r="F2362" t="str">
        <f>"259 p."</f>
        <v>259 p.</v>
      </c>
      <c r="G2362" s="1">
        <v>4</v>
      </c>
      <c r="H2362">
        <v>2004</v>
      </c>
      <c r="I2362" t="str">
        <f t="shared" si="93"/>
        <v>9: 300 - 399</v>
      </c>
      <c r="K2362" t="str">
        <f>"LL - In"</f>
        <v>LL - In</v>
      </c>
      <c r="L2362" s="1">
        <v>18</v>
      </c>
      <c r="M2362" t="s">
        <v>2187</v>
      </c>
      <c r="O2362" t="s">
        <v>28</v>
      </c>
      <c r="P2362">
        <v>1</v>
      </c>
      <c r="Q2362">
        <v>0</v>
      </c>
      <c r="R2362">
        <v>29</v>
      </c>
      <c r="S2362" s="2">
        <v>38238</v>
      </c>
      <c r="T2362" s="2">
        <v>41053</v>
      </c>
      <c r="U2362" s="2">
        <v>43393</v>
      </c>
      <c r="V2362" s="2">
        <v>42673</v>
      </c>
    </row>
    <row r="2363" spans="1:22" x14ac:dyDescent="0.2">
      <c r="A2363" t="str">
        <f>"394.2 HAL HAR"</f>
        <v>394.2 HAL HAR</v>
      </c>
      <c r="B2363" t="str">
        <f>"Tricks &amp; treats: the ultimate Halloween "</f>
        <v xml:space="preserve">Tricks &amp; treats: the ultimate Halloween </v>
      </c>
      <c r="C2363">
        <v>170974</v>
      </c>
      <c r="D2363" t="str">
        <f>"Harding, Deborah"</f>
        <v>Harding, Deborah</v>
      </c>
      <c r="F2363" t="str">
        <f>"142 p."</f>
        <v>142 p.</v>
      </c>
      <c r="G2363">
        <v>3</v>
      </c>
      <c r="H2363">
        <v>1998</v>
      </c>
      <c r="I2363" t="str">
        <f t="shared" si="93"/>
        <v>9: 300 - 399</v>
      </c>
      <c r="K2363" t="str">
        <f>"LL - In"</f>
        <v>LL - In</v>
      </c>
      <c r="L2363" s="1">
        <v>18</v>
      </c>
      <c r="M2363" t="s">
        <v>2188</v>
      </c>
      <c r="O2363" t="s">
        <v>28</v>
      </c>
      <c r="P2363">
        <v>0</v>
      </c>
      <c r="Q2363">
        <v>0</v>
      </c>
      <c r="R2363">
        <v>21</v>
      </c>
      <c r="S2363" s="2">
        <v>37790</v>
      </c>
      <c r="T2363" s="2">
        <v>41053</v>
      </c>
      <c r="U2363" s="2">
        <v>42303</v>
      </c>
      <c r="V2363" s="2">
        <v>42673</v>
      </c>
    </row>
    <row r="2364" spans="1:22" x14ac:dyDescent="0.2">
      <c r="A2364" t="str">
        <f>"394.2 HAL MEA"</f>
        <v>394.2 HAL MEA</v>
      </c>
      <c r="B2364" t="str">
        <f>"Matthew Mead's monster book of Halloween"</f>
        <v>Matthew Mead's monster book of Halloween</v>
      </c>
      <c r="C2364">
        <v>229512</v>
      </c>
      <c r="D2364" t="str">
        <f>"Mead, Matthew."</f>
        <v>Mead, Matthew.</v>
      </c>
      <c r="F2364" t="str">
        <f>"256 p., 28 cm., col. ill."</f>
        <v>256 p., 28 cm., col. ill.</v>
      </c>
      <c r="G2364" s="1">
        <v>9</v>
      </c>
      <c r="H2364">
        <v>2009</v>
      </c>
      <c r="I2364" t="str">
        <f t="shared" si="93"/>
        <v>9: 300 - 399</v>
      </c>
      <c r="K2364" t="str">
        <f>"WB - In"</f>
        <v>WB - In</v>
      </c>
      <c r="L2364" s="1">
        <v>25</v>
      </c>
      <c r="M2364" t="s">
        <v>2189</v>
      </c>
      <c r="O2364" t="s">
        <v>28</v>
      </c>
      <c r="P2364">
        <v>4</v>
      </c>
      <c r="Q2364">
        <v>0</v>
      </c>
      <c r="R2364">
        <v>22</v>
      </c>
      <c r="S2364" s="2">
        <v>40043</v>
      </c>
      <c r="T2364" s="2">
        <v>41053</v>
      </c>
      <c r="U2364" s="2">
        <v>43025</v>
      </c>
    </row>
    <row r="2365" spans="1:22" x14ac:dyDescent="0.2">
      <c r="A2365" t="str">
        <f>"394.2 HAL NAR"</f>
        <v>394.2 HAL NAR</v>
      </c>
      <c r="B2365" t="str">
        <f>"Extreme Halloween: the ultimate guide to"</f>
        <v>Extreme Halloween: the ultimate guide to</v>
      </c>
      <c r="C2365">
        <v>138755</v>
      </c>
      <c r="D2365" t="str">
        <f>"Nardone, Tom."</f>
        <v>Nardone, Tom.</v>
      </c>
      <c r="F2365" t="str">
        <f>"95 p."</f>
        <v>95 p.</v>
      </c>
      <c r="G2365" s="1">
        <v>9</v>
      </c>
      <c r="H2365">
        <v>2009</v>
      </c>
      <c r="I2365" t="str">
        <f t="shared" si="93"/>
        <v>9: 300 - 399</v>
      </c>
      <c r="K2365" t="str">
        <f>"LL - In"</f>
        <v>LL - In</v>
      </c>
      <c r="L2365" s="1">
        <v>20</v>
      </c>
      <c r="M2365" t="s">
        <v>2190</v>
      </c>
      <c r="O2365" t="s">
        <v>28</v>
      </c>
      <c r="P2365">
        <v>0</v>
      </c>
      <c r="Q2365">
        <v>0</v>
      </c>
      <c r="R2365">
        <v>18</v>
      </c>
      <c r="S2365" s="2">
        <v>40072</v>
      </c>
      <c r="T2365" s="2">
        <v>41053</v>
      </c>
      <c r="U2365" s="2">
        <v>42666</v>
      </c>
      <c r="V2365" s="2">
        <v>42689</v>
      </c>
    </row>
    <row r="2366" spans="1:22" x14ac:dyDescent="0.2">
      <c r="A2366" t="str">
        <f>"394.2 HAL OSU"</f>
        <v>394.2 HAL OSU</v>
      </c>
      <c r="B2366" t="str">
        <f>"family book of Halloween fun"</f>
        <v>family book of Halloween fun</v>
      </c>
      <c r="C2366">
        <v>186248</v>
      </c>
      <c r="D2366" t="str">
        <f>"O'Sullivan, Joanne"</f>
        <v>O'Sullivan, Joanne</v>
      </c>
      <c r="F2366" t="str">
        <f>"159 p."</f>
        <v>159 p.</v>
      </c>
      <c r="G2366">
        <v>5</v>
      </c>
      <c r="H2366">
        <v>2004</v>
      </c>
      <c r="I2366" t="str">
        <f t="shared" si="93"/>
        <v>9: 300 - 399</v>
      </c>
      <c r="K2366" t="str">
        <f>"LL - In"</f>
        <v>LL - In</v>
      </c>
      <c r="L2366" s="1">
        <v>15</v>
      </c>
      <c r="M2366" t="s">
        <v>2191</v>
      </c>
      <c r="O2366" t="s">
        <v>28</v>
      </c>
      <c r="P2366">
        <v>0</v>
      </c>
      <c r="Q2366">
        <v>0</v>
      </c>
      <c r="R2366">
        <v>30</v>
      </c>
      <c r="S2366" s="2">
        <v>38455</v>
      </c>
      <c r="T2366" s="2">
        <v>41053</v>
      </c>
      <c r="U2366" s="2">
        <v>42665</v>
      </c>
      <c r="V2366" s="2">
        <v>39253</v>
      </c>
    </row>
    <row r="2367" spans="1:22" x14ac:dyDescent="0.2">
      <c r="A2367" t="str">
        <f>"394.2 HAL RHO"</f>
        <v>394.2 HAL RHO</v>
      </c>
      <c r="B2367" t="str">
        <f>"Pumpkin decorating"</f>
        <v>Pumpkin decorating</v>
      </c>
      <c r="C2367">
        <v>163169</v>
      </c>
      <c r="D2367" t="str">
        <f>"Rhodes, Vicki"</f>
        <v>Rhodes, Vicki</v>
      </c>
      <c r="F2367" t="str">
        <f>"96 p., 28 cm., col. ill."</f>
        <v>96 p., 28 cm., col. ill.</v>
      </c>
      <c r="G2367" s="1">
        <v>2</v>
      </c>
      <c r="H2367">
        <v>1997</v>
      </c>
      <c r="I2367" t="str">
        <f t="shared" si="93"/>
        <v>9: 300 - 399</v>
      </c>
      <c r="K2367" t="str">
        <f>"WB - In"</f>
        <v>WB - In</v>
      </c>
      <c r="L2367" s="1">
        <v>12</v>
      </c>
      <c r="M2367" t="s">
        <v>2192</v>
      </c>
      <c r="O2367" t="s">
        <v>28</v>
      </c>
      <c r="P2367">
        <v>0</v>
      </c>
      <c r="Q2367">
        <v>1</v>
      </c>
      <c r="R2367">
        <v>33</v>
      </c>
      <c r="S2367" s="2">
        <v>37454</v>
      </c>
      <c r="T2367" s="2">
        <v>42256</v>
      </c>
      <c r="U2367" s="2">
        <v>42667</v>
      </c>
      <c r="V2367" s="2">
        <v>43399</v>
      </c>
    </row>
    <row r="2368" spans="1:22" x14ac:dyDescent="0.2">
      <c r="A2368" t="str">
        <f>"394.2 HAL SAD"</f>
        <v>394.2 HAL SAD</v>
      </c>
      <c r="B2368" t="str">
        <f>"101 spooktacular party ideas: fun Hallow"</f>
        <v>101 spooktacular party ideas: fun Hallow</v>
      </c>
      <c r="C2368">
        <v>108343</v>
      </c>
      <c r="D2368" t="str">
        <f>"Sadler, Linda"</f>
        <v>Sadler, Linda</v>
      </c>
      <c r="F2368" t="str">
        <f>"135 p., 23 cm., ill."</f>
        <v>135 p., 23 cm., ill.</v>
      </c>
      <c r="G2368" s="1">
        <v>2</v>
      </c>
      <c r="H2368">
        <v>2000</v>
      </c>
      <c r="I2368" t="str">
        <f t="shared" si="93"/>
        <v>9: 300 - 399</v>
      </c>
      <c r="K2368" t="str">
        <f>"WB - In"</f>
        <v>WB - In</v>
      </c>
      <c r="L2368" s="1">
        <v>15</v>
      </c>
      <c r="M2368" t="s">
        <v>2193</v>
      </c>
      <c r="O2368" t="s">
        <v>28</v>
      </c>
      <c r="P2368">
        <v>2</v>
      </c>
      <c r="Q2368">
        <v>0</v>
      </c>
      <c r="R2368">
        <v>29</v>
      </c>
      <c r="S2368" s="2">
        <v>37540</v>
      </c>
      <c r="T2368" s="2">
        <v>41053</v>
      </c>
      <c r="U2368" s="2">
        <v>43746</v>
      </c>
      <c r="V2368" s="2">
        <v>41214</v>
      </c>
    </row>
    <row r="2369" spans="1:22" x14ac:dyDescent="0.2">
      <c r="A2369" t="str">
        <f>"394.2 JEW BRO"</f>
        <v>394.2 JEW BRO</v>
      </c>
      <c r="B2369" t="str">
        <f>"Jewish holiday style"</f>
        <v>Jewish holiday style</v>
      </c>
      <c r="C2369">
        <v>183461</v>
      </c>
      <c r="D2369" t="str">
        <f>"Brownstein, Rita Milos"</f>
        <v>Brownstein, Rita Milos</v>
      </c>
      <c r="F2369" t="str">
        <f>"143 p."</f>
        <v>143 p.</v>
      </c>
      <c r="G2369">
        <v>4</v>
      </c>
      <c r="H2369">
        <v>1999</v>
      </c>
      <c r="I2369" t="str">
        <f t="shared" si="93"/>
        <v>9: 300 - 399</v>
      </c>
      <c r="K2369" t="str">
        <f>"LL - In"</f>
        <v>LL - In</v>
      </c>
      <c r="L2369" s="1">
        <v>33</v>
      </c>
      <c r="M2369" t="s">
        <v>2194</v>
      </c>
      <c r="O2369" t="s">
        <v>28</v>
      </c>
      <c r="P2369">
        <v>1</v>
      </c>
      <c r="Q2369">
        <v>0</v>
      </c>
      <c r="R2369">
        <v>14</v>
      </c>
      <c r="S2369" s="2">
        <v>38336</v>
      </c>
      <c r="T2369" s="2">
        <v>41053</v>
      </c>
      <c r="U2369" s="2">
        <v>43017</v>
      </c>
      <c r="V2369" s="2">
        <v>42731</v>
      </c>
    </row>
    <row r="2370" spans="1:22" x14ac:dyDescent="0.2">
      <c r="A2370" t="str">
        <f>"395 ALF"</f>
        <v>395 ALF</v>
      </c>
      <c r="B2370" t="str">
        <f>"Would it kill you to stop doing that?: a"</f>
        <v>Would it kill you to stop doing that?: a</v>
      </c>
      <c r="C2370">
        <v>263577</v>
      </c>
      <c r="D2370" t="str">
        <f>"Alford, Henry"</f>
        <v>Alford, Henry</v>
      </c>
      <c r="F2370" t="str">
        <f>"242 p."</f>
        <v>242 p.</v>
      </c>
      <c r="G2370" s="1">
        <v>13</v>
      </c>
      <c r="H2370">
        <v>2012</v>
      </c>
      <c r="I2370" t="str">
        <f t="shared" si="93"/>
        <v>9: 300 - 399</v>
      </c>
      <c r="K2370" t="str">
        <f>"WB - In"</f>
        <v>WB - In</v>
      </c>
      <c r="L2370" s="1">
        <v>19</v>
      </c>
      <c r="M2370" t="s">
        <v>2195</v>
      </c>
      <c r="O2370" t="s">
        <v>28</v>
      </c>
      <c r="P2370">
        <v>3</v>
      </c>
      <c r="Q2370">
        <v>1</v>
      </c>
      <c r="R2370">
        <v>26</v>
      </c>
      <c r="S2370" s="2">
        <v>41312</v>
      </c>
      <c r="T2370" s="2">
        <v>41676</v>
      </c>
      <c r="U2370" s="2">
        <v>43818</v>
      </c>
      <c r="V2370" s="2">
        <v>43681</v>
      </c>
    </row>
    <row r="2371" spans="1:22" x14ac:dyDescent="0.2">
      <c r="A2371" t="str">
        <f>"395 ALK"</f>
        <v>395 ALK</v>
      </c>
      <c r="B2371" t="str">
        <f>"Good manners for nice people: who someti"</f>
        <v>Good manners for nice people: who someti</v>
      </c>
      <c r="C2371">
        <v>321685</v>
      </c>
      <c r="D2371" t="str">
        <f>"Alkon, Amy."</f>
        <v>Alkon, Amy.</v>
      </c>
      <c r="F2371" t="str">
        <f>"289 p."</f>
        <v>289 p.</v>
      </c>
      <c r="G2371" s="1">
        <v>14</v>
      </c>
      <c r="H2371">
        <v>2014</v>
      </c>
      <c r="I2371" t="str">
        <f t="shared" si="93"/>
        <v>9: 300 - 399</v>
      </c>
      <c r="K2371" t="str">
        <f>"WB - In"</f>
        <v>WB - In</v>
      </c>
      <c r="L2371" s="1">
        <v>20</v>
      </c>
      <c r="M2371" t="s">
        <v>2196</v>
      </c>
      <c r="O2371" t="s">
        <v>28</v>
      </c>
      <c r="P2371">
        <v>3</v>
      </c>
      <c r="Q2371">
        <v>0</v>
      </c>
      <c r="R2371">
        <v>24</v>
      </c>
      <c r="S2371" s="2">
        <v>41794</v>
      </c>
      <c r="T2371" s="2">
        <v>42142</v>
      </c>
      <c r="U2371" s="2">
        <v>43821</v>
      </c>
      <c r="V2371" s="2">
        <v>42578</v>
      </c>
    </row>
    <row r="2372" spans="1:22" x14ac:dyDescent="0.2">
      <c r="A2372" t="str">
        <f>"395 BER"</f>
        <v>395 BER</v>
      </c>
      <c r="B2372" t="str">
        <f>"Treating people well: the extraordinary "</f>
        <v xml:space="preserve">Treating people well: the extraordinary </v>
      </c>
      <c r="C2372">
        <v>345576</v>
      </c>
      <c r="D2372" t="str">
        <f>"Berman, Lea"</f>
        <v>Berman, Lea</v>
      </c>
      <c r="F2372" t="str">
        <f>"xxiv, 226 pages, 8 unnumbered pages of plates, 24 cm, color illustrations"</f>
        <v>xxiv, 226 pages, 8 unnumbered pages of plates, 24 cm, color illustrations</v>
      </c>
      <c r="G2372" s="1">
        <v>18</v>
      </c>
      <c r="H2372">
        <v>2018</v>
      </c>
      <c r="I2372" t="str">
        <f t="shared" si="93"/>
        <v>9: 300 - 399</v>
      </c>
      <c r="K2372" t="str">
        <f>"WB - In"</f>
        <v>WB - In</v>
      </c>
      <c r="L2372" s="1">
        <v>32</v>
      </c>
      <c r="M2372" t="s">
        <v>2197</v>
      </c>
      <c r="O2372" t="s">
        <v>28</v>
      </c>
      <c r="P2372">
        <v>15</v>
      </c>
      <c r="Q2372">
        <v>2</v>
      </c>
      <c r="R2372">
        <v>17</v>
      </c>
      <c r="S2372" s="2">
        <v>43117</v>
      </c>
      <c r="T2372" s="2">
        <v>43327</v>
      </c>
      <c r="U2372" s="2">
        <v>43818</v>
      </c>
      <c r="V2372" s="2">
        <v>43470</v>
      </c>
    </row>
    <row r="2373" spans="1:22" x14ac:dyDescent="0.2">
      <c r="A2373" t="str">
        <f>"395 BLA"</f>
        <v>395 BLA</v>
      </c>
      <c r="B2373" t="str">
        <f>"Very classy: be a lady not a tramp"</f>
        <v>Very classy: be a lady not a tramp</v>
      </c>
      <c r="C2373">
        <v>304753</v>
      </c>
      <c r="D2373" t="str">
        <f>"Blasberg, Derek."</f>
        <v>Blasberg, Derek.</v>
      </c>
      <c r="F2373" t="str">
        <f>"320 p., 21 cm., ill. (some col.)"</f>
        <v>320 p., 21 cm., ill. (some col.)</v>
      </c>
      <c r="G2373" s="1">
        <v>11</v>
      </c>
      <c r="H2373">
        <v>2011</v>
      </c>
      <c r="I2373" t="str">
        <f t="shared" si="93"/>
        <v>9: 300 - 399</v>
      </c>
      <c r="K2373" t="str">
        <f>"WB - In"</f>
        <v>WB - In</v>
      </c>
      <c r="L2373" s="1">
        <v>23</v>
      </c>
      <c r="M2373" t="s">
        <v>2198</v>
      </c>
      <c r="O2373" t="s">
        <v>28</v>
      </c>
      <c r="P2373">
        <v>2</v>
      </c>
      <c r="Q2373">
        <v>1</v>
      </c>
      <c r="R2373">
        <v>22</v>
      </c>
      <c r="S2373" s="2">
        <v>40899</v>
      </c>
      <c r="T2373" s="2">
        <v>41058</v>
      </c>
      <c r="U2373" s="2">
        <v>43237</v>
      </c>
      <c r="V2373" s="2">
        <v>43314</v>
      </c>
    </row>
    <row r="2374" spans="1:22" x14ac:dyDescent="0.2">
      <c r="A2374" t="str">
        <f>"395 DOH"</f>
        <v>395 DOH</v>
      </c>
      <c r="B2374" t="str">
        <f>"How not to be a dick: an everyday etique"</f>
        <v>How not to be a dick: an everyday etique</v>
      </c>
      <c r="C2374">
        <v>319614</v>
      </c>
      <c r="D2374" t="str">
        <f>"Doherty, Meghan."</f>
        <v>Doherty, Meghan.</v>
      </c>
      <c r="F2374" t="str">
        <f>"191 p., 22 cm, ill."</f>
        <v>191 p., 22 cm, ill.</v>
      </c>
      <c r="G2374" s="1">
        <v>14</v>
      </c>
      <c r="H2374">
        <v>2013</v>
      </c>
      <c r="I2374" t="str">
        <f t="shared" si="93"/>
        <v>9: 300 - 399</v>
      </c>
      <c r="K2374" t="str">
        <f>"LL - In"</f>
        <v>LL - In</v>
      </c>
      <c r="L2374" s="1">
        <v>22</v>
      </c>
      <c r="M2374" t="s">
        <v>2199</v>
      </c>
      <c r="O2374" t="s">
        <v>28</v>
      </c>
      <c r="P2374">
        <v>0</v>
      </c>
      <c r="Q2374">
        <v>1</v>
      </c>
      <c r="R2374">
        <v>8</v>
      </c>
      <c r="S2374" s="2">
        <v>41676</v>
      </c>
      <c r="T2374" s="2">
        <v>43586</v>
      </c>
      <c r="U2374" s="2">
        <v>42372</v>
      </c>
      <c r="V2374" s="2">
        <v>42947</v>
      </c>
    </row>
    <row r="2375" spans="1:22" x14ac:dyDescent="0.2">
      <c r="A2375" t="str">
        <f>"395 EBE"</f>
        <v>395 EBE</v>
      </c>
      <c r="B2375" t="str">
        <f>"365 manners kids should know: games, act"</f>
        <v>365 manners kids should know: games, act</v>
      </c>
      <c r="C2375">
        <v>315186</v>
      </c>
      <c r="D2375" t="str">
        <f>"Eberly, Sheryl."</f>
        <v>Eberly, Sheryl.</v>
      </c>
      <c r="F2375" t="str">
        <f>"322 p., 21 cm."</f>
        <v>322 p., 21 cm.</v>
      </c>
      <c r="G2375" s="1">
        <v>13</v>
      </c>
      <c r="H2375">
        <v>2011</v>
      </c>
      <c r="I2375" t="str">
        <f t="shared" si="93"/>
        <v>9: 300 - 399</v>
      </c>
      <c r="K2375" t="str">
        <f t="shared" ref="K2375:K2380" si="94">"WB - In"</f>
        <v>WB - In</v>
      </c>
      <c r="L2375" s="1">
        <v>20</v>
      </c>
      <c r="M2375" t="s">
        <v>2200</v>
      </c>
      <c r="O2375" t="s">
        <v>28</v>
      </c>
      <c r="P2375">
        <v>2</v>
      </c>
      <c r="Q2375">
        <v>0</v>
      </c>
      <c r="R2375">
        <v>12</v>
      </c>
      <c r="S2375" s="2">
        <v>41452</v>
      </c>
      <c r="T2375" s="2">
        <v>41458</v>
      </c>
      <c r="U2375" s="2">
        <v>43221</v>
      </c>
    </row>
    <row r="2376" spans="1:22" x14ac:dyDescent="0.2">
      <c r="A2376" t="str">
        <f>"395 FOR"</f>
        <v>395 FOR</v>
      </c>
      <c r="B2376" t="str">
        <f>"Choosing civility: the twenty-five rules"</f>
        <v>Choosing civility: the twenty-five rules</v>
      </c>
      <c r="C2376">
        <v>298555</v>
      </c>
      <c r="D2376" t="str">
        <f>"Forni, P. M."</f>
        <v>Forni, P. M.</v>
      </c>
      <c r="F2376" t="str">
        <f>"xii, 196 p., 19 cm"</f>
        <v>xii, 196 p., 19 cm</v>
      </c>
      <c r="G2376" s="1">
        <v>18</v>
      </c>
      <c r="H2376">
        <v>2002</v>
      </c>
      <c r="I2376" t="str">
        <f t="shared" ref="I2376:I2439" si="95">"9: 300 - 399"</f>
        <v>9: 300 - 399</v>
      </c>
      <c r="K2376" t="str">
        <f t="shared" si="94"/>
        <v>WB - In</v>
      </c>
      <c r="L2376" s="1">
        <v>20</v>
      </c>
      <c r="M2376" t="s">
        <v>2201</v>
      </c>
      <c r="O2376" t="s">
        <v>28</v>
      </c>
      <c r="P2376">
        <v>6</v>
      </c>
      <c r="Q2376">
        <v>0</v>
      </c>
      <c r="R2376">
        <v>6</v>
      </c>
      <c r="S2376" s="2">
        <v>43188</v>
      </c>
      <c r="T2376" s="2">
        <v>43201</v>
      </c>
      <c r="U2376" s="2">
        <v>43818</v>
      </c>
    </row>
    <row r="2377" spans="1:22" x14ac:dyDescent="0.2">
      <c r="A2377" t="str">
        <f>"395 FOR"</f>
        <v>395 FOR</v>
      </c>
      <c r="B2377" t="str">
        <f>"civility solution: what to do when peopl"</f>
        <v>civility solution: what to do when peopl</v>
      </c>
      <c r="C2377">
        <v>347599</v>
      </c>
      <c r="D2377" t="str">
        <f>"Forni, P. M."</f>
        <v>Forni, P. M.</v>
      </c>
      <c r="F2377" t="str">
        <f>"xxi, 166 p., 19 cm"</f>
        <v>xxi, 166 p., 19 cm</v>
      </c>
      <c r="G2377" s="1">
        <v>18</v>
      </c>
      <c r="H2377">
        <v>2009</v>
      </c>
      <c r="I2377" t="str">
        <f t="shared" si="95"/>
        <v>9: 300 - 399</v>
      </c>
      <c r="K2377" t="str">
        <f t="shared" si="94"/>
        <v>WB - In</v>
      </c>
      <c r="L2377" s="1">
        <v>24</v>
      </c>
      <c r="M2377" t="s">
        <v>2202</v>
      </c>
      <c r="O2377" t="s">
        <v>28</v>
      </c>
      <c r="P2377">
        <v>5</v>
      </c>
      <c r="Q2377">
        <v>0</v>
      </c>
      <c r="R2377">
        <v>5</v>
      </c>
      <c r="S2377" s="2">
        <v>43228</v>
      </c>
      <c r="T2377" s="2">
        <v>43237</v>
      </c>
      <c r="U2377" s="2">
        <v>43818</v>
      </c>
    </row>
    <row r="2378" spans="1:22" x14ac:dyDescent="0.2">
      <c r="A2378" t="str">
        <f>"395 HAC"</f>
        <v>395 HAC</v>
      </c>
      <c r="B2378" t="str">
        <f>"Saving civility: 52 ways to tame rude, c"</f>
        <v>Saving civility: 52 ways to tame rude, c</v>
      </c>
      <c r="C2378">
        <v>333571</v>
      </c>
      <c r="D2378" t="str">
        <f>"Hacala, Sara,"</f>
        <v>Hacala, Sara,</v>
      </c>
      <c r="F2378" t="str">
        <f>"vii, 231 p., 23 cm"</f>
        <v>vii, 231 p., 23 cm</v>
      </c>
      <c r="G2378" s="1">
        <v>16</v>
      </c>
      <c r="H2378">
        <v>2011</v>
      </c>
      <c r="I2378" t="str">
        <f t="shared" si="95"/>
        <v>9: 300 - 399</v>
      </c>
      <c r="K2378" t="str">
        <f t="shared" si="94"/>
        <v>WB - In</v>
      </c>
      <c r="L2378" s="1">
        <v>22</v>
      </c>
      <c r="M2378" t="s">
        <v>2203</v>
      </c>
      <c r="O2378" t="s">
        <v>28</v>
      </c>
      <c r="P2378">
        <v>1</v>
      </c>
      <c r="Q2378">
        <v>2</v>
      </c>
      <c r="R2378">
        <v>3</v>
      </c>
      <c r="S2378" s="2">
        <v>42426</v>
      </c>
      <c r="T2378" s="2">
        <v>42474</v>
      </c>
      <c r="U2378" s="2">
        <v>43818</v>
      </c>
      <c r="V2378" s="2">
        <v>42950</v>
      </c>
    </row>
    <row r="2379" spans="1:22" x14ac:dyDescent="0.2">
      <c r="A2379" t="str">
        <f>"395 MAR"</f>
        <v>395 MAR</v>
      </c>
      <c r="B2379" t="str">
        <f>"Miss Manners' guide to excruciatingly co"</f>
        <v>Miss Manners' guide to excruciatingly co</v>
      </c>
      <c r="C2379">
        <v>119277</v>
      </c>
      <c r="D2379" t="str">
        <f>"Martin, Judith"</f>
        <v>Martin, Judith</v>
      </c>
      <c r="F2379" t="str">
        <f>"858 p., 25 cm., ill."</f>
        <v>858 p., 25 cm., ill.</v>
      </c>
      <c r="G2379" s="1">
        <v>5</v>
      </c>
      <c r="H2379">
        <v>2005</v>
      </c>
      <c r="I2379" t="str">
        <f t="shared" si="95"/>
        <v>9: 300 - 399</v>
      </c>
      <c r="K2379" t="str">
        <f t="shared" si="94"/>
        <v>WB - In</v>
      </c>
      <c r="L2379" s="1">
        <v>40</v>
      </c>
      <c r="M2379" t="s">
        <v>2204</v>
      </c>
      <c r="O2379" t="s">
        <v>28</v>
      </c>
      <c r="P2379">
        <v>3</v>
      </c>
      <c r="Q2379">
        <v>0</v>
      </c>
      <c r="R2379">
        <v>35</v>
      </c>
      <c r="S2379" s="2">
        <v>38520</v>
      </c>
      <c r="T2379" s="2">
        <v>41053</v>
      </c>
      <c r="U2379" s="2">
        <v>43780</v>
      </c>
      <c r="V2379" s="2">
        <v>42578</v>
      </c>
    </row>
    <row r="2380" spans="1:22" x14ac:dyDescent="0.2">
      <c r="A2380" t="str">
        <f>"395 POS"</f>
        <v>395 POS</v>
      </c>
      <c r="B2380" t="str">
        <f>"Teen manners: from malls to meals to mes"</f>
        <v>Teen manners: from malls to meals to mes</v>
      </c>
      <c r="C2380">
        <v>320357</v>
      </c>
      <c r="F2380" t="str">
        <f>"134 p., 29 cm., col. ill."</f>
        <v>134 p., 29 cm., col. ill.</v>
      </c>
      <c r="G2380" s="1">
        <v>14</v>
      </c>
      <c r="H2380">
        <v>2006</v>
      </c>
      <c r="I2380" t="str">
        <f t="shared" si="95"/>
        <v>9: 300 - 399</v>
      </c>
      <c r="K2380" t="str">
        <f t="shared" si="94"/>
        <v>WB - In</v>
      </c>
      <c r="L2380" s="1">
        <v>23</v>
      </c>
      <c r="M2380" t="s">
        <v>2205</v>
      </c>
      <c r="O2380" t="s">
        <v>28</v>
      </c>
      <c r="P2380">
        <v>1</v>
      </c>
      <c r="Q2380">
        <v>0</v>
      </c>
      <c r="R2380">
        <v>5</v>
      </c>
      <c r="S2380" s="2">
        <v>41710</v>
      </c>
      <c r="T2380" s="2">
        <v>41726</v>
      </c>
      <c r="U2380" s="2">
        <v>42893</v>
      </c>
    </row>
    <row r="2381" spans="1:22" x14ac:dyDescent="0.2">
      <c r="A2381" t="str">
        <f>"395 POS"</f>
        <v>395 POS</v>
      </c>
      <c r="B2381" t="str">
        <f>"Emily Post's etiquette: manners for toda"</f>
        <v>Emily Post's etiquette: manners for toda</v>
      </c>
      <c r="C2381">
        <v>348007</v>
      </c>
      <c r="D2381" t="str">
        <f>"Post, Lizzie."</f>
        <v>Post, Lizzie.</v>
      </c>
      <c r="F2381" t="str">
        <f>"xi, 722 pages, 24 cm, illustrations"</f>
        <v>xi, 722 pages, 24 cm, illustrations</v>
      </c>
      <c r="G2381" s="1">
        <v>18</v>
      </c>
      <c r="H2381">
        <v>2017</v>
      </c>
      <c r="I2381" t="str">
        <f t="shared" si="95"/>
        <v>9: 300 - 399</v>
      </c>
      <c r="K2381" t="str">
        <f>"WB - Out"</f>
        <v>WB - Out</v>
      </c>
      <c r="L2381" s="1">
        <v>50</v>
      </c>
      <c r="M2381" t="s">
        <v>2206</v>
      </c>
      <c r="O2381" t="s">
        <v>28</v>
      </c>
      <c r="P2381">
        <v>4</v>
      </c>
      <c r="Q2381">
        <v>1</v>
      </c>
      <c r="R2381">
        <v>5</v>
      </c>
      <c r="S2381" s="2">
        <v>43257</v>
      </c>
      <c r="T2381" s="2">
        <v>43259</v>
      </c>
      <c r="U2381" s="2">
        <v>43814</v>
      </c>
      <c r="V2381" s="2">
        <v>43755</v>
      </c>
    </row>
    <row r="2382" spans="1:22" x14ac:dyDescent="0.2">
      <c r="A2382" t="str">
        <f>"395 POS"</f>
        <v>395 POS</v>
      </c>
      <c r="B2382" t="str">
        <f>"Essential manners for men"</f>
        <v>Essential manners for men</v>
      </c>
      <c r="C2382">
        <v>333292</v>
      </c>
      <c r="D2382" t="str">
        <f>"Post, Peter."</f>
        <v>Post, Peter.</v>
      </c>
      <c r="F2382" t="str">
        <f>"xix, 233 p., 21 cm"</f>
        <v>xix, 233 p., 21 cm</v>
      </c>
      <c r="G2382" s="1">
        <v>16</v>
      </c>
      <c r="H2382">
        <v>2012</v>
      </c>
      <c r="I2382" t="str">
        <f t="shared" si="95"/>
        <v>9: 300 - 399</v>
      </c>
      <c r="K2382" t="str">
        <f>"WB - In"</f>
        <v>WB - In</v>
      </c>
      <c r="L2382" s="1">
        <v>20</v>
      </c>
      <c r="M2382" t="s">
        <v>2207</v>
      </c>
      <c r="O2382" t="s">
        <v>28</v>
      </c>
      <c r="P2382">
        <v>1</v>
      </c>
      <c r="Q2382">
        <v>0</v>
      </c>
      <c r="R2382">
        <v>5</v>
      </c>
      <c r="S2382" s="2">
        <v>42416</v>
      </c>
      <c r="T2382" s="2">
        <v>42423</v>
      </c>
      <c r="U2382" s="2">
        <v>43428</v>
      </c>
    </row>
    <row r="2383" spans="1:22" x14ac:dyDescent="0.2">
      <c r="A2383" t="str">
        <f>"395 TOW"</f>
        <v>395 TOW</v>
      </c>
      <c r="B2383" t="str">
        <f>"Table manners: how to behave in the mode"</f>
        <v>Table manners: how to behave in the mode</v>
      </c>
      <c r="C2383">
        <v>337991</v>
      </c>
      <c r="D2383" t="str">
        <f>"Tower, Jeremiah"</f>
        <v>Tower, Jeremiah</v>
      </c>
      <c r="F2383" t="str">
        <f>"135 p."</f>
        <v>135 p.</v>
      </c>
      <c r="G2383" s="1">
        <v>16</v>
      </c>
      <c r="H2383">
        <v>2016</v>
      </c>
      <c r="I2383" t="str">
        <f t="shared" si="95"/>
        <v>9: 300 - 399</v>
      </c>
      <c r="K2383" t="str">
        <f>"WB - In"</f>
        <v>WB - In</v>
      </c>
      <c r="L2383" s="1">
        <v>25</v>
      </c>
      <c r="M2383" t="s">
        <v>2208</v>
      </c>
      <c r="O2383" t="s">
        <v>28</v>
      </c>
      <c r="P2383">
        <v>7</v>
      </c>
      <c r="Q2383">
        <v>0</v>
      </c>
      <c r="R2383">
        <v>12</v>
      </c>
      <c r="S2383" s="2">
        <v>42663</v>
      </c>
      <c r="T2383" s="2">
        <v>42858</v>
      </c>
      <c r="U2383" s="2">
        <v>43780</v>
      </c>
    </row>
    <row r="2384" spans="1:22" x14ac:dyDescent="0.2">
      <c r="A2384" t="str">
        <f>"395 WAL"</f>
        <v>395 WAL</v>
      </c>
      <c r="B2384" t="str">
        <f>"Elbows off the table, napkin in the lap,"</f>
        <v>Elbows off the table, napkin in the lap,</v>
      </c>
      <c r="C2384">
        <v>138162</v>
      </c>
      <c r="D2384" t="str">
        <f>"Wallace, Carol"</f>
        <v>Wallace, Carol</v>
      </c>
      <c r="F2384" t="str">
        <f>"p. cm."</f>
        <v>p. cm.</v>
      </c>
      <c r="G2384" s="1">
        <v>9</v>
      </c>
      <c r="H2384">
        <v>1996</v>
      </c>
      <c r="I2384" t="str">
        <f t="shared" si="95"/>
        <v>9: 300 - 399</v>
      </c>
      <c r="K2384" t="str">
        <f>"WB - In"</f>
        <v>WB - In</v>
      </c>
      <c r="L2384" s="1">
        <v>20</v>
      </c>
      <c r="M2384" t="s">
        <v>2209</v>
      </c>
      <c r="O2384" t="s">
        <v>28</v>
      </c>
      <c r="P2384">
        <v>1</v>
      </c>
      <c r="Q2384">
        <v>0</v>
      </c>
      <c r="R2384">
        <v>10</v>
      </c>
      <c r="S2384" s="2">
        <v>40024</v>
      </c>
      <c r="T2384" s="2">
        <v>41053</v>
      </c>
      <c r="U2384" s="2">
        <v>43117</v>
      </c>
    </row>
    <row r="2385" spans="1:22" x14ac:dyDescent="0.2">
      <c r="A2385" t="str">
        <f>"395.2 APP"</f>
        <v>395.2 APP</v>
      </c>
      <c r="B2385" t="str">
        <f>"new-fashioned wedding: designing your ar"</f>
        <v>new-fashioned wedding: designing your ar</v>
      </c>
      <c r="C2385">
        <v>323809</v>
      </c>
      <c r="D2385" t="str">
        <f>"Appel, Paige."</f>
        <v>Appel, Paige.</v>
      </c>
      <c r="F2385" t="str">
        <f>"224 p., 26 cm, chiefly ill. (some col.)"</f>
        <v>224 p., 26 cm, chiefly ill. (some col.)</v>
      </c>
      <c r="G2385" s="1">
        <v>14</v>
      </c>
      <c r="H2385">
        <v>2012</v>
      </c>
      <c r="I2385" t="str">
        <f t="shared" si="95"/>
        <v>9: 300 - 399</v>
      </c>
      <c r="K2385" t="str">
        <f>"WB - Out"</f>
        <v>WB - Out</v>
      </c>
      <c r="L2385" s="1">
        <v>50</v>
      </c>
      <c r="M2385" t="s">
        <v>2210</v>
      </c>
      <c r="O2385" t="s">
        <v>28</v>
      </c>
      <c r="P2385">
        <v>5</v>
      </c>
      <c r="Q2385">
        <v>0</v>
      </c>
      <c r="R2385">
        <v>9</v>
      </c>
      <c r="S2385" s="2">
        <v>41911</v>
      </c>
      <c r="T2385" s="2">
        <v>41939</v>
      </c>
      <c r="U2385" s="2">
        <v>43837</v>
      </c>
    </row>
    <row r="2386" spans="1:22" x14ac:dyDescent="0.2">
      <c r="A2386" t="str">
        <f>"395.2 BEE"</f>
        <v>395.2 BEE</v>
      </c>
      <c r="B2386" t="str">
        <f>"Style me vintage: an inspirational guide"</f>
        <v>Style me vintage: an inspirational guide</v>
      </c>
      <c r="C2386">
        <v>323692</v>
      </c>
      <c r="D2386" t="str">
        <f>"Beeforth, Annabel."</f>
        <v>Beeforth, Annabel.</v>
      </c>
      <c r="F2386" t="str">
        <f>"176 p, 21 cm, ill. (chiefly col)"</f>
        <v>176 p, 21 cm, ill. (chiefly col)</v>
      </c>
      <c r="G2386" s="1">
        <v>14</v>
      </c>
      <c r="H2386">
        <v>2013</v>
      </c>
      <c r="I2386" t="str">
        <f t="shared" si="95"/>
        <v>9: 300 - 399</v>
      </c>
      <c r="K2386" t="str">
        <f>"LL - In"</f>
        <v>LL - In</v>
      </c>
      <c r="L2386" s="1">
        <v>30</v>
      </c>
      <c r="M2386" t="s">
        <v>2211</v>
      </c>
      <c r="O2386" t="s">
        <v>28</v>
      </c>
      <c r="P2386">
        <v>1</v>
      </c>
      <c r="Q2386">
        <v>0</v>
      </c>
      <c r="R2386">
        <v>2</v>
      </c>
      <c r="S2386" s="2">
        <v>41897</v>
      </c>
      <c r="T2386" s="2">
        <v>41905</v>
      </c>
      <c r="U2386" s="2">
        <v>43005</v>
      </c>
      <c r="V2386" s="2">
        <v>42270</v>
      </c>
    </row>
    <row r="2387" spans="1:22" x14ac:dyDescent="0.2">
      <c r="A2387" t="str">
        <f>"395.2 BRA"</f>
        <v>395.2 BRA</v>
      </c>
      <c r="B2387" t="str">
        <f>"wedding expert: 400 things you need to k"</f>
        <v>wedding expert: 400 things you need to k</v>
      </c>
      <c r="C2387">
        <v>329521</v>
      </c>
      <c r="D2387" t="str">
        <f>"Bradley, Bettie"</f>
        <v>Bradley, Bettie</v>
      </c>
      <c r="F2387" t="str">
        <f>"238 pages, 21 cm, illustrations"</f>
        <v>238 pages, 21 cm, illustrations</v>
      </c>
      <c r="G2387" s="1">
        <v>15</v>
      </c>
      <c r="H2387">
        <v>2014</v>
      </c>
      <c r="I2387" t="str">
        <f t="shared" si="95"/>
        <v>9: 300 - 399</v>
      </c>
      <c r="K2387" t="str">
        <f>"LL - In"</f>
        <v>LL - In</v>
      </c>
      <c r="L2387" s="1">
        <v>25</v>
      </c>
      <c r="M2387" t="s">
        <v>2212</v>
      </c>
      <c r="O2387" t="s">
        <v>28</v>
      </c>
      <c r="P2387">
        <v>3</v>
      </c>
      <c r="Q2387">
        <v>2</v>
      </c>
      <c r="R2387">
        <v>7</v>
      </c>
      <c r="S2387" s="2">
        <v>42241</v>
      </c>
      <c r="T2387" s="2">
        <v>42283</v>
      </c>
      <c r="U2387" s="2">
        <v>43622</v>
      </c>
      <c r="V2387" s="2">
        <v>43335</v>
      </c>
    </row>
    <row r="2388" spans="1:22" x14ac:dyDescent="0.2">
      <c r="A2388" t="str">
        <f>"395.2 BRO"</f>
        <v>395.2 BRO</v>
      </c>
      <c r="B2388" t="str">
        <f>"Weddings in color: 500 creative ideas fo"</f>
        <v>Weddings in color: 500 creative ideas fo</v>
      </c>
      <c r="C2388">
        <v>330810</v>
      </c>
      <c r="D2388" t="str">
        <f>"Broussard, Van�"</f>
        <v>Broussard, Van�</v>
      </c>
      <c r="F2388" t="str">
        <f>"240 pages, 24 cm, color illustrations"</f>
        <v>240 pages, 24 cm, color illustrations</v>
      </c>
      <c r="G2388" s="1">
        <v>15</v>
      </c>
      <c r="H2388">
        <v>2015</v>
      </c>
      <c r="I2388" t="str">
        <f t="shared" si="95"/>
        <v>9: 300 - 399</v>
      </c>
      <c r="K2388" t="str">
        <f>"WB - In"</f>
        <v>WB - In</v>
      </c>
      <c r="L2388" s="1">
        <v>38</v>
      </c>
      <c r="M2388" t="s">
        <v>2213</v>
      </c>
      <c r="O2388" t="s">
        <v>28</v>
      </c>
      <c r="P2388">
        <v>2</v>
      </c>
      <c r="Q2388">
        <v>1</v>
      </c>
      <c r="R2388">
        <v>6</v>
      </c>
      <c r="S2388" s="2">
        <v>42300</v>
      </c>
      <c r="T2388" s="2">
        <v>43468</v>
      </c>
      <c r="U2388" s="2">
        <v>43837</v>
      </c>
      <c r="V2388" s="2">
        <v>43681</v>
      </c>
    </row>
    <row r="2389" spans="1:22" x14ac:dyDescent="0.2">
      <c r="A2389" t="str">
        <f>"395.2 CAR"</f>
        <v>395.2 CAR</v>
      </c>
      <c r="B2389" t="str">
        <f>"Beautiful weddings of Texas"</f>
        <v>Beautiful weddings of Texas</v>
      </c>
      <c r="C2389">
        <v>283822</v>
      </c>
      <c r="D2389" t="str">
        <f>"Carpenter, Jolie"</f>
        <v>Carpenter, Jolie</v>
      </c>
      <c r="F2389" t="str">
        <f>"425 p, col. photos"</f>
        <v>425 p, col. photos</v>
      </c>
      <c r="G2389" s="1">
        <v>15</v>
      </c>
      <c r="H2389">
        <v>2015</v>
      </c>
      <c r="I2389" t="str">
        <f t="shared" si="95"/>
        <v>9: 300 - 399</v>
      </c>
      <c r="K2389" t="str">
        <f>"WB - Out"</f>
        <v>WB - Out</v>
      </c>
      <c r="L2389" s="1">
        <v>30</v>
      </c>
      <c r="M2389" t="s">
        <v>2214</v>
      </c>
      <c r="O2389" t="s">
        <v>28</v>
      </c>
      <c r="P2389">
        <v>5</v>
      </c>
      <c r="Q2389">
        <v>1</v>
      </c>
      <c r="R2389">
        <v>16</v>
      </c>
      <c r="S2389" s="2">
        <v>42267</v>
      </c>
      <c r="T2389" s="2">
        <v>42452</v>
      </c>
      <c r="U2389" s="2">
        <v>43837</v>
      </c>
      <c r="V2389" s="2">
        <v>43645</v>
      </c>
    </row>
    <row r="2390" spans="1:22" x14ac:dyDescent="0.2">
      <c r="A2390" t="str">
        <f>"395.2 COW"</f>
        <v>395.2 COW</v>
      </c>
      <c r="B2390" t="str">
        <f>"Wedding chic: 1,001 ideas for every mome"</f>
        <v>Wedding chic: 1,001 ideas for every mome</v>
      </c>
      <c r="C2390">
        <v>311820</v>
      </c>
      <c r="D2390" t="str">
        <f>"Cowie, Colin"</f>
        <v>Cowie, Colin</v>
      </c>
      <c r="F2390" t="str">
        <f>"352 p."</f>
        <v>352 p.</v>
      </c>
      <c r="G2390" s="1">
        <v>12</v>
      </c>
      <c r="H2390">
        <v>2008</v>
      </c>
      <c r="I2390" t="str">
        <f t="shared" si="95"/>
        <v>9: 300 - 399</v>
      </c>
      <c r="K2390" t="str">
        <f>"WB - In"</f>
        <v>WB - In</v>
      </c>
      <c r="L2390" s="1">
        <v>45</v>
      </c>
      <c r="M2390" t="s">
        <v>2215</v>
      </c>
      <c r="O2390" t="s">
        <v>28</v>
      </c>
      <c r="P2390">
        <v>5</v>
      </c>
      <c r="Q2390">
        <v>0</v>
      </c>
      <c r="R2390">
        <v>9</v>
      </c>
      <c r="S2390" s="2">
        <v>41262</v>
      </c>
      <c r="T2390" s="2">
        <v>41276</v>
      </c>
      <c r="U2390" s="2">
        <v>43498</v>
      </c>
      <c r="V2390" s="2">
        <v>41779</v>
      </c>
    </row>
    <row r="2391" spans="1:22" x14ac:dyDescent="0.2">
      <c r="A2391" t="str">
        <f>"395.2 LAR"</f>
        <v>395.2 LAR</v>
      </c>
      <c r="B2391" t="str">
        <f>"Style me pretty weddings: inspiration &amp; "</f>
        <v xml:space="preserve">Style me pretty weddings: inspiration &amp; </v>
      </c>
      <c r="C2391">
        <v>323691</v>
      </c>
      <c r="D2391" t="str">
        <f>"Larson, Abby."</f>
        <v>Larson, Abby.</v>
      </c>
      <c r="F2391" t="str">
        <f>"255 p., 25 cm, col. ill."</f>
        <v>255 p., 25 cm, col. ill.</v>
      </c>
      <c r="G2391" s="1">
        <v>14</v>
      </c>
      <c r="H2391">
        <v>2012</v>
      </c>
      <c r="I2391" t="str">
        <f t="shared" si="95"/>
        <v>9: 300 - 399</v>
      </c>
      <c r="K2391" t="str">
        <f>"WB - In"</f>
        <v>WB - In</v>
      </c>
      <c r="L2391" s="1">
        <v>35</v>
      </c>
      <c r="M2391" t="s">
        <v>2216</v>
      </c>
      <c r="O2391" t="s">
        <v>28</v>
      </c>
      <c r="P2391">
        <v>3</v>
      </c>
      <c r="Q2391">
        <v>0</v>
      </c>
      <c r="R2391">
        <v>7</v>
      </c>
      <c r="S2391" s="2">
        <v>41897</v>
      </c>
      <c r="T2391" s="2">
        <v>41905</v>
      </c>
      <c r="U2391" s="2">
        <v>43479</v>
      </c>
    </row>
    <row r="2392" spans="1:22" x14ac:dyDescent="0.2">
      <c r="A2392" t="str">
        <f>"395.2 LEE"</f>
        <v>395.2 LEE</v>
      </c>
      <c r="B2392" t="str">
        <f>"Weddiculous: an unfiltered guide to bein"</f>
        <v>Weddiculous: an unfiltered guide to bein</v>
      </c>
      <c r="C2392">
        <v>348937</v>
      </c>
      <c r="D2392" t="str">
        <f>"Lee, Jamie"</f>
        <v>Lee, Jamie</v>
      </c>
      <c r="F2392" t="str">
        <f>"281 pages, 23 cm, illustrations"</f>
        <v>281 pages, 23 cm, illustrations</v>
      </c>
      <c r="G2392" s="1">
        <v>18</v>
      </c>
      <c r="H2392">
        <v>2016</v>
      </c>
      <c r="I2392" t="str">
        <f t="shared" si="95"/>
        <v>9: 300 - 399</v>
      </c>
      <c r="K2392" t="str">
        <f>"LL - In"</f>
        <v>LL - In</v>
      </c>
      <c r="L2392" s="1">
        <v>28</v>
      </c>
      <c r="M2392" t="s">
        <v>2217</v>
      </c>
      <c r="O2392" t="s">
        <v>28</v>
      </c>
      <c r="P2392">
        <v>1</v>
      </c>
      <c r="Q2392">
        <v>0</v>
      </c>
      <c r="R2392">
        <v>1</v>
      </c>
      <c r="S2392" s="2">
        <v>43304</v>
      </c>
      <c r="T2392" s="2">
        <v>43307</v>
      </c>
      <c r="U2392" s="2">
        <v>43622</v>
      </c>
    </row>
    <row r="2393" spans="1:22" x14ac:dyDescent="0.2">
      <c r="A2393" t="str">
        <f>"395.2 MAL"</f>
        <v>395.2 MAL</v>
      </c>
      <c r="B2393" t="str">
        <f>"How to plan your own destination wedding"</f>
        <v>How to plan your own destination wedding</v>
      </c>
      <c r="C2393">
        <v>334714</v>
      </c>
      <c r="D2393" t="str">
        <f>"Malone, Sandy"</f>
        <v>Malone, Sandy</v>
      </c>
      <c r="F2393" t="str">
        <f>"239 p."</f>
        <v>239 p.</v>
      </c>
      <c r="G2393" s="1">
        <v>16</v>
      </c>
      <c r="H2393">
        <v>2016</v>
      </c>
      <c r="I2393" t="str">
        <f t="shared" si="95"/>
        <v>9: 300 - 399</v>
      </c>
      <c r="K2393" t="str">
        <f>"WB - Out"</f>
        <v>WB - Out</v>
      </c>
      <c r="L2393" s="1">
        <v>22</v>
      </c>
      <c r="M2393" t="s">
        <v>2218</v>
      </c>
      <c r="O2393" t="s">
        <v>28</v>
      </c>
      <c r="P2393">
        <v>1</v>
      </c>
      <c r="Q2393">
        <v>0</v>
      </c>
      <c r="R2393">
        <v>1</v>
      </c>
      <c r="S2393" s="2">
        <v>42486</v>
      </c>
      <c r="T2393" s="2">
        <v>43468</v>
      </c>
      <c r="U2393" s="2">
        <v>43837</v>
      </c>
    </row>
    <row r="2394" spans="1:22" x14ac:dyDescent="0.2">
      <c r="A2394" t="str">
        <f>"395.2 MAR"</f>
        <v>395.2 MAR</v>
      </c>
      <c r="B2394" t="str">
        <f>"Martha Stewart weddings: ideas &amp; inspira"</f>
        <v>Martha Stewart weddings: ideas &amp; inspira</v>
      </c>
      <c r="C2394">
        <v>352838</v>
      </c>
      <c r="F2394" t="str">
        <f>"271 pages, 30 cm, color illustrations"</f>
        <v>271 pages, 30 cm, color illustrations</v>
      </c>
      <c r="G2394" s="1">
        <v>19</v>
      </c>
      <c r="H2394">
        <v>2015</v>
      </c>
      <c r="I2394" t="str">
        <f t="shared" si="95"/>
        <v>9: 300 - 399</v>
      </c>
      <c r="K2394" t="str">
        <f>"LL - In"</f>
        <v>LL - In</v>
      </c>
      <c r="L2394" s="1">
        <v>65</v>
      </c>
      <c r="M2394" t="s">
        <v>2219</v>
      </c>
      <c r="O2394" t="s">
        <v>28</v>
      </c>
      <c r="P2394">
        <v>1</v>
      </c>
      <c r="Q2394">
        <v>0</v>
      </c>
      <c r="R2394">
        <v>1</v>
      </c>
      <c r="S2394" s="2">
        <v>43507</v>
      </c>
      <c r="T2394" s="2">
        <v>43545</v>
      </c>
      <c r="U2394" s="2">
        <v>43746</v>
      </c>
    </row>
    <row r="2395" spans="1:22" x14ac:dyDescent="0.2">
      <c r="A2395" t="str">
        <f>"395.2 MCK"</f>
        <v>395.2 MCK</v>
      </c>
      <c r="B2395" t="str">
        <f>"Modern wedding: creating a celebration t"</f>
        <v>Modern wedding: creating a celebration t</v>
      </c>
      <c r="C2395">
        <v>352799</v>
      </c>
      <c r="D2395" t="str">
        <f>"McKinnon, Kelsey"</f>
        <v>McKinnon, Kelsey</v>
      </c>
      <c r="F2395" t="str">
        <f>"383 pages, 29 cm, chiefly color illustrations"</f>
        <v>383 pages, 29 cm, chiefly color illustrations</v>
      </c>
      <c r="G2395" s="1">
        <v>19</v>
      </c>
      <c r="H2395">
        <v>2018</v>
      </c>
      <c r="I2395" t="str">
        <f t="shared" si="95"/>
        <v>9: 300 - 399</v>
      </c>
      <c r="K2395" t="str">
        <f>"WB - Out"</f>
        <v>WB - Out</v>
      </c>
      <c r="L2395" s="1">
        <v>45</v>
      </c>
      <c r="M2395" t="s">
        <v>2220</v>
      </c>
      <c r="O2395" t="s">
        <v>28</v>
      </c>
      <c r="P2395">
        <v>1</v>
      </c>
      <c r="Q2395">
        <v>0</v>
      </c>
      <c r="R2395">
        <v>2</v>
      </c>
      <c r="S2395" s="2">
        <v>43507</v>
      </c>
      <c r="T2395" s="2">
        <v>43525</v>
      </c>
      <c r="U2395" s="2">
        <v>43837</v>
      </c>
    </row>
    <row r="2396" spans="1:22" x14ac:dyDescent="0.2">
      <c r="A2396" t="str">
        <f>"395.2 MIL"</f>
        <v>395.2 MIL</v>
      </c>
      <c r="B2396" t="str">
        <f>"Wedding cakes"</f>
        <v>Wedding cakes</v>
      </c>
      <c r="C2396">
        <v>276580</v>
      </c>
      <c r="D2396" t="str">
        <f>"Miller, Rosalind"</f>
        <v>Miller, Rosalind</v>
      </c>
      <c r="F2396" t="str">
        <f>"191 p."</f>
        <v>191 p.</v>
      </c>
      <c r="G2396" s="1">
        <v>14</v>
      </c>
      <c r="H2396">
        <v>2013</v>
      </c>
      <c r="I2396" t="str">
        <f t="shared" si="95"/>
        <v>9: 300 - 399</v>
      </c>
      <c r="K2396" t="str">
        <f>"WB - In"</f>
        <v>WB - In</v>
      </c>
      <c r="L2396" s="1">
        <v>33</v>
      </c>
      <c r="M2396" t="s">
        <v>2221</v>
      </c>
      <c r="O2396" t="s">
        <v>28</v>
      </c>
      <c r="P2396">
        <v>1</v>
      </c>
      <c r="Q2396">
        <v>0</v>
      </c>
      <c r="R2396">
        <v>4</v>
      </c>
      <c r="S2396" s="2">
        <v>41903</v>
      </c>
      <c r="T2396" s="2">
        <v>41919</v>
      </c>
      <c r="U2396" s="2">
        <v>43556</v>
      </c>
      <c r="V2396" s="2">
        <v>42654</v>
      </c>
    </row>
    <row r="2397" spans="1:22" x14ac:dyDescent="0.2">
      <c r="A2397" t="str">
        <f>"395.2 NAY"</f>
        <v>395.2 NAY</v>
      </c>
      <c r="B2397" t="str">
        <f>"Weddings away: the new destination weddi"</f>
        <v>Weddings away: the new destination weddi</v>
      </c>
      <c r="C2397">
        <v>401978</v>
      </c>
      <c r="D2397" t="str">
        <f>"Naylor, Sharon"</f>
        <v>Naylor, Sharon</v>
      </c>
      <c r="F2397" t="str">
        <f>"xi, 260 pages, 14 unnumbered pages of color plates, 21 cm, illustrations"</f>
        <v>xi, 260 pages, 14 unnumbered pages of color plates, 21 cm, illustrations</v>
      </c>
      <c r="G2397" s="1">
        <v>18</v>
      </c>
      <c r="H2397">
        <v>2018</v>
      </c>
      <c r="I2397" t="str">
        <f t="shared" si="95"/>
        <v>9: 300 - 399</v>
      </c>
      <c r="K2397" t="str">
        <f>"WB - Out"</f>
        <v>WB - Out</v>
      </c>
      <c r="L2397" s="1">
        <v>22</v>
      </c>
      <c r="M2397" t="s">
        <v>2222</v>
      </c>
      <c r="O2397" t="s">
        <v>28</v>
      </c>
      <c r="P2397">
        <v>1</v>
      </c>
      <c r="Q2397">
        <v>0</v>
      </c>
      <c r="R2397">
        <v>1</v>
      </c>
      <c r="S2397" s="2">
        <v>43265</v>
      </c>
      <c r="T2397" s="2">
        <v>43270</v>
      </c>
      <c r="U2397" s="2">
        <v>43837</v>
      </c>
    </row>
    <row r="2398" spans="1:22" x14ac:dyDescent="0.2">
      <c r="A2398" t="str">
        <f>"395.2 NAY"</f>
        <v>395.2 NAY</v>
      </c>
      <c r="B2398" t="str">
        <f>"Your special wedding toasts"</f>
        <v>Your special wedding toasts</v>
      </c>
      <c r="C2398">
        <v>131517</v>
      </c>
      <c r="D2398" t="str">
        <f>"Naylor, Sharon"</f>
        <v>Naylor, Sharon</v>
      </c>
      <c r="F2398" t="str">
        <f>"viii, 118 p., 19 cm."</f>
        <v>viii, 118 p., 19 cm.</v>
      </c>
      <c r="G2398" s="1">
        <v>8</v>
      </c>
      <c r="H2398">
        <v>2004</v>
      </c>
      <c r="I2398" t="str">
        <f t="shared" si="95"/>
        <v>9: 300 - 399</v>
      </c>
      <c r="K2398" t="str">
        <f>"WB - In"</f>
        <v>WB - In</v>
      </c>
      <c r="L2398" s="1">
        <v>16</v>
      </c>
      <c r="M2398" t="s">
        <v>2223</v>
      </c>
      <c r="O2398" t="s">
        <v>28</v>
      </c>
      <c r="P2398">
        <v>0</v>
      </c>
      <c r="Q2398">
        <v>0</v>
      </c>
      <c r="R2398">
        <v>10</v>
      </c>
      <c r="S2398" s="2">
        <v>39653</v>
      </c>
      <c r="T2398" s="2">
        <v>41053</v>
      </c>
      <c r="U2398" s="2">
        <v>41608</v>
      </c>
      <c r="V2398" s="2">
        <v>41878</v>
      </c>
    </row>
    <row r="2399" spans="1:22" x14ac:dyDescent="0.2">
      <c r="A2399" t="str">
        <f>"395.2 POS"</f>
        <v>395.2 POS</v>
      </c>
      <c r="B2399" t="str">
        <f>"Emily Post's wedding etiquette"</f>
        <v>Emily Post's wedding etiquette</v>
      </c>
      <c r="C2399">
        <v>323801</v>
      </c>
      <c r="D2399" t="str">
        <f>"Post, Anna."</f>
        <v>Post, Anna.</v>
      </c>
      <c r="F2399" t="str">
        <f>"xx, 380 pages, 24 cm, illustrations"</f>
        <v>xx, 380 pages, 24 cm, illustrations</v>
      </c>
      <c r="G2399" s="1">
        <v>14</v>
      </c>
      <c r="H2399">
        <v>2014</v>
      </c>
      <c r="I2399" t="str">
        <f t="shared" si="95"/>
        <v>9: 300 - 399</v>
      </c>
      <c r="K2399" t="str">
        <f>"LL - In"</f>
        <v>LL - In</v>
      </c>
      <c r="L2399" s="1">
        <v>35</v>
      </c>
      <c r="M2399" t="s">
        <v>2224</v>
      </c>
      <c r="O2399" t="s">
        <v>28</v>
      </c>
      <c r="P2399">
        <v>5</v>
      </c>
      <c r="Q2399">
        <v>0</v>
      </c>
      <c r="R2399">
        <v>7</v>
      </c>
      <c r="S2399" s="2">
        <v>41911</v>
      </c>
      <c r="T2399" s="2">
        <v>41912</v>
      </c>
      <c r="U2399" s="2">
        <v>43622</v>
      </c>
      <c r="V2399" s="2">
        <v>41947</v>
      </c>
    </row>
    <row r="2400" spans="1:22" x14ac:dyDescent="0.2">
      <c r="A2400" t="str">
        <f>"395.2 RON"</f>
        <v>395.2 RON</v>
      </c>
      <c r="B2400" t="str">
        <f>"Knot book of wedding gowns"</f>
        <v>Knot book of wedding gowns</v>
      </c>
      <c r="C2400">
        <v>105286</v>
      </c>
      <c r="D2400" t="str">
        <f>"Roney, Carley"</f>
        <v>Roney, Carley</v>
      </c>
      <c r="F2400" t="str">
        <f>"176 p., 24 cm., ill. (some col.)"</f>
        <v>176 p., 24 cm., ill. (some col.)</v>
      </c>
      <c r="G2400" s="1">
        <v>1</v>
      </c>
      <c r="H2400">
        <v>2001</v>
      </c>
      <c r="I2400" t="str">
        <f t="shared" si="95"/>
        <v>9: 300 - 399</v>
      </c>
      <c r="K2400" t="str">
        <f>"WB - In"</f>
        <v>WB - In</v>
      </c>
      <c r="L2400" s="1">
        <v>30</v>
      </c>
      <c r="M2400" t="s">
        <v>2225</v>
      </c>
      <c r="O2400" t="s">
        <v>28</v>
      </c>
      <c r="P2400">
        <v>1</v>
      </c>
      <c r="Q2400">
        <v>0</v>
      </c>
      <c r="R2400">
        <v>29</v>
      </c>
      <c r="S2400" s="2">
        <v>37253</v>
      </c>
      <c r="T2400" s="2">
        <v>41053</v>
      </c>
      <c r="U2400" s="2">
        <v>43031</v>
      </c>
    </row>
    <row r="2401" spans="1:22" x14ac:dyDescent="0.2">
      <c r="A2401" t="str">
        <f>"395.2 RON"</f>
        <v>395.2 RON</v>
      </c>
      <c r="B2401" t="str">
        <f>"Knot outdoor weddings: fresh ideas for e"</f>
        <v>Knot outdoor weddings: fresh ideas for e</v>
      </c>
      <c r="C2401">
        <v>334716</v>
      </c>
      <c r="D2401" t="str">
        <f>"Roney, Carley"</f>
        <v>Roney, Carley</v>
      </c>
      <c r="F2401" t="str">
        <f>"288 pages, 26 cm, color illustrations"</f>
        <v>288 pages, 26 cm, color illustrations</v>
      </c>
      <c r="G2401" s="1">
        <v>16</v>
      </c>
      <c r="H2401">
        <v>2015</v>
      </c>
      <c r="I2401" t="str">
        <f t="shared" si="95"/>
        <v>9: 300 - 399</v>
      </c>
      <c r="K2401" t="str">
        <f>"WB - Out"</f>
        <v>WB - Out</v>
      </c>
      <c r="L2401" s="1">
        <v>45</v>
      </c>
      <c r="M2401" t="s">
        <v>2226</v>
      </c>
      <c r="O2401" t="s">
        <v>28</v>
      </c>
      <c r="P2401">
        <v>3</v>
      </c>
      <c r="Q2401">
        <v>0</v>
      </c>
      <c r="R2401">
        <v>4</v>
      </c>
      <c r="S2401" s="2">
        <v>42486</v>
      </c>
      <c r="T2401" s="2">
        <v>43468</v>
      </c>
      <c r="U2401" s="2">
        <v>43837</v>
      </c>
    </row>
    <row r="2402" spans="1:22" x14ac:dyDescent="0.2">
      <c r="A2402" t="str">
        <f>"395.2 RON"</f>
        <v>395.2 RON</v>
      </c>
      <c r="B2402" t="str">
        <f>"Knot yours truly: inspiration and ideas "</f>
        <v xml:space="preserve">Knot yours truly: inspiration and ideas </v>
      </c>
      <c r="C2402">
        <v>346256</v>
      </c>
      <c r="D2402" t="str">
        <f>"Roney, Carley"</f>
        <v>Roney, Carley</v>
      </c>
      <c r="F2402" t="str">
        <f>"239 pages, 26 cm, color illustrations"</f>
        <v>239 pages, 26 cm, color illustrations</v>
      </c>
      <c r="G2402" s="1">
        <v>18</v>
      </c>
      <c r="H2402">
        <v>2017</v>
      </c>
      <c r="I2402" t="str">
        <f t="shared" si="95"/>
        <v>9: 300 - 399</v>
      </c>
      <c r="K2402" t="str">
        <f>"LL - In"</f>
        <v>LL - In</v>
      </c>
      <c r="L2402" s="1">
        <v>30</v>
      </c>
      <c r="M2402" t="s">
        <v>2227</v>
      </c>
      <c r="O2402" t="s">
        <v>28</v>
      </c>
      <c r="P2402">
        <v>2</v>
      </c>
      <c r="Q2402">
        <v>0</v>
      </c>
      <c r="R2402">
        <v>2</v>
      </c>
      <c r="S2402" s="2">
        <v>43152</v>
      </c>
      <c r="T2402" s="2">
        <v>43165</v>
      </c>
      <c r="U2402" s="2">
        <v>43746</v>
      </c>
    </row>
    <row r="2403" spans="1:22" x14ac:dyDescent="0.2">
      <c r="A2403" t="str">
        <f>"395.2 SMI"</f>
        <v>395.2 SMI</v>
      </c>
      <c r="B2403" t="str">
        <f>"lesbian couple's guide to planning a wed"</f>
        <v>lesbian couple's guide to planning a wed</v>
      </c>
      <c r="C2403">
        <v>329547</v>
      </c>
      <c r="D2403" t="str">
        <f>"Smith, Bernadette Coveney"</f>
        <v>Smith, Bernadette Coveney</v>
      </c>
      <c r="F2403" t="str">
        <f>"176 p., 26 cm, ill. (chiefly col.)"</f>
        <v>176 p., 26 cm, ill. (chiefly col.)</v>
      </c>
      <c r="G2403" s="1">
        <v>15</v>
      </c>
      <c r="H2403">
        <v>2013</v>
      </c>
      <c r="I2403" t="str">
        <f t="shared" si="95"/>
        <v>9: 300 - 399</v>
      </c>
      <c r="K2403" t="str">
        <f>"WB - In"</f>
        <v>WB - In</v>
      </c>
      <c r="L2403" s="1">
        <v>28</v>
      </c>
      <c r="M2403" t="s">
        <v>2228</v>
      </c>
      <c r="O2403" t="s">
        <v>28</v>
      </c>
      <c r="P2403">
        <v>0</v>
      </c>
      <c r="Q2403">
        <v>0</v>
      </c>
      <c r="R2403">
        <v>1</v>
      </c>
      <c r="S2403" s="2">
        <v>42240</v>
      </c>
      <c r="T2403" s="2">
        <v>42269</v>
      </c>
      <c r="U2403" s="2">
        <v>42269</v>
      </c>
    </row>
    <row r="2404" spans="1:22" x14ac:dyDescent="0.2">
      <c r="A2404" t="str">
        <f>"395.2 STA"</f>
        <v>395.2 STA</v>
      </c>
      <c r="B2404" t="str">
        <f>"Offbeat bride: creative alternatives for"</f>
        <v>Offbeat bride: creative alternatives for</v>
      </c>
      <c r="C2404">
        <v>276511</v>
      </c>
      <c r="D2404" t="str">
        <f>"Stallings, Ariel Meadow."</f>
        <v>Stallings, Ariel Meadow.</v>
      </c>
      <c r="F2404" t="str">
        <f>"225 p., 21 cm, ill."</f>
        <v>225 p., 21 cm, ill.</v>
      </c>
      <c r="G2404" s="1">
        <v>14</v>
      </c>
      <c r="H2404">
        <v>2010</v>
      </c>
      <c r="I2404" t="str">
        <f t="shared" si="95"/>
        <v>9: 300 - 399</v>
      </c>
      <c r="K2404" t="str">
        <f>"LL - In"</f>
        <v>LL - In</v>
      </c>
      <c r="L2404" s="1">
        <v>22</v>
      </c>
      <c r="M2404" t="s">
        <v>2229</v>
      </c>
      <c r="O2404" t="s">
        <v>28</v>
      </c>
      <c r="P2404">
        <v>1</v>
      </c>
      <c r="Q2404">
        <v>0</v>
      </c>
      <c r="R2404">
        <v>3</v>
      </c>
      <c r="S2404" s="2">
        <v>41898</v>
      </c>
      <c r="T2404" s="2">
        <v>41908</v>
      </c>
      <c r="U2404" s="2">
        <v>43705</v>
      </c>
    </row>
    <row r="2405" spans="1:22" x14ac:dyDescent="0.2">
      <c r="A2405" t="str">
        <f>"395.2 STE"</f>
        <v>395.2 STE</v>
      </c>
      <c r="B2405" t="str">
        <f>"Martha Stewart weddings: ideas &amp; inspira"</f>
        <v>Martha Stewart weddings: ideas &amp; inspira</v>
      </c>
      <c r="C2405">
        <v>334718</v>
      </c>
      <c r="F2405" t="str">
        <f>"271 pages, 30 cm, color illustrations"</f>
        <v>271 pages, 30 cm, color illustrations</v>
      </c>
      <c r="G2405" s="1">
        <v>16</v>
      </c>
      <c r="H2405">
        <v>2015</v>
      </c>
      <c r="I2405" t="str">
        <f t="shared" si="95"/>
        <v>9: 300 - 399</v>
      </c>
      <c r="K2405" t="str">
        <f>"WB - In"</f>
        <v>WB - In</v>
      </c>
      <c r="L2405" s="1">
        <v>65</v>
      </c>
      <c r="M2405" t="s">
        <v>2219</v>
      </c>
      <c r="O2405" t="s">
        <v>28</v>
      </c>
      <c r="P2405">
        <v>3</v>
      </c>
      <c r="Q2405">
        <v>1</v>
      </c>
      <c r="R2405">
        <v>5</v>
      </c>
      <c r="S2405" s="2">
        <v>42486</v>
      </c>
      <c r="T2405" s="2">
        <v>43468</v>
      </c>
      <c r="U2405" s="2">
        <v>43595</v>
      </c>
      <c r="V2405" s="2">
        <v>43151</v>
      </c>
    </row>
    <row r="2406" spans="1:22" x14ac:dyDescent="0.2">
      <c r="A2406" t="str">
        <f>"395.2 STE"</f>
        <v>395.2 STE</v>
      </c>
      <c r="B2406" t="str">
        <f>"InStyle weddings"</f>
        <v>InStyle weddings</v>
      </c>
      <c r="C2406">
        <v>213041</v>
      </c>
      <c r="D2406" t="str">
        <f>"Sterne, Hilary"</f>
        <v>Sterne, Hilary</v>
      </c>
      <c r="F2406" t="str">
        <f>"248 p."</f>
        <v>248 p.</v>
      </c>
      <c r="G2406" s="1">
        <v>8</v>
      </c>
      <c r="H2406">
        <v>2005</v>
      </c>
      <c r="I2406" t="str">
        <f t="shared" si="95"/>
        <v>9: 300 - 399</v>
      </c>
      <c r="K2406" t="str">
        <f>"WB - In"</f>
        <v>WB - In</v>
      </c>
      <c r="L2406" s="1">
        <v>50</v>
      </c>
      <c r="M2406" t="s">
        <v>2230</v>
      </c>
      <c r="O2406" t="s">
        <v>28</v>
      </c>
      <c r="P2406">
        <v>3</v>
      </c>
      <c r="Q2406">
        <v>0</v>
      </c>
      <c r="R2406">
        <v>17</v>
      </c>
      <c r="S2406" s="2">
        <v>39654</v>
      </c>
      <c r="T2406" s="2">
        <v>41053</v>
      </c>
      <c r="U2406" s="2">
        <v>43595</v>
      </c>
      <c r="V2406" s="2">
        <v>41878</v>
      </c>
    </row>
    <row r="2407" spans="1:22" x14ac:dyDescent="0.2">
      <c r="A2407" t="str">
        <f>"395.2 STE"</f>
        <v>395.2 STE</v>
      </c>
      <c r="B2407" t="str">
        <f>"Martha Stewart's wedding cakes"</f>
        <v>Martha Stewart's wedding cakes</v>
      </c>
      <c r="C2407">
        <v>211431</v>
      </c>
      <c r="D2407" t="str">
        <f>"Stewart, Martha"</f>
        <v>Stewart, Martha</v>
      </c>
      <c r="F2407" t="str">
        <f>"260 p."</f>
        <v>260 p.</v>
      </c>
      <c r="G2407" s="1">
        <v>8</v>
      </c>
      <c r="H2407">
        <v>2007</v>
      </c>
      <c r="I2407" t="str">
        <f t="shared" si="95"/>
        <v>9: 300 - 399</v>
      </c>
      <c r="K2407" t="str">
        <f>"WB - In"</f>
        <v>WB - In</v>
      </c>
      <c r="L2407" s="1">
        <v>65</v>
      </c>
      <c r="M2407" t="s">
        <v>2231</v>
      </c>
      <c r="O2407" t="s">
        <v>28</v>
      </c>
      <c r="P2407">
        <v>1</v>
      </c>
      <c r="Q2407">
        <v>1</v>
      </c>
      <c r="R2407">
        <v>10</v>
      </c>
      <c r="S2407" s="2">
        <v>39626</v>
      </c>
      <c r="T2407" s="2">
        <v>41053</v>
      </c>
      <c r="U2407" s="2">
        <v>43109</v>
      </c>
      <c r="V2407" s="2">
        <v>43151</v>
      </c>
    </row>
    <row r="2408" spans="1:22" x14ac:dyDescent="0.2">
      <c r="A2408" t="str">
        <f>"395.2 WEI"</f>
        <v>395.2 WEI</v>
      </c>
      <c r="B2408" t="str">
        <f>"wedding book: the big book for your big "</f>
        <v xml:space="preserve">wedding book: the big book for your big </v>
      </c>
      <c r="C2408">
        <v>237904</v>
      </c>
      <c r="D2408" t="str">
        <f>"Weiss, Mindy"</f>
        <v>Weiss, Mindy</v>
      </c>
      <c r="F2408" t="str">
        <f>"485 p."</f>
        <v>485 p.</v>
      </c>
      <c r="G2408">
        <v>10</v>
      </c>
      <c r="H2408">
        <v>2008</v>
      </c>
      <c r="I2408" t="str">
        <f t="shared" si="95"/>
        <v>9: 300 - 399</v>
      </c>
      <c r="K2408" t="str">
        <f>"WB - In"</f>
        <v>WB - In</v>
      </c>
      <c r="L2408" s="1">
        <v>25</v>
      </c>
      <c r="M2408" t="s">
        <v>2232</v>
      </c>
      <c r="O2408" t="s">
        <v>28</v>
      </c>
      <c r="P2408">
        <v>4</v>
      </c>
      <c r="Q2408">
        <v>0</v>
      </c>
      <c r="R2408">
        <v>18</v>
      </c>
      <c r="S2408" s="2">
        <v>40338</v>
      </c>
      <c r="T2408" s="2">
        <v>41053</v>
      </c>
      <c r="U2408" s="2">
        <v>43479</v>
      </c>
      <c r="V2408" s="2">
        <v>42402</v>
      </c>
    </row>
    <row r="2409" spans="1:22" x14ac:dyDescent="0.2">
      <c r="A2409" t="str">
        <f>"395.2 WEI"</f>
        <v>395.2 WEI</v>
      </c>
      <c r="B2409" t="str">
        <f>"wedding book: an expert's guide to plann"</f>
        <v>wedding book: an expert's guide to plann</v>
      </c>
      <c r="C2409">
        <v>353026</v>
      </c>
      <c r="D2409" t="str">
        <f>"Weiss, Mindy"</f>
        <v>Weiss, Mindy</v>
      </c>
      <c r="F2409" t="str">
        <f>"xi, 484 pages, 23 cm, illustrations"</f>
        <v>xi, 484 pages, 23 cm, illustrations</v>
      </c>
      <c r="G2409" s="1">
        <v>19</v>
      </c>
      <c r="H2409">
        <v>2016</v>
      </c>
      <c r="I2409" t="str">
        <f t="shared" si="95"/>
        <v>9: 300 - 399</v>
      </c>
      <c r="K2409" t="str">
        <f>"WB - Out"</f>
        <v>WB - Out</v>
      </c>
      <c r="L2409" s="1">
        <v>30</v>
      </c>
      <c r="M2409" t="s">
        <v>2233</v>
      </c>
      <c r="O2409" t="s">
        <v>28</v>
      </c>
      <c r="P2409">
        <v>1</v>
      </c>
      <c r="Q2409">
        <v>1</v>
      </c>
      <c r="R2409">
        <v>2</v>
      </c>
      <c r="S2409" s="2">
        <v>43515</v>
      </c>
      <c r="T2409" s="2">
        <v>43518</v>
      </c>
      <c r="U2409" s="2">
        <v>43837</v>
      </c>
      <c r="V2409" s="2">
        <v>43681</v>
      </c>
    </row>
    <row r="2410" spans="1:22" x14ac:dyDescent="0.2">
      <c r="A2410" t="str">
        <f>"398.2 AND"</f>
        <v>398.2 AND</v>
      </c>
      <c r="B2410" t="str">
        <f>"Little Mermaid: a fairy tale of infinity"</f>
        <v>Little Mermaid: a fairy tale of infinity</v>
      </c>
      <c r="C2410">
        <v>291726</v>
      </c>
      <c r="D2410" t="str">
        <f>"Kusama, Yayoi"</f>
        <v>Kusama, Yayoi</v>
      </c>
      <c r="F2410" t="str">
        <f>"94 pages, 35 cm"</f>
        <v>94 pages, 35 cm</v>
      </c>
      <c r="G2410" s="1">
        <v>16</v>
      </c>
      <c r="H2410">
        <v>2016</v>
      </c>
      <c r="I2410" t="str">
        <f t="shared" si="95"/>
        <v>9: 300 - 399</v>
      </c>
      <c r="K2410" t="str">
        <f>"WB - In"</f>
        <v>WB - In</v>
      </c>
      <c r="L2410" s="1">
        <v>50</v>
      </c>
      <c r="M2410" t="s">
        <v>2234</v>
      </c>
      <c r="O2410" t="s">
        <v>28</v>
      </c>
      <c r="P2410">
        <v>1</v>
      </c>
      <c r="Q2410">
        <v>0</v>
      </c>
      <c r="R2410">
        <v>1</v>
      </c>
      <c r="S2410" s="2">
        <v>42696</v>
      </c>
      <c r="T2410" s="2">
        <v>42872</v>
      </c>
      <c r="U2410" s="2">
        <v>42892</v>
      </c>
    </row>
    <row r="2411" spans="1:22" x14ac:dyDescent="0.2">
      <c r="A2411" t="str">
        <f>"398.2 ANN"</f>
        <v>398.2 ANN</v>
      </c>
      <c r="B2411" t="str">
        <f>"annotated African American folktales"</f>
        <v>annotated African American folktales</v>
      </c>
      <c r="C2411">
        <v>344806</v>
      </c>
      <c r="F2411" t="str">
        <f>"xcii, 651 pages, 27 cm, illustrations (some color)"</f>
        <v>xcii, 651 pages, 27 cm, illustrations (some color)</v>
      </c>
      <c r="G2411" s="1">
        <v>17</v>
      </c>
      <c r="H2411">
        <v>2018</v>
      </c>
      <c r="I2411" t="str">
        <f t="shared" si="95"/>
        <v>9: 300 - 399</v>
      </c>
      <c r="K2411" t="str">
        <f>"LL - In"</f>
        <v>LL - In</v>
      </c>
      <c r="L2411" s="1">
        <v>45</v>
      </c>
      <c r="M2411" t="s">
        <v>2235</v>
      </c>
      <c r="O2411" t="s">
        <v>28</v>
      </c>
      <c r="P2411">
        <v>0</v>
      </c>
      <c r="Q2411">
        <v>1</v>
      </c>
      <c r="R2411">
        <v>1</v>
      </c>
      <c r="S2411" s="2">
        <v>43067</v>
      </c>
      <c r="T2411" s="2">
        <v>43803</v>
      </c>
      <c r="V2411" s="2">
        <v>43803</v>
      </c>
    </row>
    <row r="2412" spans="1:22" x14ac:dyDescent="0.2">
      <c r="A2412" t="str">
        <f>"398.2 ARA"</f>
        <v>398.2 ARA</v>
      </c>
      <c r="B2412" t="str">
        <f>"Tales from 1,001 nights: Aladdin, Ali Ba"</f>
        <v>Tales from 1,001 nights: Aladdin, Ali Ba</v>
      </c>
      <c r="C2412">
        <v>325109</v>
      </c>
      <c r="F2412" t="str">
        <f>"xxi, 496 p., 25 cm, maps"</f>
        <v>xxi, 496 p., 25 cm, maps</v>
      </c>
      <c r="G2412" s="1">
        <v>14</v>
      </c>
      <c r="H2412">
        <v>2010</v>
      </c>
      <c r="I2412" t="str">
        <f t="shared" si="95"/>
        <v>9: 300 - 399</v>
      </c>
      <c r="K2412" t="str">
        <f>"WB - In"</f>
        <v>WB - In</v>
      </c>
      <c r="L2412" s="1">
        <v>30</v>
      </c>
      <c r="O2412" t="s">
        <v>28</v>
      </c>
      <c r="P2412">
        <v>3</v>
      </c>
      <c r="Q2412">
        <v>0</v>
      </c>
      <c r="R2412">
        <v>8</v>
      </c>
      <c r="S2412" s="2">
        <v>41988</v>
      </c>
      <c r="T2412" s="2">
        <v>42031</v>
      </c>
      <c r="U2412" s="2">
        <v>43780</v>
      </c>
      <c r="V2412" s="2">
        <v>42399</v>
      </c>
    </row>
    <row r="2413" spans="1:22" x14ac:dyDescent="0.2">
      <c r="A2413" t="str">
        <f>"398.2 BIC"</f>
        <v>398.2 BIC</v>
      </c>
      <c r="B2413" t="str">
        <f>"fox and the star"</f>
        <v>fox and the star</v>
      </c>
      <c r="C2413">
        <v>284957</v>
      </c>
      <c r="D2413" t="str">
        <f>"Bickford-Smith, Coralie"</f>
        <v>Bickford-Smith, Coralie</v>
      </c>
      <c r="F2413" t="str">
        <f>"1 volume (unpaged), 26 cm, color illustrations ,"</f>
        <v>1 volume (unpaged), 26 cm, color illustrations ,</v>
      </c>
      <c r="G2413" s="1">
        <v>15</v>
      </c>
      <c r="H2413">
        <v>2015</v>
      </c>
      <c r="I2413" t="str">
        <f t="shared" si="95"/>
        <v>9: 300 - 399</v>
      </c>
      <c r="K2413" t="str">
        <f>"LL - In"</f>
        <v>LL - In</v>
      </c>
      <c r="L2413" s="1">
        <v>25</v>
      </c>
      <c r="M2413" t="s">
        <v>2236</v>
      </c>
      <c r="O2413" t="s">
        <v>28</v>
      </c>
      <c r="P2413">
        <v>1</v>
      </c>
      <c r="Q2413">
        <v>0</v>
      </c>
      <c r="R2413">
        <v>8</v>
      </c>
      <c r="S2413" s="2">
        <v>42361</v>
      </c>
      <c r="T2413" s="2">
        <v>42544</v>
      </c>
      <c r="U2413" s="2">
        <v>43135</v>
      </c>
    </row>
    <row r="2414" spans="1:22" x14ac:dyDescent="0.2">
      <c r="A2414" t="str">
        <f>"398.2 BRU"</f>
        <v>398.2 BRU</v>
      </c>
      <c r="B2414" t="str">
        <f>"Too good to be true: the colossal book o"</f>
        <v>Too good to be true: the colossal book o</v>
      </c>
      <c r="C2414">
        <v>278234</v>
      </c>
      <c r="D2414" t="str">
        <f>"Brunvand, Jan Harold"</f>
        <v>Brunvand, Jan Harold</v>
      </c>
      <c r="F2414" t="str">
        <f>"480 pages, 24 cm, illustrations"</f>
        <v>480 pages, 24 cm, illustrations</v>
      </c>
      <c r="G2414" s="1">
        <v>14</v>
      </c>
      <c r="H2414">
        <v>2014</v>
      </c>
      <c r="I2414" t="str">
        <f t="shared" si="95"/>
        <v>9: 300 - 399</v>
      </c>
      <c r="K2414" t="str">
        <f>"LL - In"</f>
        <v>LL - In</v>
      </c>
      <c r="L2414" s="1">
        <v>24</v>
      </c>
      <c r="M2414" t="s">
        <v>2237</v>
      </c>
      <c r="O2414" t="s">
        <v>28</v>
      </c>
      <c r="P2414">
        <v>0</v>
      </c>
      <c r="Q2414">
        <v>0</v>
      </c>
      <c r="R2414">
        <v>8</v>
      </c>
      <c r="S2414" s="2">
        <v>41968</v>
      </c>
      <c r="T2414" s="2">
        <v>42129</v>
      </c>
      <c r="U2414" s="2">
        <v>42104</v>
      </c>
      <c r="V2414" s="2">
        <v>42101</v>
      </c>
    </row>
    <row r="2415" spans="1:22" x14ac:dyDescent="0.2">
      <c r="A2415" t="str">
        <f>"398.2 CEL"</f>
        <v>398.2 CEL</v>
      </c>
      <c r="B2415" t="str">
        <f>"Celtic tales: fairy tales and stories of"</f>
        <v>Celtic tales: fairy tales and stories of</v>
      </c>
      <c r="C2415">
        <v>359008</v>
      </c>
      <c r="F2415" t="str">
        <f>"175, [1] pages, 24 cm, color illustrations"</f>
        <v>175, [1] pages, 24 cm, color illustrations</v>
      </c>
      <c r="G2415" s="1">
        <v>19</v>
      </c>
      <c r="H2415">
        <v>2016</v>
      </c>
      <c r="I2415" t="str">
        <f t="shared" si="95"/>
        <v>9: 300 - 399</v>
      </c>
      <c r="K2415" t="str">
        <f>"WB - In"</f>
        <v>WB - In</v>
      </c>
      <c r="L2415" s="1">
        <v>28</v>
      </c>
      <c r="M2415" t="s">
        <v>2238</v>
      </c>
      <c r="O2415" t="s">
        <v>28</v>
      </c>
      <c r="P2415">
        <v>0</v>
      </c>
      <c r="Q2415">
        <v>0</v>
      </c>
      <c r="R2415">
        <v>0</v>
      </c>
      <c r="S2415" s="2">
        <v>43776</v>
      </c>
      <c r="T2415" s="2">
        <v>43811</v>
      </c>
    </row>
    <row r="2416" spans="1:22" x14ac:dyDescent="0.2">
      <c r="A2416" t="str">
        <f>"398.2 FAI"</f>
        <v>398.2 FAI</v>
      </c>
      <c r="B2416" t="str">
        <f>"Fairy tales from the Brothers Grimm: a n"</f>
        <v>Fairy tales from the Brothers Grimm: a n</v>
      </c>
      <c r="C2416">
        <v>318759</v>
      </c>
      <c r="F2416" t="str">
        <f>"405 p., 24 cm."</f>
        <v>405 p., 24 cm.</v>
      </c>
      <c r="G2416" s="1">
        <v>13</v>
      </c>
      <c r="H2416">
        <v>2012</v>
      </c>
      <c r="I2416" t="str">
        <f t="shared" si="95"/>
        <v>9: 300 - 399</v>
      </c>
      <c r="K2416" t="str">
        <f>"LL - In"</f>
        <v>LL - In</v>
      </c>
      <c r="L2416" s="1">
        <v>33</v>
      </c>
      <c r="M2416" t="s">
        <v>2239</v>
      </c>
      <c r="O2416" t="s">
        <v>28</v>
      </c>
      <c r="P2416">
        <v>2</v>
      </c>
      <c r="Q2416">
        <v>0</v>
      </c>
      <c r="R2416">
        <v>18</v>
      </c>
      <c r="S2416" s="2">
        <v>41641</v>
      </c>
      <c r="T2416" s="2">
        <v>41648</v>
      </c>
      <c r="U2416" s="2">
        <v>43800</v>
      </c>
      <c r="V2416" s="2">
        <v>42222</v>
      </c>
    </row>
    <row r="2417" spans="1:22" x14ac:dyDescent="0.2">
      <c r="A2417" t="str">
        <f>"398.2 GRI"</f>
        <v>398.2 GRI</v>
      </c>
      <c r="B2417" t="str">
        <f>"original folk &amp; fairy tales of the Broth"</f>
        <v>original folk &amp; fairy tales of the Broth</v>
      </c>
      <c r="C2417">
        <v>325216</v>
      </c>
      <c r="D2417" t="str">
        <f>"Grimm, Jacob"</f>
        <v>Grimm, Jacob</v>
      </c>
      <c r="F2417" t="str">
        <f>"xliii, 519 pages, 22 cm, illustrations"</f>
        <v>xliii, 519 pages, 22 cm, illustrations</v>
      </c>
      <c r="G2417" s="1">
        <v>14</v>
      </c>
      <c r="H2417">
        <v>2014</v>
      </c>
      <c r="I2417" t="str">
        <f t="shared" si="95"/>
        <v>9: 300 - 399</v>
      </c>
      <c r="K2417" t="str">
        <f>"LL - In"</f>
        <v>LL - In</v>
      </c>
      <c r="L2417" s="1">
        <v>40</v>
      </c>
      <c r="M2417" t="s">
        <v>2240</v>
      </c>
      <c r="O2417" t="s">
        <v>28</v>
      </c>
      <c r="P2417">
        <v>3</v>
      </c>
      <c r="Q2417">
        <v>0</v>
      </c>
      <c r="R2417">
        <v>11</v>
      </c>
      <c r="S2417" s="2">
        <v>42002</v>
      </c>
      <c r="T2417" s="2">
        <v>42166</v>
      </c>
      <c r="U2417" s="2">
        <v>43800</v>
      </c>
    </row>
    <row r="2418" spans="1:22" x14ac:dyDescent="0.2">
      <c r="A2418" t="str">
        <f>"398.2 KIN"</f>
        <v>398.2 KIN</v>
      </c>
      <c r="B2418" t="str">
        <f>"complete fairy tales of the Brothers Gri"</f>
        <v>complete fairy tales of the Brothers Gri</v>
      </c>
      <c r="C2418">
        <v>314297</v>
      </c>
      <c r="D2418" t="str">
        <f>"Grimm, Jacob"</f>
        <v>Grimm, Jacob</v>
      </c>
      <c r="F2418" t="str">
        <f>"xxxiv, 750 p."</f>
        <v>xxxiv, 750 p.</v>
      </c>
      <c r="G2418" s="1">
        <v>13</v>
      </c>
      <c r="H2418">
        <v>1992</v>
      </c>
      <c r="I2418" t="str">
        <f t="shared" si="95"/>
        <v>9: 300 - 399</v>
      </c>
      <c r="K2418" t="str">
        <f>"LL - In"</f>
        <v>LL - In</v>
      </c>
      <c r="L2418" s="1">
        <v>27</v>
      </c>
      <c r="M2418" t="s">
        <v>2241</v>
      </c>
      <c r="O2418" t="s">
        <v>28</v>
      </c>
      <c r="P2418">
        <v>1</v>
      </c>
      <c r="Q2418">
        <v>0</v>
      </c>
      <c r="R2418">
        <v>12</v>
      </c>
      <c r="S2418" s="2">
        <v>41415</v>
      </c>
      <c r="T2418" s="2">
        <v>42860</v>
      </c>
      <c r="U2418" s="2">
        <v>43783</v>
      </c>
      <c r="V2418" s="2">
        <v>42310</v>
      </c>
    </row>
    <row r="2419" spans="1:22" x14ac:dyDescent="0.2">
      <c r="A2419" t="str">
        <f>"398.2 LAT"</f>
        <v>398.2 LAT</v>
      </c>
      <c r="B2419" t="str">
        <f>"Latin American folktales: stories from H"</f>
        <v>Latin American folktales: stories from H</v>
      </c>
      <c r="C2419">
        <v>131580</v>
      </c>
      <c r="F2419" t="str">
        <f>"xii, 386 p., 24 cm., ill."</f>
        <v>xii, 386 p., 24 cm., ill.</v>
      </c>
      <c r="G2419" s="1">
        <v>8</v>
      </c>
      <c r="H2419">
        <v>2003</v>
      </c>
      <c r="I2419" t="str">
        <f t="shared" si="95"/>
        <v>9: 300 - 399</v>
      </c>
      <c r="K2419" t="str">
        <f>"LL - In"</f>
        <v>LL - In</v>
      </c>
      <c r="L2419" s="1">
        <v>22</v>
      </c>
      <c r="M2419" t="s">
        <v>2242</v>
      </c>
      <c r="O2419" t="s">
        <v>28</v>
      </c>
      <c r="P2419">
        <v>0</v>
      </c>
      <c r="Q2419">
        <v>1</v>
      </c>
      <c r="R2419">
        <v>7</v>
      </c>
      <c r="S2419" s="2">
        <v>39665</v>
      </c>
      <c r="T2419" s="2">
        <v>43803</v>
      </c>
      <c r="U2419" s="2">
        <v>42594</v>
      </c>
      <c r="V2419" s="2">
        <v>43803</v>
      </c>
    </row>
    <row r="2420" spans="1:22" x14ac:dyDescent="0.2">
      <c r="A2420" t="str">
        <f>"398.2 SIS"</f>
        <v>398.2 SIS</v>
      </c>
      <c r="B2420" t="str">
        <f>"conference of the birds"</f>
        <v>conference of the birds</v>
      </c>
      <c r="C2420">
        <v>252502</v>
      </c>
      <c r="D2420" t="str">
        <f>"Sis, Peter"</f>
        <v>Sis, Peter</v>
      </c>
      <c r="F2420" t="str">
        <f>"unp., 27 cm., col. ill."</f>
        <v>unp., 27 cm., col. ill.</v>
      </c>
      <c r="G2420" s="1">
        <v>11</v>
      </c>
      <c r="H2420">
        <v>2011</v>
      </c>
      <c r="I2420" t="str">
        <f t="shared" si="95"/>
        <v>9: 300 - 399</v>
      </c>
      <c r="K2420" t="str">
        <f>"WB - In"</f>
        <v>WB - In</v>
      </c>
      <c r="L2420" s="1">
        <v>33</v>
      </c>
      <c r="M2420" t="s">
        <v>2243</v>
      </c>
      <c r="O2420" t="s">
        <v>28</v>
      </c>
      <c r="P2420">
        <v>0</v>
      </c>
      <c r="Q2420">
        <v>0</v>
      </c>
      <c r="R2420">
        <v>5</v>
      </c>
      <c r="S2420" s="2">
        <v>40848</v>
      </c>
      <c r="T2420" s="2">
        <v>41053</v>
      </c>
      <c r="U2420" s="2">
        <v>42376</v>
      </c>
    </row>
    <row r="2421" spans="1:22" x14ac:dyDescent="0.2">
      <c r="A2421" t="str">
        <f>"398.2 TAL"</f>
        <v>398.2 TAL</v>
      </c>
      <c r="B2421" t="str">
        <f>"Tales of the marvellous and news of the "</f>
        <v xml:space="preserve">Tales of the marvellous and news of the </v>
      </c>
      <c r="C2421">
        <v>280178</v>
      </c>
      <c r="F2421" t="str">
        <f>"xliii, 447 pages, 24 cm, illustrations (black and white)"</f>
        <v>xliii, 447 pages, 24 cm, illustrations (black and white)</v>
      </c>
      <c r="G2421" s="1">
        <v>15</v>
      </c>
      <c r="H2421">
        <v>2014</v>
      </c>
      <c r="I2421" t="str">
        <f t="shared" si="95"/>
        <v>9: 300 - 399</v>
      </c>
      <c r="K2421" t="str">
        <f>"LL - In"</f>
        <v>LL - In</v>
      </c>
      <c r="L2421" s="1">
        <v>35</v>
      </c>
      <c r="M2421" t="s">
        <v>2244</v>
      </c>
      <c r="O2421" t="s">
        <v>28</v>
      </c>
      <c r="P2421">
        <v>0</v>
      </c>
      <c r="Q2421">
        <v>0</v>
      </c>
      <c r="R2421">
        <v>0</v>
      </c>
      <c r="S2421" s="2">
        <v>42110</v>
      </c>
      <c r="T2421" s="2">
        <v>42114</v>
      </c>
    </row>
    <row r="2422" spans="1:22" x14ac:dyDescent="0.2">
      <c r="A2422" t="str">
        <f>"398.2 VOS"</f>
        <v>398.2 VOS</v>
      </c>
      <c r="B2422" t="str">
        <f>"Unwrapping the greatest gift: a family c"</f>
        <v>Unwrapping the greatest gift: a family c</v>
      </c>
      <c r="C2422">
        <v>325073</v>
      </c>
      <c r="D2422" t="str">
        <f>"Voskamp, Ann"</f>
        <v>Voskamp, Ann</v>
      </c>
      <c r="F2422" t="str">
        <f>"154 pages, 27 cm, color illustrations"</f>
        <v>154 pages, 27 cm, color illustrations</v>
      </c>
      <c r="G2422" s="1">
        <v>14</v>
      </c>
      <c r="H2422">
        <v>2014</v>
      </c>
      <c r="I2422" t="str">
        <f t="shared" si="95"/>
        <v>9: 300 - 399</v>
      </c>
      <c r="K2422" t="str">
        <f>"LL - In"</f>
        <v>LL - In</v>
      </c>
      <c r="L2422" s="1">
        <v>30</v>
      </c>
      <c r="M2422" t="s">
        <v>2245</v>
      </c>
      <c r="O2422" t="s">
        <v>28</v>
      </c>
      <c r="P2422">
        <v>4</v>
      </c>
      <c r="Q2422">
        <v>0</v>
      </c>
      <c r="R2422">
        <v>6</v>
      </c>
      <c r="S2422" s="2">
        <v>41988</v>
      </c>
      <c r="T2422" s="2">
        <v>42088</v>
      </c>
      <c r="U2422" s="2">
        <v>43794</v>
      </c>
      <c r="V2422" s="2">
        <v>42733</v>
      </c>
    </row>
    <row r="2423" spans="1:22" x14ac:dyDescent="0.2">
      <c r="A2423" t="str">
        <f>"398.2 WAT"</f>
        <v>398.2 WAT</v>
      </c>
      <c r="B2423" t="str">
        <f>"Encyclopedia of American folklore"</f>
        <v>Encyclopedia of American folklore</v>
      </c>
      <c r="C2423">
        <v>131588</v>
      </c>
      <c r="D2423" t="str">
        <f>"Watts, Linda S."</f>
        <v>Watts, Linda S.</v>
      </c>
      <c r="F2423" t="str">
        <f>"xl, 468 p., 25 cm."</f>
        <v>xl, 468 p., 25 cm.</v>
      </c>
      <c r="G2423" s="1">
        <v>8</v>
      </c>
      <c r="H2423">
        <v>2007</v>
      </c>
      <c r="I2423" t="str">
        <f t="shared" si="95"/>
        <v>9: 300 - 399</v>
      </c>
      <c r="K2423" t="str">
        <f>"WB - In"</f>
        <v>WB - In</v>
      </c>
      <c r="L2423" s="1">
        <v>25</v>
      </c>
      <c r="M2423" t="s">
        <v>2246</v>
      </c>
      <c r="O2423" t="s">
        <v>28</v>
      </c>
      <c r="P2423">
        <v>0</v>
      </c>
      <c r="Q2423">
        <v>0</v>
      </c>
      <c r="R2423">
        <v>5</v>
      </c>
      <c r="S2423" s="2">
        <v>39665</v>
      </c>
      <c r="T2423" s="2">
        <v>41122</v>
      </c>
      <c r="U2423" s="2">
        <v>42344</v>
      </c>
      <c r="V2423" s="2">
        <v>42608</v>
      </c>
    </row>
    <row r="2424" spans="1:22" x14ac:dyDescent="0.2">
      <c r="A2424" t="str">
        <f>"398.2415 CUR"</f>
        <v>398.2415 CUR</v>
      </c>
      <c r="B2424" t="str">
        <f>"Myths and folk tales of Ireland"</f>
        <v>Myths and folk tales of Ireland</v>
      </c>
      <c r="C2424">
        <v>153839</v>
      </c>
      <c r="D2424" t="str">
        <f>"Curtin, Jeremiah"</f>
        <v>Curtin, Jeremiah</v>
      </c>
      <c r="E2424" t="str">
        <f>"Dover Fairy Tale Books series"</f>
        <v>Dover Fairy Tale Books series</v>
      </c>
      <c r="F2424" t="str">
        <f>"245 p."</f>
        <v>245 p.</v>
      </c>
      <c r="G2424">
        <v>1</v>
      </c>
      <c r="H2424">
        <v>1975</v>
      </c>
      <c r="I2424" t="str">
        <f t="shared" si="95"/>
        <v>9: 300 - 399</v>
      </c>
      <c r="K2424" t="str">
        <f>"WB - In"</f>
        <v>WB - In</v>
      </c>
      <c r="L2424" s="1">
        <v>12</v>
      </c>
      <c r="M2424" t="s">
        <v>2247</v>
      </c>
      <c r="O2424" t="s">
        <v>28</v>
      </c>
      <c r="P2424">
        <v>1</v>
      </c>
      <c r="Q2424">
        <v>1</v>
      </c>
      <c r="R2424">
        <v>27</v>
      </c>
      <c r="S2424" s="2">
        <v>37027</v>
      </c>
      <c r="T2424" s="2">
        <v>41053</v>
      </c>
      <c r="U2424" s="2">
        <v>43592</v>
      </c>
      <c r="V2424" s="2">
        <v>43609</v>
      </c>
    </row>
    <row r="2425" spans="1:22" x14ac:dyDescent="0.2">
      <c r="A2425" t="str">
        <f>"398.273 WAL"</f>
        <v>398.273 WAL</v>
      </c>
      <c r="B2425" t="str">
        <f>"Devil's Backbone: ghost stories from the"</f>
        <v>Devil's Backbone: ghost stories from the</v>
      </c>
      <c r="C2425">
        <v>180801</v>
      </c>
      <c r="D2425" t="str">
        <f>"Wall, Bert"</f>
        <v>Wall, Bert</v>
      </c>
      <c r="F2425" t="str">
        <f>"79 p."</f>
        <v>79 p.</v>
      </c>
      <c r="G2425">
        <v>4</v>
      </c>
      <c r="H2425">
        <v>1996</v>
      </c>
      <c r="I2425" t="str">
        <f t="shared" si="95"/>
        <v>9: 300 - 399</v>
      </c>
      <c r="K2425" t="str">
        <f>"WB - In"</f>
        <v>WB - In</v>
      </c>
      <c r="L2425" s="1">
        <v>16</v>
      </c>
      <c r="M2425" t="s">
        <v>2248</v>
      </c>
      <c r="O2425" t="s">
        <v>28</v>
      </c>
      <c r="P2425">
        <v>1</v>
      </c>
      <c r="Q2425">
        <v>0</v>
      </c>
      <c r="R2425">
        <v>17</v>
      </c>
      <c r="S2425" s="2">
        <v>38217</v>
      </c>
      <c r="T2425" s="2">
        <v>41053</v>
      </c>
      <c r="U2425" s="2">
        <v>42863</v>
      </c>
      <c r="V2425" s="2">
        <v>42674</v>
      </c>
    </row>
    <row r="2426" spans="1:22" x14ac:dyDescent="0.2">
      <c r="A2426" t="str">
        <f>"NEW 302 GLA"</f>
        <v>NEW 302 GLA</v>
      </c>
      <c r="B2426" t="str">
        <f>"Talking to strangers: what we should kno"</f>
        <v>Talking to strangers: what we should kno</v>
      </c>
      <c r="C2426">
        <v>357536</v>
      </c>
      <c r="D2426" t="str">
        <f>"Gladwell, Malcolm"</f>
        <v>Gladwell, Malcolm</v>
      </c>
      <c r="F2426" t="str">
        <f>"xii, 386 pages, 21 cm"</f>
        <v>xii, 386 pages, 21 cm</v>
      </c>
      <c r="G2426" s="1">
        <v>19</v>
      </c>
      <c r="H2426">
        <v>2019</v>
      </c>
      <c r="I2426" t="str">
        <f t="shared" si="95"/>
        <v>9: 300 - 399</v>
      </c>
      <c r="K2426" t="str">
        <f>"LL - Reserve Cart"</f>
        <v>LL - Reserve Cart</v>
      </c>
      <c r="L2426" s="1">
        <v>35</v>
      </c>
      <c r="M2426" t="s">
        <v>2249</v>
      </c>
      <c r="O2426" t="s">
        <v>28</v>
      </c>
      <c r="P2426">
        <v>7</v>
      </c>
      <c r="Q2426">
        <v>0</v>
      </c>
      <c r="R2426">
        <v>7</v>
      </c>
      <c r="S2426" s="2">
        <v>43719</v>
      </c>
      <c r="T2426" s="2">
        <v>43734</v>
      </c>
      <c r="U2426" s="2">
        <v>43844</v>
      </c>
    </row>
    <row r="2427" spans="1:22" x14ac:dyDescent="0.2">
      <c r="A2427" t="str">
        <f>"NEW 302 GLA"</f>
        <v>NEW 302 GLA</v>
      </c>
      <c r="B2427" t="str">
        <f>"Talking to strangers: what we should kno"</f>
        <v>Talking to strangers: what we should kno</v>
      </c>
      <c r="C2427">
        <v>357537</v>
      </c>
      <c r="D2427" t="str">
        <f>"Gladwell, Malcolm"</f>
        <v>Gladwell, Malcolm</v>
      </c>
      <c r="F2427" t="str">
        <f>"xii, 386 pages, 21 cm"</f>
        <v>xii, 386 pages, 21 cm</v>
      </c>
      <c r="G2427" s="1">
        <v>19</v>
      </c>
      <c r="H2427">
        <v>2019</v>
      </c>
      <c r="I2427" t="str">
        <f t="shared" si="95"/>
        <v>9: 300 - 399</v>
      </c>
      <c r="K2427" t="str">
        <f>"WB - Out"</f>
        <v>WB - Out</v>
      </c>
      <c r="L2427" s="1">
        <v>35</v>
      </c>
      <c r="M2427" t="s">
        <v>2249</v>
      </c>
      <c r="O2427" t="s">
        <v>28</v>
      </c>
      <c r="P2427">
        <v>9</v>
      </c>
      <c r="Q2427">
        <v>0</v>
      </c>
      <c r="R2427">
        <v>9</v>
      </c>
      <c r="S2427" s="2">
        <v>43719</v>
      </c>
      <c r="T2427" s="2">
        <v>43734</v>
      </c>
      <c r="U2427" s="2">
        <v>43845</v>
      </c>
    </row>
    <row r="2428" spans="1:22" x14ac:dyDescent="0.2">
      <c r="A2428" t="str">
        <f>"NEW 302 GLA"</f>
        <v>NEW 302 GLA</v>
      </c>
      <c r="B2428" t="str">
        <f>"Talking to strangers: what we should kno"</f>
        <v>Talking to strangers: what we should kno</v>
      </c>
      <c r="C2428">
        <v>357927</v>
      </c>
      <c r="D2428" t="str">
        <f>"Gladwell, Malcolm"</f>
        <v>Gladwell, Malcolm</v>
      </c>
      <c r="F2428" t="str">
        <f>"xii, 386 pages, 21 cm"</f>
        <v>xii, 386 pages, 21 cm</v>
      </c>
      <c r="G2428" s="1">
        <v>19</v>
      </c>
      <c r="H2428">
        <v>2019</v>
      </c>
      <c r="I2428" t="str">
        <f t="shared" si="95"/>
        <v>9: 300 - 399</v>
      </c>
      <c r="K2428" t="str">
        <f>"WB - Out"</f>
        <v>WB - Out</v>
      </c>
      <c r="L2428" s="1">
        <v>35</v>
      </c>
      <c r="M2428" t="s">
        <v>2249</v>
      </c>
      <c r="O2428" t="s">
        <v>28</v>
      </c>
      <c r="P2428">
        <v>8</v>
      </c>
      <c r="Q2428">
        <v>0</v>
      </c>
      <c r="R2428">
        <v>8</v>
      </c>
      <c r="S2428" s="2">
        <v>43733</v>
      </c>
      <c r="T2428" s="2">
        <v>43739</v>
      </c>
      <c r="U2428" s="2">
        <v>43851</v>
      </c>
    </row>
    <row r="2429" spans="1:22" x14ac:dyDescent="0.2">
      <c r="A2429" t="str">
        <f>"NEW 302 GLA"</f>
        <v>NEW 302 GLA</v>
      </c>
      <c r="B2429" t="str">
        <f>"Talking to strangers: what we should kno"</f>
        <v>Talking to strangers: what we should kno</v>
      </c>
      <c r="C2429">
        <v>359057</v>
      </c>
      <c r="D2429" t="str">
        <f>"Gladwell, Malcolm"</f>
        <v>Gladwell, Malcolm</v>
      </c>
      <c r="F2429" t="str">
        <f>"xii, 386 pages, 21 cm"</f>
        <v>xii, 386 pages, 21 cm</v>
      </c>
      <c r="G2429" s="1">
        <v>19</v>
      </c>
      <c r="H2429">
        <v>2019</v>
      </c>
      <c r="I2429" t="str">
        <f t="shared" si="95"/>
        <v>9: 300 - 399</v>
      </c>
      <c r="K2429" t="str">
        <f>"LL - Out"</f>
        <v>LL - Out</v>
      </c>
      <c r="L2429" s="1">
        <v>35</v>
      </c>
      <c r="M2429" t="s">
        <v>2249</v>
      </c>
      <c r="O2429" t="s">
        <v>28</v>
      </c>
      <c r="P2429">
        <v>5</v>
      </c>
      <c r="Q2429">
        <v>0</v>
      </c>
      <c r="R2429">
        <v>5</v>
      </c>
      <c r="S2429" s="2">
        <v>43776</v>
      </c>
      <c r="T2429" s="2">
        <v>43784</v>
      </c>
      <c r="U2429" s="2">
        <v>43851</v>
      </c>
    </row>
    <row r="2430" spans="1:22" x14ac:dyDescent="0.2">
      <c r="A2430" t="str">
        <f>"NEW 302.23 HEM"</f>
        <v>NEW 302.23 HEM</v>
      </c>
      <c r="B2430" t="str">
        <f>"Messengers of the right: conservative me"</f>
        <v>Messengers of the right: conservative me</v>
      </c>
      <c r="C2430">
        <v>356446</v>
      </c>
      <c r="D2430" t="str">
        <f>"Hemmer, Nicole."</f>
        <v>Hemmer, Nicole.</v>
      </c>
      <c r="F2430" t="str">
        <f>"276 p."</f>
        <v>276 p.</v>
      </c>
      <c r="G2430" s="1">
        <v>19</v>
      </c>
      <c r="H2430">
        <v>2018</v>
      </c>
      <c r="I2430" t="str">
        <f t="shared" si="95"/>
        <v>9: 300 - 399</v>
      </c>
      <c r="K2430" t="str">
        <f>"LL - In"</f>
        <v>LL - In</v>
      </c>
      <c r="L2430" s="1">
        <v>30</v>
      </c>
      <c r="M2430" t="s">
        <v>2250</v>
      </c>
      <c r="O2430" t="s">
        <v>28</v>
      </c>
      <c r="P2430">
        <v>0</v>
      </c>
      <c r="Q2430">
        <v>0</v>
      </c>
      <c r="R2430">
        <v>0</v>
      </c>
      <c r="S2430" s="2">
        <v>43669</v>
      </c>
      <c r="T2430" s="2">
        <v>43741</v>
      </c>
    </row>
    <row r="2431" spans="1:22" x14ac:dyDescent="0.2">
      <c r="A2431" t="str">
        <f>"NEW 302.23 MCC"</f>
        <v>NEW 302.23 MCC</v>
      </c>
      <c r="B2431" t="str">
        <f>"Because internet: understanding the new "</f>
        <v xml:space="preserve">Because internet: understanding the new </v>
      </c>
      <c r="C2431">
        <v>357095</v>
      </c>
      <c r="D2431" t="str">
        <f>"McCulloch, Gretchen"</f>
        <v>McCulloch, Gretchen</v>
      </c>
      <c r="F2431" t="str">
        <f>"326 pages, 24 cm"</f>
        <v>326 pages, 24 cm</v>
      </c>
      <c r="G2431" s="1">
        <v>19</v>
      </c>
      <c r="H2431">
        <v>2019</v>
      </c>
      <c r="I2431" t="str">
        <f t="shared" si="95"/>
        <v>9: 300 - 399</v>
      </c>
      <c r="K2431" t="str">
        <f>"WB - Out"</f>
        <v>WB - Out</v>
      </c>
      <c r="L2431" s="1">
        <v>31</v>
      </c>
      <c r="M2431" t="s">
        <v>2251</v>
      </c>
      <c r="O2431" t="s">
        <v>28</v>
      </c>
      <c r="P2431">
        <v>6</v>
      </c>
      <c r="Q2431">
        <v>0</v>
      </c>
      <c r="R2431">
        <v>6</v>
      </c>
      <c r="S2431" s="2">
        <v>43704</v>
      </c>
      <c r="T2431" s="2">
        <v>43707</v>
      </c>
      <c r="U2431" s="2">
        <v>43861</v>
      </c>
    </row>
    <row r="2432" spans="1:22" x14ac:dyDescent="0.2">
      <c r="A2432" t="str">
        <f>"NEW 302.23 MCC"</f>
        <v>NEW 302.23 MCC</v>
      </c>
      <c r="B2432" t="str">
        <f>"Because internet: understanding the new "</f>
        <v xml:space="preserve">Because internet: understanding the new </v>
      </c>
      <c r="C2432">
        <v>360422</v>
      </c>
      <c r="D2432" t="str">
        <f>"McCulloch, Gretchen"</f>
        <v>McCulloch, Gretchen</v>
      </c>
      <c r="F2432" t="str">
        <f>"326 pages, 24 cm"</f>
        <v>326 pages, 24 cm</v>
      </c>
      <c r="G2432" s="1">
        <v>20</v>
      </c>
      <c r="H2432">
        <v>2019</v>
      </c>
      <c r="I2432" t="str">
        <f t="shared" si="95"/>
        <v>9: 300 - 399</v>
      </c>
      <c r="K2432" t="str">
        <f>"LL - Transit"</f>
        <v>LL - Transit</v>
      </c>
      <c r="L2432" s="1">
        <v>31</v>
      </c>
      <c r="M2432" t="s">
        <v>2251</v>
      </c>
      <c r="O2432" t="s">
        <v>28</v>
      </c>
      <c r="P2432">
        <v>0</v>
      </c>
      <c r="Q2432">
        <v>0</v>
      </c>
      <c r="R2432">
        <v>0</v>
      </c>
      <c r="S2432" s="2">
        <v>43851</v>
      </c>
      <c r="T2432" s="2">
        <v>43861</v>
      </c>
    </row>
    <row r="2433" spans="1:22" x14ac:dyDescent="0.2">
      <c r="A2433" t="str">
        <f>"NEW 302.23 TAI"</f>
        <v>NEW 302.23 TAI</v>
      </c>
      <c r="B2433" t="str">
        <f>"Hate Inc.: why today's media makes us de"</f>
        <v>Hate Inc.: why today's media makes us de</v>
      </c>
      <c r="C2433">
        <v>358311</v>
      </c>
      <c r="D2433" t="str">
        <f>"Taibbi, Matt"</f>
        <v>Taibbi, Matt</v>
      </c>
      <c r="F2433" t="str">
        <f>"294 pages, 24 cm"</f>
        <v>294 pages, 24 cm</v>
      </c>
      <c r="G2433" s="1">
        <v>19</v>
      </c>
      <c r="H2433">
        <v>2019</v>
      </c>
      <c r="I2433" t="str">
        <f t="shared" si="95"/>
        <v>9: 300 - 399</v>
      </c>
      <c r="K2433" t="str">
        <f>"LL - In"</f>
        <v>LL - In</v>
      </c>
      <c r="L2433" s="1">
        <v>30</v>
      </c>
      <c r="M2433" t="s">
        <v>2252</v>
      </c>
      <c r="O2433" t="s">
        <v>28</v>
      </c>
      <c r="P2433">
        <v>5</v>
      </c>
      <c r="Q2433">
        <v>0</v>
      </c>
      <c r="R2433">
        <v>5</v>
      </c>
      <c r="S2433" s="2">
        <v>43749</v>
      </c>
      <c r="T2433" s="2">
        <v>43756</v>
      </c>
      <c r="U2433" s="2">
        <v>43826</v>
      </c>
    </row>
    <row r="2434" spans="1:22" x14ac:dyDescent="0.2">
      <c r="A2434" t="str">
        <f>"NEW 303.4 RUS"</f>
        <v>NEW 303.4 RUS</v>
      </c>
      <c r="B2434" t="str">
        <f>"Team human"</f>
        <v>Team human</v>
      </c>
      <c r="C2434">
        <v>356419</v>
      </c>
      <c r="D2434" t="str">
        <f>"Rushkoff, Douglas."</f>
        <v>Rushkoff, Douglas.</v>
      </c>
      <c r="F2434" t="str">
        <f>"243 pages, 21 cm"</f>
        <v>243 pages, 21 cm</v>
      </c>
      <c r="G2434" s="1">
        <v>19</v>
      </c>
      <c r="H2434">
        <v>2019</v>
      </c>
      <c r="I2434" t="str">
        <f t="shared" si="95"/>
        <v>9: 300 - 399</v>
      </c>
      <c r="K2434" t="str">
        <f>"LL - In"</f>
        <v>LL - In</v>
      </c>
      <c r="L2434" s="1">
        <v>29</v>
      </c>
      <c r="M2434" t="s">
        <v>2253</v>
      </c>
      <c r="O2434" t="s">
        <v>28</v>
      </c>
      <c r="P2434">
        <v>0</v>
      </c>
      <c r="Q2434">
        <v>0</v>
      </c>
      <c r="R2434">
        <v>0</v>
      </c>
      <c r="S2434" s="2">
        <v>43671</v>
      </c>
      <c r="T2434" s="2">
        <v>43700</v>
      </c>
    </row>
    <row r="2435" spans="1:22" x14ac:dyDescent="0.2">
      <c r="A2435" t="str">
        <f>"NEW 303.4 RYA"</f>
        <v>NEW 303.4 RYA</v>
      </c>
      <c r="B2435" t="str">
        <f>"Civilized to death: the price of progres"</f>
        <v>Civilized to death: the price of progres</v>
      </c>
      <c r="C2435">
        <v>359011</v>
      </c>
      <c r="D2435" t="str">
        <f>"Ryan, Christopher,"</f>
        <v>Ryan, Christopher,</v>
      </c>
      <c r="F2435" t="str">
        <f>"xiii, 288 pages, 24 cm"</f>
        <v>xiii, 288 pages, 24 cm</v>
      </c>
      <c r="G2435" s="1">
        <v>19</v>
      </c>
      <c r="H2435">
        <v>2019</v>
      </c>
      <c r="I2435" t="str">
        <f t="shared" si="95"/>
        <v>9: 300 - 399</v>
      </c>
      <c r="K2435" t="str">
        <f>"WB - Out"</f>
        <v>WB - Out</v>
      </c>
      <c r="L2435" s="1">
        <v>33</v>
      </c>
      <c r="M2435" t="s">
        <v>2254</v>
      </c>
      <c r="O2435" t="s">
        <v>28</v>
      </c>
      <c r="P2435">
        <v>3</v>
      </c>
      <c r="Q2435">
        <v>0</v>
      </c>
      <c r="R2435">
        <v>3</v>
      </c>
      <c r="S2435" s="2">
        <v>43776</v>
      </c>
      <c r="T2435" s="2">
        <v>43791</v>
      </c>
      <c r="U2435" s="2">
        <v>43847</v>
      </c>
    </row>
    <row r="2436" spans="1:22" x14ac:dyDescent="0.2">
      <c r="A2436" t="str">
        <f>"NEW 303.4 WIL"</f>
        <v>NEW 303.4 WIL</v>
      </c>
      <c r="B2436" t="str">
        <f>"This view of life: completing the Darwin"</f>
        <v>This view of life: completing the Darwin</v>
      </c>
      <c r="C2436">
        <v>358724</v>
      </c>
      <c r="D2436" t="str">
        <f>"Wilson, David Sloan"</f>
        <v>Wilson, David Sloan</v>
      </c>
      <c r="F2436" t="str">
        <f>"xiv, 288 pages, 25 cm, illustrations"</f>
        <v>xiv, 288 pages, 25 cm, illustrations</v>
      </c>
      <c r="G2436" s="1">
        <v>19</v>
      </c>
      <c r="H2436">
        <v>2019</v>
      </c>
      <c r="I2436" t="str">
        <f t="shared" si="95"/>
        <v>9: 300 - 399</v>
      </c>
      <c r="K2436" t="str">
        <f>"WB - In"</f>
        <v>WB - In</v>
      </c>
      <c r="L2436" s="1">
        <v>33</v>
      </c>
      <c r="M2436" t="s">
        <v>2255</v>
      </c>
      <c r="O2436" t="s">
        <v>28</v>
      </c>
      <c r="P2436">
        <v>0</v>
      </c>
      <c r="Q2436">
        <v>1</v>
      </c>
      <c r="R2436">
        <v>1</v>
      </c>
      <c r="S2436" s="2">
        <v>43762</v>
      </c>
      <c r="T2436" s="2">
        <v>43766</v>
      </c>
      <c r="V2436" s="2">
        <v>43853</v>
      </c>
    </row>
    <row r="2437" spans="1:22" x14ac:dyDescent="0.2">
      <c r="A2437" t="str">
        <f>"NEW 303.48 JAC"</f>
        <v>NEW 303.48 JAC</v>
      </c>
      <c r="B2437" t="str">
        <f>"American radicals: how nineteenth-centur"</f>
        <v>American radicals: how nineteenth-centur</v>
      </c>
      <c r="C2437">
        <v>358519</v>
      </c>
      <c r="D2437" t="str">
        <f>"Jackson, Holly"</f>
        <v>Jackson, Holly</v>
      </c>
      <c r="F2437" t="str">
        <f>"xvii, 372 pages, 25 cm, illustrations"</f>
        <v>xvii, 372 pages, 25 cm, illustrations</v>
      </c>
      <c r="G2437" s="1">
        <v>19</v>
      </c>
      <c r="H2437">
        <v>2019</v>
      </c>
      <c r="I2437" t="str">
        <f t="shared" si="95"/>
        <v>9: 300 - 399</v>
      </c>
      <c r="K2437" t="str">
        <f>"WB - In"</f>
        <v>WB - In</v>
      </c>
      <c r="L2437" s="1">
        <v>33</v>
      </c>
      <c r="M2437" t="s">
        <v>2256</v>
      </c>
      <c r="O2437" t="s">
        <v>28</v>
      </c>
      <c r="P2437">
        <v>1</v>
      </c>
      <c r="Q2437">
        <v>0</v>
      </c>
      <c r="R2437">
        <v>1</v>
      </c>
      <c r="S2437" s="2">
        <v>43756</v>
      </c>
      <c r="T2437" s="2">
        <v>43781</v>
      </c>
      <c r="U2437" s="2">
        <v>43793</v>
      </c>
    </row>
    <row r="2438" spans="1:22" x14ac:dyDescent="0.2">
      <c r="A2438" t="str">
        <f>"NEW 303.48 JOH"</f>
        <v>NEW 303.48 JOH</v>
      </c>
      <c r="B2438" t="str">
        <f>"Hateland: a long, hard look at America's"</f>
        <v>Hateland: a long, hard look at America's</v>
      </c>
      <c r="C2438">
        <v>360157</v>
      </c>
      <c r="D2438" t="str">
        <f>"Johnson, Daryl,"</f>
        <v>Johnson, Daryl,</v>
      </c>
      <c r="F2438" t="str">
        <f>"288 pages, 24 cm"</f>
        <v>288 pages, 24 cm</v>
      </c>
      <c r="G2438" s="1">
        <v>19</v>
      </c>
      <c r="H2438">
        <v>2019</v>
      </c>
      <c r="I2438" t="str">
        <f t="shared" si="95"/>
        <v>9: 300 - 399</v>
      </c>
      <c r="K2438" t="str">
        <f>"WB - In"</f>
        <v>WB - In</v>
      </c>
      <c r="L2438" s="1">
        <v>29</v>
      </c>
      <c r="M2438" t="s">
        <v>2257</v>
      </c>
      <c r="O2438" t="s">
        <v>28</v>
      </c>
      <c r="P2438">
        <v>0</v>
      </c>
      <c r="Q2438">
        <v>0</v>
      </c>
      <c r="R2438">
        <v>0</v>
      </c>
      <c r="S2438" s="2">
        <v>43833</v>
      </c>
      <c r="T2438" s="2">
        <v>43845</v>
      </c>
    </row>
    <row r="2439" spans="1:22" x14ac:dyDescent="0.2">
      <c r="A2439" t="str">
        <f>"NEW 303.48 MAR"</f>
        <v>NEW 303.48 MAR</v>
      </c>
      <c r="B2439" t="str">
        <f>"Antisocial: online extremists, techno-ut"</f>
        <v>Antisocial: online extremists, techno-ut</v>
      </c>
      <c r="C2439">
        <v>359174</v>
      </c>
      <c r="D2439" t="str">
        <f>"Marantz, Andrew"</f>
        <v>Marantz, Andrew</v>
      </c>
      <c r="F2439" t="str">
        <f>"380 pages, 24 cm"</f>
        <v>380 pages, 24 cm</v>
      </c>
      <c r="G2439" s="1">
        <v>19</v>
      </c>
      <c r="H2439">
        <v>2019</v>
      </c>
      <c r="I2439" t="str">
        <f t="shared" si="95"/>
        <v>9: 300 - 399</v>
      </c>
      <c r="K2439" t="str">
        <f>"WB - In"</f>
        <v>WB - In</v>
      </c>
      <c r="L2439" s="1">
        <v>33</v>
      </c>
      <c r="M2439" t="s">
        <v>2258</v>
      </c>
      <c r="O2439" t="s">
        <v>28</v>
      </c>
      <c r="P2439">
        <v>1</v>
      </c>
      <c r="Q2439">
        <v>0</v>
      </c>
      <c r="R2439">
        <v>1</v>
      </c>
      <c r="S2439" s="2">
        <v>43782</v>
      </c>
      <c r="T2439" s="2">
        <v>43805</v>
      </c>
      <c r="U2439" s="2">
        <v>43814</v>
      </c>
    </row>
    <row r="2440" spans="1:22" x14ac:dyDescent="0.2">
      <c r="A2440" t="str">
        <f>"NEW 303.48 ODE"</f>
        <v>NEW 303.48 ODE</v>
      </c>
      <c r="B2440" t="str">
        <f>"How to do nothing: resisting the attenti"</f>
        <v>How to do nothing: resisting the attenti</v>
      </c>
      <c r="C2440">
        <v>354938</v>
      </c>
      <c r="D2440" t="str">
        <f>"Odell, Jenny"</f>
        <v>Odell, Jenny</v>
      </c>
      <c r="F2440" t="str">
        <f>"xxiii, 232 pages, 22 cm"</f>
        <v>xxiii, 232 pages, 22 cm</v>
      </c>
      <c r="G2440" s="1">
        <v>19</v>
      </c>
      <c r="H2440">
        <v>2019</v>
      </c>
      <c r="I2440" t="str">
        <f t="shared" ref="I2440:I2503" si="96">"9: 300 - 399"</f>
        <v>9: 300 - 399</v>
      </c>
      <c r="K2440" t="str">
        <f>"LL - Reserve Cart"</f>
        <v>LL - Reserve Cart</v>
      </c>
      <c r="L2440" s="1">
        <v>31</v>
      </c>
      <c r="M2440" t="s">
        <v>2259</v>
      </c>
      <c r="O2440" t="s">
        <v>28</v>
      </c>
      <c r="P2440">
        <v>9</v>
      </c>
      <c r="Q2440">
        <v>0</v>
      </c>
      <c r="R2440">
        <v>9</v>
      </c>
      <c r="S2440" s="2">
        <v>43606</v>
      </c>
      <c r="T2440" s="2">
        <v>43609</v>
      </c>
      <c r="U2440" s="2">
        <v>43842</v>
      </c>
    </row>
    <row r="2441" spans="1:22" x14ac:dyDescent="0.2">
      <c r="A2441" t="str">
        <f>"NEW 303.48 ODE"</f>
        <v>NEW 303.48 ODE</v>
      </c>
      <c r="B2441" t="str">
        <f>"How to do nothing: resisting the attenti"</f>
        <v>How to do nothing: resisting the attenti</v>
      </c>
      <c r="C2441">
        <v>360561</v>
      </c>
      <c r="D2441" t="str">
        <f>"Odell, Jenny"</f>
        <v>Odell, Jenny</v>
      </c>
      <c r="F2441" t="str">
        <f>"xxiii, 232 pages, 22 cm"</f>
        <v>xxiii, 232 pages, 22 cm</v>
      </c>
      <c r="G2441" s="1">
        <v>20</v>
      </c>
      <c r="H2441">
        <v>2019</v>
      </c>
      <c r="I2441" t="str">
        <f t="shared" si="96"/>
        <v>9: 300 - 399</v>
      </c>
      <c r="K2441" t="str">
        <f>"WB - Reserve Cart"</f>
        <v>WB - Reserve Cart</v>
      </c>
      <c r="L2441" s="1">
        <v>31</v>
      </c>
      <c r="M2441" t="s">
        <v>2259</v>
      </c>
      <c r="O2441" t="s">
        <v>28</v>
      </c>
      <c r="P2441">
        <v>0</v>
      </c>
      <c r="Q2441">
        <v>0</v>
      </c>
      <c r="R2441">
        <v>0</v>
      </c>
      <c r="S2441" s="2">
        <v>43858</v>
      </c>
      <c r="T2441" s="2">
        <v>43861</v>
      </c>
    </row>
    <row r="2442" spans="1:22" x14ac:dyDescent="0.2">
      <c r="A2442" t="str">
        <f>"NEW 303.48 SMI"</f>
        <v>NEW 303.48 SMI</v>
      </c>
      <c r="B2442" t="str">
        <f>"Tools and weapons: the promise and the p"</f>
        <v>Tools and weapons: the promise and the p</v>
      </c>
      <c r="C2442">
        <v>357728</v>
      </c>
      <c r="D2442" t="str">
        <f>"Smith, Brad"</f>
        <v>Smith, Brad</v>
      </c>
      <c r="F2442" t="str">
        <f>"xxii, 346 pages, 25 cm"</f>
        <v>xxii, 346 pages, 25 cm</v>
      </c>
      <c r="G2442" s="1">
        <v>19</v>
      </c>
      <c r="H2442">
        <v>2019</v>
      </c>
      <c r="I2442" t="str">
        <f t="shared" si="96"/>
        <v>9: 300 - 399</v>
      </c>
      <c r="K2442" t="str">
        <f>"WB - Out"</f>
        <v>WB - Out</v>
      </c>
      <c r="L2442" s="1">
        <v>35</v>
      </c>
      <c r="M2442" t="s">
        <v>2260</v>
      </c>
      <c r="O2442" t="s">
        <v>28</v>
      </c>
      <c r="P2442">
        <v>4</v>
      </c>
      <c r="Q2442">
        <v>0</v>
      </c>
      <c r="R2442">
        <v>4</v>
      </c>
      <c r="S2442" s="2">
        <v>43725</v>
      </c>
      <c r="T2442" s="2">
        <v>43739</v>
      </c>
      <c r="U2442" s="2">
        <v>43856</v>
      </c>
    </row>
    <row r="2443" spans="1:22" x14ac:dyDescent="0.2">
      <c r="A2443" t="str">
        <f>"NEW 303.49 BHA"</f>
        <v>NEW 303.49 BHA</v>
      </c>
      <c r="B2443" t="str">
        <f>"Non-obvious 2019: how to predict trends "</f>
        <v xml:space="preserve">Non-obvious 2019: how to predict trends </v>
      </c>
      <c r="C2443">
        <v>356401</v>
      </c>
      <c r="D2443" t="str">
        <f>"Bhargava, Rohit."</f>
        <v>Bhargava, Rohit.</v>
      </c>
      <c r="F2443" t="str">
        <f>"334 p."</f>
        <v>334 p.</v>
      </c>
      <c r="G2443" s="1">
        <v>19</v>
      </c>
      <c r="H2443">
        <v>2019</v>
      </c>
      <c r="I2443" t="str">
        <f t="shared" si="96"/>
        <v>9: 300 - 399</v>
      </c>
      <c r="K2443" t="str">
        <f>"LL - Out"</f>
        <v>LL - Out</v>
      </c>
      <c r="L2443" s="1">
        <v>23</v>
      </c>
      <c r="M2443" t="s">
        <v>2261</v>
      </c>
      <c r="O2443" t="s">
        <v>28</v>
      </c>
      <c r="P2443">
        <v>5</v>
      </c>
      <c r="Q2443">
        <v>0</v>
      </c>
      <c r="R2443">
        <v>5</v>
      </c>
      <c r="S2443" s="2">
        <v>43671</v>
      </c>
      <c r="T2443" s="2">
        <v>43685</v>
      </c>
      <c r="U2443" s="2">
        <v>43846</v>
      </c>
    </row>
    <row r="2444" spans="1:22" x14ac:dyDescent="0.2">
      <c r="A2444" t="str">
        <f>"NEW 305.2 CAL"</f>
        <v>NEW 305.2 CAL</v>
      </c>
      <c r="B2444" t="str">
        <f>"Why we can't sleep: women's new midlife "</f>
        <v xml:space="preserve">Why we can't sleep: women's new midlife </v>
      </c>
      <c r="C2444">
        <v>360458</v>
      </c>
      <c r="D2444" t="str">
        <f>"Calhoun, Ada."</f>
        <v>Calhoun, Ada.</v>
      </c>
      <c r="F2444" t="str">
        <f>"xii, 267 pages, 22 cm"</f>
        <v>xii, 267 pages, 22 cm</v>
      </c>
      <c r="G2444" s="1">
        <v>20</v>
      </c>
      <c r="H2444">
        <v>2020</v>
      </c>
      <c r="I2444" t="str">
        <f t="shared" si="96"/>
        <v>9: 300 - 399</v>
      </c>
      <c r="K2444" t="str">
        <f>"WB - Out"</f>
        <v>WB - Out</v>
      </c>
      <c r="L2444" s="1">
        <v>31</v>
      </c>
      <c r="M2444" t="s">
        <v>2262</v>
      </c>
      <c r="O2444" t="s">
        <v>28</v>
      </c>
      <c r="P2444">
        <v>1</v>
      </c>
      <c r="Q2444">
        <v>0</v>
      </c>
      <c r="R2444">
        <v>1</v>
      </c>
      <c r="S2444" s="2">
        <v>43851</v>
      </c>
      <c r="T2444" s="2">
        <v>43861</v>
      </c>
      <c r="U2444" s="2">
        <v>43861</v>
      </c>
    </row>
    <row r="2445" spans="1:22" x14ac:dyDescent="0.2">
      <c r="A2445" t="str">
        <f>"NEW 305.2 COL"</f>
        <v>NEW 305.2 COL</v>
      </c>
      <c r="B2445" t="str">
        <f>"No stopping us now: the adventures of ol"</f>
        <v>No stopping us now: the adventures of ol</v>
      </c>
      <c r="C2445">
        <v>358886</v>
      </c>
      <c r="D2445" t="str">
        <f>"Collins, Gail"</f>
        <v>Collins, Gail</v>
      </c>
      <c r="F2445" t="str">
        <f>"vii, 422 pages, 16 unnumbered pages of plates, 25 cm, illustrations"</f>
        <v>vii, 422 pages, 16 unnumbered pages of plates, 25 cm, illustrations</v>
      </c>
      <c r="G2445" s="1">
        <v>19</v>
      </c>
      <c r="H2445">
        <v>2019</v>
      </c>
      <c r="I2445" t="str">
        <f t="shared" si="96"/>
        <v>9: 300 - 399</v>
      </c>
      <c r="K2445" t="str">
        <f>"LL - In"</f>
        <v>LL - In</v>
      </c>
      <c r="L2445" s="1">
        <v>35</v>
      </c>
      <c r="M2445" t="s">
        <v>2263</v>
      </c>
      <c r="O2445" t="s">
        <v>28</v>
      </c>
      <c r="P2445">
        <v>3</v>
      </c>
      <c r="Q2445">
        <v>0</v>
      </c>
      <c r="R2445">
        <v>3</v>
      </c>
      <c r="S2445" s="2">
        <v>43769</v>
      </c>
      <c r="T2445" s="2">
        <v>43784</v>
      </c>
      <c r="U2445" s="2">
        <v>43817</v>
      </c>
    </row>
    <row r="2446" spans="1:22" x14ac:dyDescent="0.2">
      <c r="A2446" t="str">
        <f>"NEW 305.23 NAT"</f>
        <v>NEW 305.23 NAT</v>
      </c>
      <c r="B2446" t="str">
        <f>"Wildhood: the epic journey from adolesce"</f>
        <v>Wildhood: the epic journey from adolesce</v>
      </c>
      <c r="C2446">
        <v>357683</v>
      </c>
      <c r="D2446" t="str">
        <f>"Natterson-Horowitz, Barbara."</f>
        <v>Natterson-Horowitz, Barbara.</v>
      </c>
      <c r="F2446" t="str">
        <f>"267 p."</f>
        <v>267 p.</v>
      </c>
      <c r="G2446" s="1">
        <v>19</v>
      </c>
      <c r="H2446">
        <v>2019</v>
      </c>
      <c r="I2446" t="str">
        <f t="shared" si="96"/>
        <v>9: 300 - 399</v>
      </c>
      <c r="K2446" t="str">
        <f>"LL - Out"</f>
        <v>LL - Out</v>
      </c>
      <c r="L2446" s="1">
        <v>33</v>
      </c>
      <c r="M2446" t="s">
        <v>2264</v>
      </c>
      <c r="O2446" t="s">
        <v>28</v>
      </c>
      <c r="P2446">
        <v>4</v>
      </c>
      <c r="Q2446">
        <v>0</v>
      </c>
      <c r="R2446">
        <v>4</v>
      </c>
      <c r="S2446" s="2">
        <v>43725</v>
      </c>
      <c r="T2446" s="2">
        <v>43749</v>
      </c>
      <c r="U2446" s="2">
        <v>43855</v>
      </c>
    </row>
    <row r="2447" spans="1:22" x14ac:dyDescent="0.2">
      <c r="A2447" t="str">
        <f>"NEW 305.23 ORE"</f>
        <v>NEW 305.23 ORE</v>
      </c>
      <c r="B2447" t="str">
        <f>"Boys &amp; sex: young men on hookups, love, "</f>
        <v xml:space="preserve">Boys &amp; sex: young men on hookups, love, </v>
      </c>
      <c r="C2447">
        <v>360208</v>
      </c>
      <c r="D2447" t="str">
        <f>"Orenstein, Peggy."</f>
        <v>Orenstein, Peggy.</v>
      </c>
      <c r="F2447" t="str">
        <f>"237 pages"</f>
        <v>237 pages</v>
      </c>
      <c r="G2447" s="1">
        <v>19</v>
      </c>
      <c r="H2447">
        <v>2020</v>
      </c>
      <c r="I2447" t="str">
        <f t="shared" si="96"/>
        <v>9: 300 - 399</v>
      </c>
      <c r="K2447" t="str">
        <f>"WB - Out"</f>
        <v>WB - Out</v>
      </c>
      <c r="L2447" s="1">
        <v>34</v>
      </c>
      <c r="M2447" t="s">
        <v>2265</v>
      </c>
      <c r="O2447" t="s">
        <v>28</v>
      </c>
      <c r="P2447">
        <v>1</v>
      </c>
      <c r="Q2447">
        <v>0</v>
      </c>
      <c r="R2447">
        <v>1</v>
      </c>
      <c r="S2447" s="2">
        <v>43844</v>
      </c>
      <c r="T2447" s="2">
        <v>43854</v>
      </c>
      <c r="U2447" s="2">
        <v>43855</v>
      </c>
    </row>
    <row r="2448" spans="1:22" x14ac:dyDescent="0.2">
      <c r="A2448" t="str">
        <f>"NEW 305.23 REI"</f>
        <v>NEW 305.23 REI</v>
      </c>
      <c r="B2448" t="str">
        <f>"How to raise a boy: the power of connect"</f>
        <v>How to raise a boy: the power of connect</v>
      </c>
      <c r="C2448">
        <v>359196</v>
      </c>
      <c r="D2448" t="str">
        <f>"Reichert, Michael"</f>
        <v>Reichert, Michael</v>
      </c>
      <c r="F2448" t="str">
        <f>"326 pages, 24 cm"</f>
        <v>326 pages, 24 cm</v>
      </c>
      <c r="G2448" s="1">
        <v>19</v>
      </c>
      <c r="H2448">
        <v>2019</v>
      </c>
      <c r="I2448" t="str">
        <f t="shared" si="96"/>
        <v>9: 300 - 399</v>
      </c>
      <c r="K2448" t="str">
        <f>"WB - Out"</f>
        <v>WB - Out</v>
      </c>
      <c r="L2448" s="1">
        <v>31</v>
      </c>
      <c r="M2448" t="s">
        <v>2266</v>
      </c>
      <c r="O2448" t="s">
        <v>28</v>
      </c>
      <c r="P2448">
        <v>4</v>
      </c>
      <c r="Q2448">
        <v>1</v>
      </c>
      <c r="R2448">
        <v>5</v>
      </c>
      <c r="S2448" s="2">
        <v>43782</v>
      </c>
      <c r="T2448" s="2">
        <v>43811</v>
      </c>
      <c r="U2448" s="2">
        <v>43845</v>
      </c>
      <c r="V2448" s="2">
        <v>43832</v>
      </c>
    </row>
    <row r="2449" spans="1:22" x14ac:dyDescent="0.2">
      <c r="A2449" t="str">
        <f>"NEW 305.235 MEE"</f>
        <v>NEW 305.235 MEE</v>
      </c>
      <c r="B2449" t="str">
        <f>"Raising a strong daughter in a toxic cul"</f>
        <v>Raising a strong daughter in a toxic cul</v>
      </c>
      <c r="C2449">
        <v>360174</v>
      </c>
      <c r="D2449" t="str">
        <f>"Meeker, Margaret J."</f>
        <v>Meeker, Margaret J.</v>
      </c>
      <c r="F2449" t="str">
        <f>"xiii, 226 pages, 24 cm"</f>
        <v>xiii, 226 pages, 24 cm</v>
      </c>
      <c r="G2449" s="1">
        <v>19</v>
      </c>
      <c r="H2449">
        <v>2020</v>
      </c>
      <c r="I2449" t="str">
        <f t="shared" si="96"/>
        <v>9: 300 - 399</v>
      </c>
      <c r="K2449" t="str">
        <f>"LL - Out"</f>
        <v>LL - Out</v>
      </c>
      <c r="L2449" s="1">
        <v>30</v>
      </c>
      <c r="M2449" t="s">
        <v>2267</v>
      </c>
      <c r="O2449" t="s">
        <v>28</v>
      </c>
      <c r="P2449">
        <v>1</v>
      </c>
      <c r="Q2449">
        <v>0</v>
      </c>
      <c r="R2449">
        <v>1</v>
      </c>
      <c r="S2449" s="2">
        <v>43833</v>
      </c>
      <c r="T2449" s="2">
        <v>43847</v>
      </c>
      <c r="U2449" s="2">
        <v>43857</v>
      </c>
    </row>
    <row r="2450" spans="1:22" x14ac:dyDescent="0.2">
      <c r="A2450" t="str">
        <f>"NEW 305.24 FRI"</f>
        <v>NEW 305.24 FRI</v>
      </c>
      <c r="B2450" t="str">
        <f>"And then we grew up: on creativity, pote"</f>
        <v>And then we grew up: on creativity, pote</v>
      </c>
      <c r="C2450">
        <v>360188</v>
      </c>
      <c r="D2450" t="str">
        <f>"Friedman, Rachel,"</f>
        <v>Friedman, Rachel,</v>
      </c>
      <c r="F2450" t="str">
        <f>"234 pages, 21 cm"</f>
        <v>234 pages, 21 cm</v>
      </c>
      <c r="G2450" s="1">
        <v>19</v>
      </c>
      <c r="H2450">
        <v>2019</v>
      </c>
      <c r="I2450" t="str">
        <f t="shared" si="96"/>
        <v>9: 300 - 399</v>
      </c>
      <c r="K2450" t="str">
        <f>"WB - Out"</f>
        <v>WB - Out</v>
      </c>
      <c r="L2450" s="1">
        <v>22</v>
      </c>
      <c r="M2450" t="s">
        <v>2268</v>
      </c>
      <c r="O2450" t="s">
        <v>28</v>
      </c>
      <c r="P2450">
        <v>2</v>
      </c>
      <c r="Q2450">
        <v>0</v>
      </c>
      <c r="R2450">
        <v>2</v>
      </c>
      <c r="S2450" s="2">
        <v>43833</v>
      </c>
      <c r="T2450" s="2">
        <v>43847</v>
      </c>
      <c r="U2450" s="2">
        <v>43857</v>
      </c>
    </row>
    <row r="2451" spans="1:22" x14ac:dyDescent="0.2">
      <c r="A2451" t="str">
        <f>"NEW 305.3 TAD"</f>
        <v>NEW 305.3 TAD</v>
      </c>
      <c r="B2451" t="str">
        <f>"Three women"</f>
        <v>Three women</v>
      </c>
      <c r="C2451">
        <v>407150</v>
      </c>
      <c r="D2451" t="str">
        <f>"Taddeo, Lisa"</f>
        <v>Taddeo, Lisa</v>
      </c>
      <c r="F2451" t="str">
        <f>"x, 306 pages, 25 cm"</f>
        <v>x, 306 pages, 25 cm</v>
      </c>
      <c r="G2451">
        <v>19</v>
      </c>
      <c r="H2451">
        <v>2019</v>
      </c>
      <c r="I2451" t="str">
        <f t="shared" si="96"/>
        <v>9: 300 - 399</v>
      </c>
      <c r="K2451" t="str">
        <f>"WB - Out"</f>
        <v>WB - Out</v>
      </c>
      <c r="L2451" s="1">
        <v>32</v>
      </c>
      <c r="M2451" t="s">
        <v>277</v>
      </c>
      <c r="O2451" t="s">
        <v>28</v>
      </c>
      <c r="P2451">
        <v>9</v>
      </c>
      <c r="Q2451">
        <v>0</v>
      </c>
      <c r="R2451">
        <v>9</v>
      </c>
      <c r="S2451" s="2">
        <v>43678</v>
      </c>
      <c r="T2451" s="2">
        <v>43693</v>
      </c>
      <c r="U2451" s="2">
        <v>43843</v>
      </c>
    </row>
    <row r="2452" spans="1:22" x14ac:dyDescent="0.2">
      <c r="A2452" t="str">
        <f>"NEW 305.3 TAD"</f>
        <v>NEW 305.3 TAD</v>
      </c>
      <c r="B2452" t="str">
        <f>"Three women"</f>
        <v>Three women</v>
      </c>
      <c r="C2452">
        <v>356812</v>
      </c>
      <c r="D2452" t="str">
        <f>"Taddeo, Lisa"</f>
        <v>Taddeo, Lisa</v>
      </c>
      <c r="F2452" t="str">
        <f>"x, 306 pages, 25 cm"</f>
        <v>x, 306 pages, 25 cm</v>
      </c>
      <c r="G2452" s="1">
        <v>19</v>
      </c>
      <c r="H2452">
        <v>2019</v>
      </c>
      <c r="I2452" t="str">
        <f t="shared" si="96"/>
        <v>9: 300 - 399</v>
      </c>
      <c r="K2452" t="str">
        <f>"WB - Out"</f>
        <v>WB - Out</v>
      </c>
      <c r="L2452" s="1">
        <v>32</v>
      </c>
      <c r="M2452" t="s">
        <v>277</v>
      </c>
      <c r="O2452" t="s">
        <v>28</v>
      </c>
      <c r="P2452">
        <v>10</v>
      </c>
      <c r="Q2452">
        <v>0</v>
      </c>
      <c r="R2452">
        <v>10</v>
      </c>
      <c r="S2452" s="2">
        <v>43690</v>
      </c>
      <c r="T2452" s="2">
        <v>43699</v>
      </c>
      <c r="U2452" s="2">
        <v>43853</v>
      </c>
    </row>
    <row r="2453" spans="1:22" x14ac:dyDescent="0.2">
      <c r="A2453" t="str">
        <f>"NEW 305.4 CHU"</f>
        <v>NEW 305.4 CHU</v>
      </c>
      <c r="B2453" t="s">
        <v>2269</v>
      </c>
      <c r="C2453">
        <v>359188</v>
      </c>
      <c r="D2453" t="str">
        <f>"Chu, Andrea Long"</f>
        <v>Chu, Andrea Long</v>
      </c>
      <c r="F2453" t="str">
        <f>"106 pages, 18 cm"</f>
        <v>106 pages, 18 cm</v>
      </c>
      <c r="G2453" s="1">
        <v>19</v>
      </c>
      <c r="H2453">
        <v>2019</v>
      </c>
      <c r="I2453" t="str">
        <f t="shared" si="96"/>
        <v>9: 300 - 399</v>
      </c>
      <c r="K2453" t="str">
        <f>"WB - In"</f>
        <v>WB - In</v>
      </c>
      <c r="L2453" s="1">
        <v>18</v>
      </c>
      <c r="M2453" t="s">
        <v>2270</v>
      </c>
      <c r="O2453" t="s">
        <v>28</v>
      </c>
      <c r="P2453">
        <v>0</v>
      </c>
      <c r="Q2453">
        <v>0</v>
      </c>
      <c r="R2453">
        <v>0</v>
      </c>
      <c r="S2453" s="2">
        <v>43782</v>
      </c>
      <c r="T2453" s="2">
        <v>43804</v>
      </c>
    </row>
    <row r="2454" spans="1:22" x14ac:dyDescent="0.2">
      <c r="A2454" t="str">
        <f>"NEW 305.4 MAI"</f>
        <v>NEW 305.4 MAI</v>
      </c>
      <c r="B2454" t="str">
        <f>"Older, but better, but older"</f>
        <v>Older, but better, but older</v>
      </c>
      <c r="C2454">
        <v>360197</v>
      </c>
      <c r="D2454" t="str">
        <f>"De Maigret, Caroline"</f>
        <v>De Maigret, Caroline</v>
      </c>
      <c r="F2454" t="str">
        <f>"263 pages, 21 cm, illustrations"</f>
        <v>263 pages, 21 cm, illustrations</v>
      </c>
      <c r="G2454" s="1">
        <v>19</v>
      </c>
      <c r="H2454">
        <v>2019</v>
      </c>
      <c r="I2454" t="str">
        <f t="shared" si="96"/>
        <v>9: 300 - 399</v>
      </c>
      <c r="K2454" t="str">
        <f>"LL - In"</f>
        <v>LL - In</v>
      </c>
      <c r="L2454" s="1">
        <v>30</v>
      </c>
      <c r="M2454" t="s">
        <v>2271</v>
      </c>
      <c r="O2454" t="s">
        <v>28</v>
      </c>
      <c r="P2454">
        <v>2</v>
      </c>
      <c r="Q2454">
        <v>1</v>
      </c>
      <c r="R2454">
        <v>3</v>
      </c>
      <c r="S2454" s="2">
        <v>43833</v>
      </c>
      <c r="T2454" s="2">
        <v>43845</v>
      </c>
      <c r="U2454" s="2">
        <v>43854</v>
      </c>
      <c r="V2454" s="2">
        <v>43858</v>
      </c>
    </row>
    <row r="2455" spans="1:22" x14ac:dyDescent="0.2">
      <c r="A2455" t="str">
        <f>"NEW 305.4 RIC"</f>
        <v>NEW 305.4 RIC</v>
      </c>
      <c r="B2455" t="str">
        <f>"season: a history of the debutante"</f>
        <v>season: a history of the debutante</v>
      </c>
      <c r="C2455">
        <v>359387</v>
      </c>
      <c r="D2455" t="str">
        <f>"Richardson, Kristen"</f>
        <v>Richardson, Kristen</v>
      </c>
      <c r="F2455" t="str">
        <f>"pages cm"</f>
        <v>pages cm</v>
      </c>
      <c r="G2455" s="1">
        <v>19</v>
      </c>
      <c r="H2455">
        <v>2020</v>
      </c>
      <c r="I2455" t="str">
        <f t="shared" si="96"/>
        <v>9: 300 - 399</v>
      </c>
      <c r="K2455" t="str">
        <f>"LL - Out"</f>
        <v>LL - Out</v>
      </c>
      <c r="L2455" s="1">
        <v>32</v>
      </c>
      <c r="M2455" t="s">
        <v>2272</v>
      </c>
      <c r="O2455" t="s">
        <v>28</v>
      </c>
      <c r="P2455">
        <v>2</v>
      </c>
      <c r="Q2455">
        <v>1</v>
      </c>
      <c r="R2455">
        <v>3</v>
      </c>
      <c r="S2455" s="2">
        <v>43788</v>
      </c>
      <c r="T2455" s="2">
        <v>43805</v>
      </c>
      <c r="U2455" s="2">
        <v>43848</v>
      </c>
      <c r="V2455" s="2">
        <v>43844</v>
      </c>
    </row>
    <row r="2456" spans="1:22" x14ac:dyDescent="0.2">
      <c r="A2456" t="str">
        <f>"NEW 305.42 GOL"</f>
        <v>NEW 305.42 GOL</v>
      </c>
      <c r="B2456" t="str">
        <f>"Nobody's victim: fighting psychos, stalk"</f>
        <v>Nobody's victim: fighting psychos, stalk</v>
      </c>
      <c r="C2456">
        <v>358125</v>
      </c>
      <c r="D2456" t="str">
        <f>"Goldberg, Carrie"</f>
        <v>Goldberg, Carrie</v>
      </c>
      <c r="F2456" t="str">
        <f>"vii, 295 pages, 24 cm"</f>
        <v>vii, 295 pages, 24 cm</v>
      </c>
      <c r="G2456" s="1">
        <v>19</v>
      </c>
      <c r="H2456">
        <v>2019</v>
      </c>
      <c r="I2456" t="str">
        <f t="shared" si="96"/>
        <v>9: 300 - 399</v>
      </c>
      <c r="K2456" t="str">
        <f>"WB - In"</f>
        <v>WB - In</v>
      </c>
      <c r="L2456" s="1">
        <v>32</v>
      </c>
      <c r="M2456" t="s">
        <v>2273</v>
      </c>
      <c r="O2456" t="s">
        <v>28</v>
      </c>
      <c r="P2456">
        <v>4</v>
      </c>
      <c r="Q2456">
        <v>1</v>
      </c>
      <c r="R2456">
        <v>5</v>
      </c>
      <c r="S2456" s="2">
        <v>43740</v>
      </c>
      <c r="T2456" s="2">
        <v>43749</v>
      </c>
      <c r="U2456" s="2">
        <v>43838</v>
      </c>
      <c r="V2456" s="2">
        <v>43813</v>
      </c>
    </row>
    <row r="2457" spans="1:22" x14ac:dyDescent="0.2">
      <c r="A2457" t="str">
        <f>"NEW 305.42 STE"</f>
        <v>NEW 305.42 STE</v>
      </c>
      <c r="B2457" t="str">
        <f>"truth will set you free, but first it wi"</f>
        <v>truth will set you free, but first it wi</v>
      </c>
      <c r="C2457">
        <v>359576</v>
      </c>
      <c r="D2457" t="str">
        <f>"Steinem, Gloria."</f>
        <v>Steinem, Gloria.</v>
      </c>
      <c r="F2457" t="str">
        <f>"xxiii, 161 pages, 22 cm, illustrations"</f>
        <v>xxiii, 161 pages, 22 cm, illustrations</v>
      </c>
      <c r="G2457" s="1">
        <v>19</v>
      </c>
      <c r="H2457">
        <v>2019</v>
      </c>
      <c r="I2457" t="str">
        <f t="shared" si="96"/>
        <v>9: 300 - 399</v>
      </c>
      <c r="K2457" t="str">
        <f>"WB - In"</f>
        <v>WB - In</v>
      </c>
      <c r="L2457" s="1">
        <v>27</v>
      </c>
      <c r="M2457" t="s">
        <v>2274</v>
      </c>
      <c r="O2457" t="s">
        <v>28</v>
      </c>
      <c r="P2457">
        <v>2</v>
      </c>
      <c r="Q2457">
        <v>0</v>
      </c>
      <c r="R2457">
        <v>2</v>
      </c>
      <c r="S2457" s="2">
        <v>43802</v>
      </c>
      <c r="T2457" s="2">
        <v>43811</v>
      </c>
      <c r="U2457" s="2">
        <v>43829</v>
      </c>
    </row>
    <row r="2458" spans="1:22" x14ac:dyDescent="0.2">
      <c r="A2458" t="str">
        <f>"NEW 305.5 DOR"</f>
        <v>NEW 305.5 DOR</v>
      </c>
      <c r="B2458" t="str">
        <f>"Inequality and the 1%"</f>
        <v>Inequality and the 1%</v>
      </c>
      <c r="C2458">
        <v>358380</v>
      </c>
      <c r="D2458" t="str">
        <f>"Dorling, Danny."</f>
        <v>Dorling, Danny.</v>
      </c>
      <c r="F2458" t="str">
        <f>"250 p."</f>
        <v>250 p.</v>
      </c>
      <c r="G2458" s="1">
        <v>19</v>
      </c>
      <c r="H2458">
        <v>2019</v>
      </c>
      <c r="I2458" t="str">
        <f t="shared" si="96"/>
        <v>9: 300 - 399</v>
      </c>
      <c r="K2458" t="str">
        <f>"WB - Out"</f>
        <v>WB - Out</v>
      </c>
      <c r="L2458" s="1">
        <v>22</v>
      </c>
      <c r="M2458" t="s">
        <v>2275</v>
      </c>
      <c r="O2458" t="s">
        <v>28</v>
      </c>
      <c r="P2458">
        <v>1</v>
      </c>
      <c r="Q2458">
        <v>0</v>
      </c>
      <c r="R2458">
        <v>1</v>
      </c>
      <c r="S2458" s="2">
        <v>43749</v>
      </c>
      <c r="T2458" s="2">
        <v>43811</v>
      </c>
      <c r="U2458" s="2">
        <v>43858</v>
      </c>
    </row>
    <row r="2459" spans="1:22" x14ac:dyDescent="0.2">
      <c r="A2459" t="str">
        <f>"NEW 305.5 MAR"</f>
        <v>NEW 305.5 MAR</v>
      </c>
      <c r="B2459" t="str">
        <f>"Meritocracy trap: how America's foundati"</f>
        <v>Meritocracy trap: how America's foundati</v>
      </c>
      <c r="C2459">
        <v>359674</v>
      </c>
      <c r="D2459" t="str">
        <f>"Markovits, Daniel,"</f>
        <v>Markovits, Daniel,</v>
      </c>
      <c r="F2459" t="str">
        <f>"xxiii, 418 pages, 25 cm, illustrations"</f>
        <v>xxiii, 418 pages, 25 cm, illustrations</v>
      </c>
      <c r="G2459" s="1">
        <v>19</v>
      </c>
      <c r="H2459">
        <v>2019</v>
      </c>
      <c r="I2459" t="str">
        <f t="shared" si="96"/>
        <v>9: 300 - 399</v>
      </c>
      <c r="K2459" t="str">
        <f>"WB - Out"</f>
        <v>WB - Out</v>
      </c>
      <c r="L2459" s="1">
        <v>35</v>
      </c>
      <c r="M2459" t="s">
        <v>2276</v>
      </c>
      <c r="O2459" t="s">
        <v>28</v>
      </c>
      <c r="P2459">
        <v>3</v>
      </c>
      <c r="Q2459">
        <v>0</v>
      </c>
      <c r="R2459">
        <v>3</v>
      </c>
      <c r="S2459" s="2">
        <v>43804</v>
      </c>
      <c r="T2459" s="2">
        <v>43811</v>
      </c>
      <c r="U2459" s="2">
        <v>43845</v>
      </c>
    </row>
    <row r="2460" spans="1:22" x14ac:dyDescent="0.2">
      <c r="A2460" t="str">
        <f>"NEW 305.8 KAU"</f>
        <v>NEW 305.8 KAU</v>
      </c>
      <c r="B2460" t="str">
        <f>"Whiteshift: populism, immigration, and t"</f>
        <v>Whiteshift: populism, immigration, and t</v>
      </c>
      <c r="C2460">
        <v>359893</v>
      </c>
      <c r="D2460" t="str">
        <f>"Kaufmann, Eric P."</f>
        <v>Kaufmann, Eric P.</v>
      </c>
      <c r="F2460" t="str">
        <f>"vi, 618 pages, 24 cm, illustrations, maps"</f>
        <v>vi, 618 pages, 24 cm, illustrations, maps</v>
      </c>
      <c r="G2460" s="1">
        <v>19</v>
      </c>
      <c r="H2460">
        <v>2019</v>
      </c>
      <c r="I2460" t="str">
        <f t="shared" si="96"/>
        <v>9: 300 - 399</v>
      </c>
      <c r="K2460" t="str">
        <f>"WB - In"</f>
        <v>WB - In</v>
      </c>
      <c r="L2460" s="1">
        <v>40</v>
      </c>
      <c r="M2460" t="s">
        <v>2277</v>
      </c>
      <c r="O2460" t="s">
        <v>28</v>
      </c>
      <c r="P2460">
        <v>0</v>
      </c>
      <c r="Q2460">
        <v>0</v>
      </c>
      <c r="R2460">
        <v>0</v>
      </c>
      <c r="S2460" s="2">
        <v>43815</v>
      </c>
      <c r="T2460" s="2">
        <v>43845</v>
      </c>
    </row>
    <row r="2461" spans="1:22" x14ac:dyDescent="0.2">
      <c r="A2461" t="str">
        <f>"NEW 305.892 BER"</f>
        <v>NEW 305.892 BER</v>
      </c>
      <c r="B2461" t="str">
        <f>"accusation: blood libel in an American t"</f>
        <v>accusation: blood libel in an American t</v>
      </c>
      <c r="C2461">
        <v>357876</v>
      </c>
      <c r="D2461" t="str">
        <f>"Berenson, Edward,"</f>
        <v>Berenson, Edward,</v>
      </c>
      <c r="F2461" t="str">
        <f>"271 pages, 22 cm, illustrations"</f>
        <v>271 pages, 22 cm, illustrations</v>
      </c>
      <c r="G2461" s="1">
        <v>19</v>
      </c>
      <c r="H2461">
        <v>2019</v>
      </c>
      <c r="I2461" t="str">
        <f t="shared" si="96"/>
        <v>9: 300 - 399</v>
      </c>
      <c r="K2461" t="str">
        <f>"WB - In"</f>
        <v>WB - In</v>
      </c>
      <c r="L2461" s="1">
        <v>32</v>
      </c>
      <c r="M2461" t="s">
        <v>2278</v>
      </c>
      <c r="O2461" t="s">
        <v>28</v>
      </c>
      <c r="P2461">
        <v>3</v>
      </c>
      <c r="Q2461">
        <v>0</v>
      </c>
      <c r="R2461">
        <v>3</v>
      </c>
      <c r="S2461" s="2">
        <v>43733</v>
      </c>
      <c r="T2461" s="2">
        <v>43749</v>
      </c>
      <c r="U2461" s="2">
        <v>43826</v>
      </c>
    </row>
    <row r="2462" spans="1:22" x14ac:dyDescent="0.2">
      <c r="A2462" t="str">
        <f>"NEW 305.896 BUC"</f>
        <v>NEW 305.896 BUC</v>
      </c>
      <c r="B2462" t="str">
        <f>"fire is upon us: James Baldwin, William "</f>
        <v xml:space="preserve">fire is upon us: James Baldwin, William </v>
      </c>
      <c r="C2462">
        <v>359775</v>
      </c>
      <c r="D2462" t="str">
        <f>"Buccola, Nicholas"</f>
        <v>Buccola, Nicholas</v>
      </c>
      <c r="F2462" t="str">
        <f>"xii, 482 pages, 25 cm, illustrations"</f>
        <v>xii, 482 pages, 25 cm, illustrations</v>
      </c>
      <c r="G2462" s="1">
        <v>19</v>
      </c>
      <c r="H2462">
        <v>2019</v>
      </c>
      <c r="I2462" t="str">
        <f t="shared" si="96"/>
        <v>9: 300 - 399</v>
      </c>
      <c r="K2462" t="str">
        <f>"WB - In"</f>
        <v>WB - In</v>
      </c>
      <c r="L2462" s="1">
        <v>35</v>
      </c>
      <c r="M2462" t="s">
        <v>2279</v>
      </c>
      <c r="O2462" t="s">
        <v>28</v>
      </c>
      <c r="P2462">
        <v>0</v>
      </c>
      <c r="Q2462">
        <v>0</v>
      </c>
      <c r="R2462">
        <v>0</v>
      </c>
      <c r="S2462" s="2">
        <v>43811</v>
      </c>
      <c r="T2462" s="2">
        <v>43847</v>
      </c>
    </row>
    <row r="2463" spans="1:22" x14ac:dyDescent="0.2">
      <c r="A2463" t="str">
        <f>"NEW 306 CAR"</f>
        <v>NEW 306 CAR</v>
      </c>
      <c r="B2463" t="str">
        <f>"Alienated America: why some places thriv"</f>
        <v>Alienated America: why some places thriv</v>
      </c>
      <c r="C2463">
        <v>353469</v>
      </c>
      <c r="D2463" t="str">
        <f>"Carney, Timothy P.,"</f>
        <v>Carney, Timothy P.,</v>
      </c>
      <c r="F2463" t="str">
        <f>"xiv, 348 pages, 24 cm, illustrations"</f>
        <v>xiv, 348 pages, 24 cm, illustrations</v>
      </c>
      <c r="G2463" s="1">
        <v>19</v>
      </c>
      <c r="H2463">
        <v>2019</v>
      </c>
      <c r="I2463" t="str">
        <f t="shared" si="96"/>
        <v>9: 300 - 399</v>
      </c>
      <c r="K2463" t="str">
        <f>"WB - Problem"</f>
        <v>WB - Problem</v>
      </c>
      <c r="L2463" s="1">
        <v>33</v>
      </c>
      <c r="M2463" t="s">
        <v>405</v>
      </c>
      <c r="O2463" t="s">
        <v>28</v>
      </c>
      <c r="P2463">
        <v>5</v>
      </c>
      <c r="Q2463">
        <v>1</v>
      </c>
      <c r="R2463">
        <v>6</v>
      </c>
      <c r="S2463" s="2">
        <v>43532</v>
      </c>
      <c r="T2463" s="2">
        <v>43542</v>
      </c>
      <c r="U2463" s="2">
        <v>43693</v>
      </c>
      <c r="V2463" s="2">
        <v>43564</v>
      </c>
    </row>
    <row r="2464" spans="1:22" x14ac:dyDescent="0.2">
      <c r="A2464" t="str">
        <f>"NEW 306 DAU"</f>
        <v>NEW 306 DAU</v>
      </c>
      <c r="B2464" t="str">
        <f>"problem with everything: my journey thro"</f>
        <v>problem with everything: my journey thro</v>
      </c>
      <c r="C2464">
        <v>359209</v>
      </c>
      <c r="D2464" t="str">
        <f>"Daum, Meghan,"</f>
        <v>Daum, Meghan,</v>
      </c>
      <c r="F2464" t="str">
        <f>"xxiii, 224 pages, 24 cm"</f>
        <v>xxiii, 224 pages, 24 cm</v>
      </c>
      <c r="G2464" s="1">
        <v>19</v>
      </c>
      <c r="H2464">
        <v>2019</v>
      </c>
      <c r="I2464" t="str">
        <f t="shared" si="96"/>
        <v>9: 300 - 399</v>
      </c>
      <c r="K2464" t="str">
        <f>"WB - In"</f>
        <v>WB - In</v>
      </c>
      <c r="L2464" s="1">
        <v>32</v>
      </c>
      <c r="M2464" t="s">
        <v>2280</v>
      </c>
      <c r="O2464" t="s">
        <v>28</v>
      </c>
      <c r="P2464">
        <v>1</v>
      </c>
      <c r="Q2464">
        <v>0</v>
      </c>
      <c r="R2464">
        <v>1</v>
      </c>
      <c r="S2464" s="2">
        <v>43782</v>
      </c>
      <c r="T2464" s="2">
        <v>43805</v>
      </c>
      <c r="U2464" s="2">
        <v>43830</v>
      </c>
    </row>
    <row r="2465" spans="1:22" x14ac:dyDescent="0.2">
      <c r="A2465" t="str">
        <f>"NEW 306 STI"</f>
        <v>NEW 306 STI</v>
      </c>
      <c r="B2465" t="str">
        <f>"Measuring what counts: the global moveme"</f>
        <v>Measuring what counts: the global moveme</v>
      </c>
      <c r="C2465">
        <v>359564</v>
      </c>
      <c r="D2465" t="str">
        <f>"Stiglitz, Joseph E."</f>
        <v>Stiglitz, Joseph E.</v>
      </c>
      <c r="F2465" t="str">
        <f>"pages cm"</f>
        <v>pages cm</v>
      </c>
      <c r="G2465" s="1">
        <v>19</v>
      </c>
      <c r="H2465">
        <v>2019</v>
      </c>
      <c r="I2465" t="str">
        <f t="shared" si="96"/>
        <v>9: 300 - 399</v>
      </c>
      <c r="K2465" t="str">
        <f>"WB - In"</f>
        <v>WB - In</v>
      </c>
      <c r="L2465" s="1">
        <v>23</v>
      </c>
      <c r="M2465" t="s">
        <v>2281</v>
      </c>
      <c r="O2465" t="s">
        <v>28</v>
      </c>
      <c r="P2465">
        <v>0</v>
      </c>
      <c r="Q2465">
        <v>0</v>
      </c>
      <c r="R2465">
        <v>0</v>
      </c>
      <c r="S2465" s="2">
        <v>43802</v>
      </c>
      <c r="T2465" s="2">
        <v>43811</v>
      </c>
    </row>
    <row r="2466" spans="1:22" x14ac:dyDescent="0.2">
      <c r="A2466" t="str">
        <f>"NEW 306.2 BRY"</f>
        <v>NEW 306.2 BRY</v>
      </c>
      <c r="B2466" t="str">
        <f>"Full dissidence: notes from an uneven pl"</f>
        <v>Full dissidence: notes from an uneven pl</v>
      </c>
      <c r="C2466">
        <v>360433</v>
      </c>
      <c r="D2466" t="str">
        <f>"Bryant, Howard,"</f>
        <v>Bryant, Howard,</v>
      </c>
      <c r="F2466" t="str">
        <f>"187 p."</f>
        <v>187 p.</v>
      </c>
      <c r="G2466" s="1">
        <v>20</v>
      </c>
      <c r="H2466">
        <v>2020</v>
      </c>
      <c r="I2466" t="str">
        <f t="shared" si="96"/>
        <v>9: 300 - 399</v>
      </c>
      <c r="K2466" t="str">
        <f>"WB - Out"</f>
        <v>WB - Out</v>
      </c>
      <c r="L2466" s="1">
        <v>30</v>
      </c>
      <c r="M2466" t="s">
        <v>2282</v>
      </c>
      <c r="O2466" t="s">
        <v>28</v>
      </c>
      <c r="P2466">
        <v>1</v>
      </c>
      <c r="Q2466">
        <v>0</v>
      </c>
      <c r="R2466">
        <v>1</v>
      </c>
      <c r="S2466" s="2">
        <v>43851</v>
      </c>
      <c r="T2466" s="2">
        <v>43861</v>
      </c>
      <c r="U2466" s="2">
        <v>43861</v>
      </c>
    </row>
    <row r="2467" spans="1:22" x14ac:dyDescent="0.2">
      <c r="A2467" t="str">
        <f>"NEW 306.2 DON"</f>
        <v>NEW 306.2 DON</v>
      </c>
      <c r="B2467" t="str">
        <f>"Polarized: the collapse of truth, civili"</f>
        <v>Polarized: the collapse of truth, civili</v>
      </c>
      <c r="C2467">
        <v>360319</v>
      </c>
      <c r="D2467" t="str">
        <f>"Donehoo, Paris,"</f>
        <v>Donehoo, Paris,</v>
      </c>
      <c r="F2467" t="str">
        <f>"372 pages, 24 cm"</f>
        <v>372 pages, 24 cm</v>
      </c>
      <c r="G2467" s="1">
        <v>19</v>
      </c>
      <c r="H2467">
        <v>2019</v>
      </c>
      <c r="I2467" t="str">
        <f t="shared" si="96"/>
        <v>9: 300 - 399</v>
      </c>
      <c r="K2467" t="str">
        <f>"WB - In"</f>
        <v>WB - In</v>
      </c>
      <c r="L2467" s="1">
        <v>31</v>
      </c>
      <c r="M2467" t="s">
        <v>2283</v>
      </c>
      <c r="O2467" t="s">
        <v>28</v>
      </c>
      <c r="P2467">
        <v>0</v>
      </c>
      <c r="Q2467">
        <v>0</v>
      </c>
      <c r="R2467">
        <v>0</v>
      </c>
      <c r="S2467" s="2">
        <v>43844</v>
      </c>
      <c r="T2467" s="2">
        <v>43854</v>
      </c>
    </row>
    <row r="2468" spans="1:22" x14ac:dyDescent="0.2">
      <c r="A2468" t="str">
        <f>"NEW 306.3 BEL"</f>
        <v>NEW 306.3 BEL</v>
      </c>
      <c r="B2468" t="str">
        <f>"Stolen: five free boys kidnapped into sl"</f>
        <v>Stolen: five free boys kidnapped into sl</v>
      </c>
      <c r="C2468">
        <v>358897</v>
      </c>
      <c r="D2468" t="str">
        <f>"Bell, Richard,"</f>
        <v>Bell, Richard,</v>
      </c>
      <c r="F2468" t="str">
        <f>"318 p., 24 cm, illustrations"</f>
        <v>318 p., 24 cm, illustrations</v>
      </c>
      <c r="G2468" s="1">
        <v>19</v>
      </c>
      <c r="H2468">
        <v>2019</v>
      </c>
      <c r="I2468" t="str">
        <f t="shared" si="96"/>
        <v>9: 300 - 399</v>
      </c>
      <c r="K2468" t="str">
        <f>"WB - Out"</f>
        <v>WB - Out</v>
      </c>
      <c r="L2468" s="1">
        <v>32</v>
      </c>
      <c r="M2468" t="s">
        <v>2284</v>
      </c>
      <c r="O2468" t="s">
        <v>28</v>
      </c>
      <c r="P2468">
        <v>1</v>
      </c>
      <c r="Q2468">
        <v>0</v>
      </c>
      <c r="R2468">
        <v>1</v>
      </c>
      <c r="S2468" s="2">
        <v>43769</v>
      </c>
      <c r="T2468" s="2">
        <v>43805</v>
      </c>
      <c r="U2468" s="2">
        <v>43840</v>
      </c>
    </row>
    <row r="2469" spans="1:22" x14ac:dyDescent="0.2">
      <c r="A2469" t="str">
        <f>"NEW 306.7 BUS"</f>
        <v>NEW 306.7 BUS</v>
      </c>
      <c r="B2469" t="str">
        <f>"Is there still sex in the city?"</f>
        <v>Is there still sex in the city?</v>
      </c>
      <c r="C2469">
        <v>356827</v>
      </c>
      <c r="D2469" t="str">
        <f>"Bushnell, Candace"</f>
        <v>Bushnell, Candace</v>
      </c>
      <c r="F2469" t="str">
        <f>"261 pages, 22 cm"</f>
        <v>261 pages, 22 cm</v>
      </c>
      <c r="G2469" s="1">
        <v>19</v>
      </c>
      <c r="H2469">
        <v>2019</v>
      </c>
      <c r="I2469" t="str">
        <f t="shared" si="96"/>
        <v>9: 300 - 399</v>
      </c>
      <c r="K2469" t="str">
        <f>"WB - In"</f>
        <v>WB - In</v>
      </c>
      <c r="L2469" s="1">
        <v>31</v>
      </c>
      <c r="M2469" t="s">
        <v>2285</v>
      </c>
      <c r="O2469" t="s">
        <v>28</v>
      </c>
      <c r="P2469">
        <v>5</v>
      </c>
      <c r="Q2469">
        <v>0</v>
      </c>
      <c r="R2469">
        <v>5</v>
      </c>
      <c r="S2469" s="2">
        <v>43691</v>
      </c>
      <c r="T2469" s="2">
        <v>43699</v>
      </c>
      <c r="U2469" s="2">
        <v>43833</v>
      </c>
    </row>
    <row r="2470" spans="1:22" x14ac:dyDescent="0.2">
      <c r="A2470" t="str">
        <f>"NEW 306.87 HEF"</f>
        <v>NEW 306.87 HEF</v>
      </c>
      <c r="B2470" t="str">
        <f>"Grown and flown: how to support your tee"</f>
        <v>Grown and flown: how to support your tee</v>
      </c>
      <c r="C2470">
        <v>357253</v>
      </c>
      <c r="D2470" t="str">
        <f>"Heffernan, Lisa,"</f>
        <v>Heffernan, Lisa,</v>
      </c>
      <c r="F2470" t="str">
        <f>"330 p."</f>
        <v>330 p.</v>
      </c>
      <c r="G2470" s="1">
        <v>19</v>
      </c>
      <c r="H2470">
        <v>2019</v>
      </c>
      <c r="I2470" t="str">
        <f t="shared" si="96"/>
        <v>9: 300 - 399</v>
      </c>
      <c r="K2470" t="str">
        <f>"WB - In"</f>
        <v>WB - In</v>
      </c>
      <c r="L2470" s="1">
        <v>32</v>
      </c>
      <c r="M2470" t="s">
        <v>2286</v>
      </c>
      <c r="O2470" t="s">
        <v>28</v>
      </c>
      <c r="P2470">
        <v>4</v>
      </c>
      <c r="Q2470">
        <v>0</v>
      </c>
      <c r="R2470">
        <v>4</v>
      </c>
      <c r="S2470" s="2">
        <v>43711</v>
      </c>
      <c r="T2470" s="2">
        <v>43734</v>
      </c>
      <c r="U2470" s="2">
        <v>43845</v>
      </c>
    </row>
    <row r="2471" spans="1:22" x14ac:dyDescent="0.2">
      <c r="A2471" t="str">
        <f>"NEW 306.9 DOU"</f>
        <v>NEW 306.9 DOU</v>
      </c>
      <c r="B2471" t="str">
        <f>"Will my cat eat my eyeballs?: big questi"</f>
        <v>Will my cat eat my eyeballs?: big questi</v>
      </c>
      <c r="C2471">
        <v>357944</v>
      </c>
      <c r="D2471" t="str">
        <f>"Doughty, Caitlin."</f>
        <v>Doughty, Caitlin.</v>
      </c>
      <c r="F2471" t="str">
        <f>"xv, 222 pages, 22 cm, illustrations"</f>
        <v>xv, 222 pages, 22 cm, illustrations</v>
      </c>
      <c r="G2471" s="1">
        <v>19</v>
      </c>
      <c r="H2471">
        <v>2019</v>
      </c>
      <c r="I2471" t="str">
        <f t="shared" si="96"/>
        <v>9: 300 - 399</v>
      </c>
      <c r="K2471" t="str">
        <f>"WB - In"</f>
        <v>WB - In</v>
      </c>
      <c r="L2471" s="1">
        <v>31</v>
      </c>
      <c r="M2471" t="s">
        <v>2287</v>
      </c>
      <c r="O2471" t="s">
        <v>28</v>
      </c>
      <c r="P2471">
        <v>3</v>
      </c>
      <c r="Q2471">
        <v>0</v>
      </c>
      <c r="R2471">
        <v>3</v>
      </c>
      <c r="S2471" s="2">
        <v>43733</v>
      </c>
      <c r="T2471" s="2">
        <v>43749</v>
      </c>
      <c r="U2471" s="2">
        <v>43813</v>
      </c>
    </row>
    <row r="2472" spans="1:22" x14ac:dyDescent="0.2">
      <c r="A2472" t="str">
        <f>"NEW 306.9 MIL"</f>
        <v>NEW 306.9 MIL</v>
      </c>
      <c r="B2472" t="str">
        <f>"beginner's guide to the end: practical a"</f>
        <v>beginner's guide to the end: practical a</v>
      </c>
      <c r="C2472">
        <v>358851</v>
      </c>
      <c r="D2472" t="str">
        <f>"Miller, Bruce J.,"</f>
        <v>Miller, Bruce J.,</v>
      </c>
      <c r="F2472" t="str">
        <f>"520 p."</f>
        <v>520 p.</v>
      </c>
      <c r="G2472" s="1">
        <v>19</v>
      </c>
      <c r="H2472">
        <v>2019</v>
      </c>
      <c r="I2472" t="str">
        <f t="shared" si="96"/>
        <v>9: 300 - 399</v>
      </c>
      <c r="K2472" t="str">
        <f>"WB - In"</f>
        <v>WB - In</v>
      </c>
      <c r="L2472" s="1">
        <v>33</v>
      </c>
      <c r="M2472" t="s">
        <v>534</v>
      </c>
      <c r="O2472" t="s">
        <v>28</v>
      </c>
      <c r="P2472">
        <v>2</v>
      </c>
      <c r="Q2472">
        <v>0</v>
      </c>
      <c r="R2472">
        <v>2</v>
      </c>
      <c r="S2472" s="2">
        <v>43769</v>
      </c>
      <c r="T2472" s="2">
        <v>43781</v>
      </c>
      <c r="U2472" s="2">
        <v>43832</v>
      </c>
    </row>
    <row r="2473" spans="1:22" x14ac:dyDescent="0.2">
      <c r="A2473" t="str">
        <f>"NEW 307.76 SHA"</f>
        <v>NEW 307.76 SHA</v>
      </c>
      <c r="B2473" t="str">
        <f>"Generation priced out: who gets to live "</f>
        <v xml:space="preserve">Generation priced out: who gets to live </v>
      </c>
      <c r="C2473">
        <v>356822</v>
      </c>
      <c r="D2473" t="str">
        <f>"Shaw, Randy,"</f>
        <v>Shaw, Randy,</v>
      </c>
      <c r="F2473" t="str">
        <f>"249 p."</f>
        <v>249 p.</v>
      </c>
      <c r="G2473" s="1">
        <v>19</v>
      </c>
      <c r="H2473">
        <v>2018</v>
      </c>
      <c r="I2473" t="str">
        <f t="shared" si="96"/>
        <v>9: 300 - 399</v>
      </c>
      <c r="K2473" t="str">
        <f>"LL - In"</f>
        <v>LL - In</v>
      </c>
      <c r="L2473" s="1">
        <v>35</v>
      </c>
      <c r="M2473" t="s">
        <v>2288</v>
      </c>
      <c r="O2473" t="s">
        <v>28</v>
      </c>
      <c r="P2473">
        <v>2</v>
      </c>
      <c r="Q2473">
        <v>1</v>
      </c>
      <c r="R2473">
        <v>3</v>
      </c>
      <c r="S2473" s="2">
        <v>43691</v>
      </c>
      <c r="T2473" s="2">
        <v>43741</v>
      </c>
      <c r="U2473" s="2">
        <v>43801</v>
      </c>
      <c r="V2473" s="2">
        <v>43836</v>
      </c>
    </row>
    <row r="2474" spans="1:22" x14ac:dyDescent="0.2">
      <c r="A2474" t="str">
        <f>"NEW 320.51 TRA"</f>
        <v>NEW 320.51 TRA</v>
      </c>
      <c r="B2474" t="str">
        <f>"What was liberalism?: the past, present "</f>
        <v xml:space="preserve">What was liberalism?: the past, present </v>
      </c>
      <c r="C2474">
        <v>358362</v>
      </c>
      <c r="D2474" t="str">
        <f>"Traub, James."</f>
        <v>Traub, James.</v>
      </c>
      <c r="F2474" t="str">
        <f>"vii, 311 pages, 25 cm"</f>
        <v>vii, 311 pages, 25 cm</v>
      </c>
      <c r="G2474" s="1">
        <v>19</v>
      </c>
      <c r="H2474">
        <v>2019</v>
      </c>
      <c r="I2474" t="str">
        <f t="shared" si="96"/>
        <v>9: 300 - 399</v>
      </c>
      <c r="K2474" t="str">
        <f>"WB - In"</f>
        <v>WB - In</v>
      </c>
      <c r="L2474" s="1">
        <v>35</v>
      </c>
      <c r="M2474" t="s">
        <v>2289</v>
      </c>
      <c r="O2474" t="s">
        <v>28</v>
      </c>
      <c r="P2474">
        <v>2</v>
      </c>
      <c r="Q2474">
        <v>0</v>
      </c>
      <c r="R2474">
        <v>2</v>
      </c>
      <c r="S2474" s="2">
        <v>43749</v>
      </c>
      <c r="T2474" s="2">
        <v>43766</v>
      </c>
      <c r="U2474" s="2">
        <v>43810</v>
      </c>
    </row>
    <row r="2475" spans="1:22" x14ac:dyDescent="0.2">
      <c r="A2475" t="str">
        <f>"NEW 320.52 TRU"</f>
        <v>NEW 320.52 TRU</v>
      </c>
      <c r="B2475" t="str">
        <f>"Triggered: how the left thrives on hate "</f>
        <v xml:space="preserve">Triggered: how the left thrives on hate </v>
      </c>
      <c r="C2475">
        <v>360256</v>
      </c>
      <c r="D2475" t="str">
        <f>"Trump, Donald"</f>
        <v>Trump, Donald</v>
      </c>
      <c r="F2475" t="str">
        <f>"294 pages, 24 cm, illustrations (chiefly color)"</f>
        <v>294 pages, 24 cm, illustrations (chiefly color)</v>
      </c>
      <c r="G2475" s="1">
        <v>19</v>
      </c>
      <c r="H2475">
        <v>2019</v>
      </c>
      <c r="I2475" t="str">
        <f t="shared" si="96"/>
        <v>9: 300 - 399</v>
      </c>
      <c r="K2475" t="str">
        <f>"WB - Reserve Cart"</f>
        <v>WB - Reserve Cart</v>
      </c>
      <c r="L2475" s="1">
        <v>35</v>
      </c>
      <c r="M2475" t="s">
        <v>2290</v>
      </c>
      <c r="O2475" t="s">
        <v>28</v>
      </c>
      <c r="P2475">
        <v>0</v>
      </c>
      <c r="Q2475">
        <v>0</v>
      </c>
      <c r="R2475">
        <v>0</v>
      </c>
      <c r="S2475" s="2">
        <v>43844</v>
      </c>
      <c r="T2475" s="2">
        <v>43861</v>
      </c>
    </row>
    <row r="2476" spans="1:22" x14ac:dyDescent="0.2">
      <c r="A2476" t="str">
        <f>"NEW 320.97 LES"</f>
        <v>NEW 320.97 LES</v>
      </c>
      <c r="B2476" t="str">
        <f>"They don't represent us: reclaiming our "</f>
        <v xml:space="preserve">They don't represent us: reclaiming our </v>
      </c>
      <c r="C2476">
        <v>360251</v>
      </c>
      <c r="D2476" t="str">
        <f>"Lessig, Lawrence."</f>
        <v>Lessig, Lawrence.</v>
      </c>
      <c r="F2476" t="str">
        <f>"xv, 334 pages, 24 cm"</f>
        <v>xv, 334 pages, 24 cm</v>
      </c>
      <c r="G2476" s="1">
        <v>19</v>
      </c>
      <c r="H2476">
        <v>2019</v>
      </c>
      <c r="I2476" t="str">
        <f t="shared" si="96"/>
        <v>9: 300 - 399</v>
      </c>
      <c r="K2476" t="str">
        <f>"WB - In"</f>
        <v>WB - In</v>
      </c>
      <c r="L2476" s="1">
        <v>32</v>
      </c>
      <c r="M2476" t="s">
        <v>2291</v>
      </c>
      <c r="O2476" t="s">
        <v>28</v>
      </c>
      <c r="P2476">
        <v>0</v>
      </c>
      <c r="Q2476">
        <v>0</v>
      </c>
      <c r="R2476">
        <v>0</v>
      </c>
      <c r="S2476" s="2">
        <v>43844</v>
      </c>
      <c r="T2476" s="2">
        <v>43854</v>
      </c>
    </row>
    <row r="2477" spans="1:22" x14ac:dyDescent="0.2">
      <c r="A2477" t="str">
        <f>"NEW 320.97 SIT"</f>
        <v>NEW 320.97 SIT</v>
      </c>
      <c r="B2477" t="str">
        <f>"The great democracy: how to fix our poli"</f>
        <v>The great democracy: how to fix our poli</v>
      </c>
      <c r="C2477">
        <v>360219</v>
      </c>
      <c r="D2477" t="str">
        <f>"Sitaraman, Ganesh"</f>
        <v>Sitaraman, Ganesh</v>
      </c>
      <c r="F2477" t="str">
        <f>"v, 253 pages, 25 cm"</f>
        <v>v, 253 pages, 25 cm</v>
      </c>
      <c r="G2477" s="1">
        <v>19</v>
      </c>
      <c r="H2477">
        <v>2019</v>
      </c>
      <c r="I2477" t="str">
        <f t="shared" si="96"/>
        <v>9: 300 - 399</v>
      </c>
      <c r="K2477" t="str">
        <f>"LL - In"</f>
        <v>LL - In</v>
      </c>
      <c r="L2477" s="1">
        <v>33</v>
      </c>
      <c r="M2477" t="s">
        <v>2292</v>
      </c>
      <c r="O2477" t="s">
        <v>28</v>
      </c>
      <c r="P2477">
        <v>0</v>
      </c>
      <c r="Q2477">
        <v>0</v>
      </c>
      <c r="R2477">
        <v>0</v>
      </c>
      <c r="S2477" s="2">
        <v>43844</v>
      </c>
      <c r="T2477" s="2">
        <v>43854</v>
      </c>
    </row>
    <row r="2478" spans="1:22" x14ac:dyDescent="0.2">
      <c r="A2478" t="str">
        <f>"NEW 322 LEN"</f>
        <v>NEW 322 LEN</v>
      </c>
      <c r="B2478" t="str">
        <f>"God land: a story of faith, loss, and re"</f>
        <v>God land: a story of faith, loss, and re</v>
      </c>
      <c r="C2478">
        <v>356859</v>
      </c>
      <c r="D2478" t="str">
        <f>"Lenz, Lyz"</f>
        <v>Lenz, Lyz</v>
      </c>
      <c r="F2478" t="str">
        <f>"viii, 151 pages, 24 cm"</f>
        <v>viii, 151 pages, 24 cm</v>
      </c>
      <c r="G2478" s="1">
        <v>19</v>
      </c>
      <c r="H2478">
        <v>2019</v>
      </c>
      <c r="I2478" t="str">
        <f t="shared" si="96"/>
        <v>9: 300 - 399</v>
      </c>
      <c r="K2478" t="str">
        <f>"LL - In"</f>
        <v>LL - In</v>
      </c>
      <c r="L2478" s="1">
        <v>27</v>
      </c>
      <c r="M2478" t="s">
        <v>2293</v>
      </c>
      <c r="O2478" t="s">
        <v>28</v>
      </c>
      <c r="P2478">
        <v>2</v>
      </c>
      <c r="Q2478">
        <v>0</v>
      </c>
      <c r="R2478">
        <v>2</v>
      </c>
      <c r="S2478" s="2">
        <v>43691</v>
      </c>
      <c r="T2478" s="2">
        <v>43714</v>
      </c>
      <c r="U2478" s="2">
        <v>43815</v>
      </c>
    </row>
    <row r="2479" spans="1:22" x14ac:dyDescent="0.2">
      <c r="A2479" t="str">
        <f>"NEW 323 STR"</f>
        <v>NEW 323 STR</v>
      </c>
      <c r="B2479" t="str">
        <f>"Resistance (at all costs): how Trump hat"</f>
        <v>Resistance (at all costs): how Trump hat</v>
      </c>
      <c r="C2479">
        <v>358558</v>
      </c>
      <c r="D2479" t="str">
        <f>"Strassel, Kimberley A."</f>
        <v>Strassel, Kimberley A.</v>
      </c>
      <c r="F2479" t="str">
        <f>"220 p."</f>
        <v>220 p.</v>
      </c>
      <c r="G2479" s="1">
        <v>19</v>
      </c>
      <c r="H2479">
        <v>2019</v>
      </c>
      <c r="I2479" t="str">
        <f t="shared" si="96"/>
        <v>9: 300 - 399</v>
      </c>
      <c r="K2479" t="str">
        <f>"WB - In"</f>
        <v>WB - In</v>
      </c>
      <c r="L2479" s="1">
        <v>33</v>
      </c>
      <c r="M2479" t="s">
        <v>2294</v>
      </c>
      <c r="O2479" t="s">
        <v>28</v>
      </c>
      <c r="P2479">
        <v>4</v>
      </c>
      <c r="Q2479">
        <v>0</v>
      </c>
      <c r="R2479">
        <v>4</v>
      </c>
      <c r="S2479" s="2">
        <v>43756</v>
      </c>
      <c r="T2479" s="2">
        <v>43770</v>
      </c>
      <c r="U2479" s="2">
        <v>43828</v>
      </c>
    </row>
    <row r="2480" spans="1:22" x14ac:dyDescent="0.2">
      <c r="A2480" t="str">
        <f>"NEW 323.4 FIS"</f>
        <v>NEW 323.4 FIS</v>
      </c>
      <c r="B2480" t="str">
        <f>"first: how to think about hate speech, c"</f>
        <v>first: how to think about hate speech, c</v>
      </c>
      <c r="C2480">
        <v>359190</v>
      </c>
      <c r="D2480" t="str">
        <f>"Fish, Stanley Eugene."</f>
        <v>Fish, Stanley Eugene.</v>
      </c>
      <c r="F2480" t="str">
        <f>"228 pages, 22 cm"</f>
        <v>228 pages, 22 cm</v>
      </c>
      <c r="G2480" s="1">
        <v>19</v>
      </c>
      <c r="H2480">
        <v>2019</v>
      </c>
      <c r="I2480" t="str">
        <f t="shared" si="96"/>
        <v>9: 300 - 399</v>
      </c>
      <c r="K2480" t="str">
        <f>"WB - In"</f>
        <v>WB - In</v>
      </c>
      <c r="L2480" s="1">
        <v>31</v>
      </c>
      <c r="M2480" t="s">
        <v>2295</v>
      </c>
      <c r="O2480" t="s">
        <v>28</v>
      </c>
      <c r="P2480">
        <v>1</v>
      </c>
      <c r="Q2480">
        <v>0</v>
      </c>
      <c r="R2480">
        <v>1</v>
      </c>
      <c r="S2480" s="2">
        <v>43782</v>
      </c>
      <c r="T2480" s="2">
        <v>43811</v>
      </c>
      <c r="U2480" s="2">
        <v>43832</v>
      </c>
    </row>
    <row r="2481" spans="1:22" x14ac:dyDescent="0.2">
      <c r="A2481" t="str">
        <f>"NEW 323.4 MUR"</f>
        <v>NEW 323.4 MUR</v>
      </c>
      <c r="B2481" t="str">
        <f>"madness of crowds: gender, race and iden"</f>
        <v>madness of crowds: gender, race and iden</v>
      </c>
      <c r="C2481">
        <v>359380</v>
      </c>
      <c r="D2481" t="str">
        <f>"Murray, Douglas"</f>
        <v>Murray, Douglas</v>
      </c>
      <c r="F2481" t="str">
        <f>"280 p., 25 cm"</f>
        <v>280 p., 25 cm</v>
      </c>
      <c r="G2481" s="1">
        <v>19</v>
      </c>
      <c r="H2481">
        <v>2019</v>
      </c>
      <c r="I2481" t="str">
        <f t="shared" si="96"/>
        <v>9: 300 - 399</v>
      </c>
      <c r="K2481" t="str">
        <f>"WB - In"</f>
        <v>WB - In</v>
      </c>
      <c r="L2481" s="1">
        <v>33</v>
      </c>
      <c r="M2481" t="s">
        <v>2296</v>
      </c>
      <c r="O2481" t="s">
        <v>28</v>
      </c>
      <c r="P2481">
        <v>2</v>
      </c>
      <c r="Q2481">
        <v>0</v>
      </c>
      <c r="R2481">
        <v>2</v>
      </c>
      <c r="S2481" s="2">
        <v>43788</v>
      </c>
      <c r="T2481" s="2">
        <v>43805</v>
      </c>
      <c r="U2481" s="2">
        <v>43830</v>
      </c>
    </row>
    <row r="2482" spans="1:22" x14ac:dyDescent="0.2">
      <c r="A2482" t="str">
        <f>"NEW 324 HER"</f>
        <v>NEW 324 HER</v>
      </c>
      <c r="B2482" t="str">
        <f>"Politics Is for power: how to move beyon"</f>
        <v>Politics Is for power: how to move beyon</v>
      </c>
      <c r="C2482">
        <v>360398</v>
      </c>
      <c r="D2482" t="str">
        <f>"Hersh, Eitan."</f>
        <v>Hersh, Eitan.</v>
      </c>
      <c r="G2482" s="1">
        <v>20</v>
      </c>
      <c r="H2482">
        <v>2020</v>
      </c>
      <c r="I2482" t="str">
        <f t="shared" si="96"/>
        <v>9: 300 - 399</v>
      </c>
      <c r="K2482" t="str">
        <f>"WB - Transit"</f>
        <v>WB - Transit</v>
      </c>
      <c r="L2482" s="1">
        <v>32</v>
      </c>
      <c r="M2482" t="s">
        <v>2297</v>
      </c>
      <c r="O2482" t="s">
        <v>28</v>
      </c>
      <c r="P2482">
        <v>0</v>
      </c>
      <c r="Q2482">
        <v>0</v>
      </c>
      <c r="R2482">
        <v>0</v>
      </c>
      <c r="S2482" s="2">
        <v>43851</v>
      </c>
      <c r="T2482" s="2">
        <v>43861</v>
      </c>
    </row>
    <row r="2483" spans="1:22" x14ac:dyDescent="0.2">
      <c r="A2483" t="str">
        <f>"NEW 324.2 GRE"</f>
        <v>NEW 324.2 GRE</v>
      </c>
      <c r="B2483" t="str">
        <f>"RIP GOP: How the new America is dooming "</f>
        <v xml:space="preserve">RIP GOP: How the new America is dooming </v>
      </c>
      <c r="C2483">
        <v>357919</v>
      </c>
      <c r="D2483" t="str">
        <f>"Greenberg, Stanley B.,"</f>
        <v>Greenberg, Stanley B.,</v>
      </c>
      <c r="F2483" t="str">
        <f>"328 pages, 25 cm, illustrations, map"</f>
        <v>328 pages, 25 cm, illustrations, map</v>
      </c>
      <c r="G2483" s="1">
        <v>19</v>
      </c>
      <c r="H2483">
        <v>2019</v>
      </c>
      <c r="I2483" t="str">
        <f t="shared" si="96"/>
        <v>9: 300 - 399</v>
      </c>
      <c r="K2483" t="str">
        <f>"LL - In"</f>
        <v>LL - In</v>
      </c>
      <c r="L2483" s="1">
        <v>35</v>
      </c>
      <c r="M2483" t="s">
        <v>2298</v>
      </c>
      <c r="O2483" t="s">
        <v>28</v>
      </c>
      <c r="P2483">
        <v>2</v>
      </c>
      <c r="Q2483">
        <v>0</v>
      </c>
      <c r="R2483">
        <v>2</v>
      </c>
      <c r="S2483" s="2">
        <v>43733</v>
      </c>
      <c r="T2483" s="2">
        <v>43749</v>
      </c>
      <c r="U2483" s="2">
        <v>43835</v>
      </c>
    </row>
    <row r="2484" spans="1:22" x14ac:dyDescent="0.2">
      <c r="A2484" t="str">
        <f>"NEW 324.2 KUT"</f>
        <v>NEW 324.2 KUT</v>
      </c>
      <c r="B2484" t="str">
        <f>"stakes: 2020 and the survival of America"</f>
        <v>stakes: 2020 and the survival of America</v>
      </c>
      <c r="C2484">
        <v>357455</v>
      </c>
      <c r="D2484" t="str">
        <f>"Kuttner, Robert"</f>
        <v>Kuttner, Robert</v>
      </c>
      <c r="F2484" t="str">
        <f>"xviii, 282 pages, 25 cm"</f>
        <v>xviii, 282 pages, 25 cm</v>
      </c>
      <c r="G2484" s="1">
        <v>19</v>
      </c>
      <c r="H2484">
        <v>2019</v>
      </c>
      <c r="I2484" t="str">
        <f t="shared" si="96"/>
        <v>9: 300 - 399</v>
      </c>
      <c r="K2484" t="str">
        <f>"WB - In"</f>
        <v>WB - In</v>
      </c>
      <c r="L2484" s="1">
        <v>32</v>
      </c>
      <c r="M2484" t="s">
        <v>2299</v>
      </c>
      <c r="O2484" t="s">
        <v>28</v>
      </c>
      <c r="P2484">
        <v>2</v>
      </c>
      <c r="Q2484">
        <v>0</v>
      </c>
      <c r="R2484">
        <v>2</v>
      </c>
      <c r="S2484" s="2">
        <v>43718</v>
      </c>
      <c r="T2484" s="2">
        <v>43734</v>
      </c>
      <c r="U2484" s="2">
        <v>43760</v>
      </c>
    </row>
    <row r="2485" spans="1:22" x14ac:dyDescent="0.2">
      <c r="A2485" t="str">
        <f>"NEW 324.2 LIM"</f>
        <v>NEW 324.2 LIM</v>
      </c>
      <c r="B2485" t="str">
        <f>"Guilty by reason of insanity: why the De"</f>
        <v>Guilty by reason of insanity: why the De</v>
      </c>
      <c r="C2485">
        <v>359192</v>
      </c>
      <c r="D2485" t="str">
        <f>"Limbaugh, David."</f>
        <v>Limbaugh, David.</v>
      </c>
      <c r="F2485" t="str">
        <f>"xiii, 482 pages, 24 cm"</f>
        <v>xiii, 482 pages, 24 cm</v>
      </c>
      <c r="G2485" s="1">
        <v>19</v>
      </c>
      <c r="H2485">
        <v>2019</v>
      </c>
      <c r="I2485" t="str">
        <f t="shared" si="96"/>
        <v>9: 300 - 399</v>
      </c>
      <c r="K2485" t="str">
        <f>"LL - Out"</f>
        <v>LL - Out</v>
      </c>
      <c r="L2485" s="1">
        <v>35</v>
      </c>
      <c r="M2485" t="s">
        <v>2300</v>
      </c>
      <c r="O2485" t="s">
        <v>28</v>
      </c>
      <c r="P2485">
        <v>2</v>
      </c>
      <c r="Q2485">
        <v>0</v>
      </c>
      <c r="R2485">
        <v>2</v>
      </c>
      <c r="S2485" s="2">
        <v>43782</v>
      </c>
      <c r="T2485" s="2">
        <v>43791</v>
      </c>
      <c r="U2485" s="2">
        <v>43849</v>
      </c>
    </row>
    <row r="2486" spans="1:22" x14ac:dyDescent="0.2">
      <c r="A2486" t="str">
        <f>"NEW 324.2 MAX"</f>
        <v>NEW 324.2 MAX</v>
      </c>
      <c r="B2486" t="str">
        <f>"long southern strategy: how chasing whit"</f>
        <v>long southern strategy: how chasing whit</v>
      </c>
      <c r="C2486">
        <v>357652</v>
      </c>
      <c r="D2486" t="str">
        <f>"Maxwell, Angie,"</f>
        <v>Maxwell, Angie,</v>
      </c>
      <c r="F2486" t="str">
        <f>"534 p."</f>
        <v>534 p.</v>
      </c>
      <c r="G2486" s="1">
        <v>19</v>
      </c>
      <c r="H2486">
        <v>2019</v>
      </c>
      <c r="I2486" t="str">
        <f t="shared" si="96"/>
        <v>9: 300 - 399</v>
      </c>
      <c r="K2486" t="str">
        <f>"LL - In"</f>
        <v>LL - In</v>
      </c>
      <c r="L2486" s="1">
        <v>40</v>
      </c>
      <c r="M2486" t="s">
        <v>2301</v>
      </c>
      <c r="O2486" t="s">
        <v>28</v>
      </c>
      <c r="P2486">
        <v>0</v>
      </c>
      <c r="Q2486">
        <v>1</v>
      </c>
      <c r="R2486">
        <v>1</v>
      </c>
      <c r="S2486" s="2">
        <v>43725</v>
      </c>
      <c r="T2486" s="2">
        <v>43749</v>
      </c>
      <c r="V2486" s="2">
        <v>43813</v>
      </c>
    </row>
    <row r="2487" spans="1:22" x14ac:dyDescent="0.2">
      <c r="A2487" t="str">
        <f>"NEW 324.6 JAR"</f>
        <v>NEW 324.6 JAR</v>
      </c>
      <c r="B2487" t="str">
        <f>"Witch hunt: the story of the greatest ma"</f>
        <v>Witch hunt: the story of the greatest ma</v>
      </c>
      <c r="C2487">
        <v>358904</v>
      </c>
      <c r="D2487" t="str">
        <f>"Jarrett, Gregg."</f>
        <v>Jarrett, Gregg.</v>
      </c>
      <c r="F2487" t="str">
        <f>"xxii, 516 pages, 24 cm"</f>
        <v>xxii, 516 pages, 24 cm</v>
      </c>
      <c r="G2487" s="1">
        <v>19</v>
      </c>
      <c r="H2487">
        <v>2019</v>
      </c>
      <c r="I2487" t="str">
        <f t="shared" si="96"/>
        <v>9: 300 - 399</v>
      </c>
      <c r="K2487" t="str">
        <f>"WB - In"</f>
        <v>WB - In</v>
      </c>
      <c r="L2487" s="1">
        <v>35</v>
      </c>
      <c r="M2487" t="s">
        <v>2302</v>
      </c>
      <c r="O2487" t="s">
        <v>28</v>
      </c>
      <c r="P2487">
        <v>4</v>
      </c>
      <c r="Q2487">
        <v>0</v>
      </c>
      <c r="R2487">
        <v>4</v>
      </c>
      <c r="S2487" s="2">
        <v>43769</v>
      </c>
      <c r="T2487" s="2">
        <v>43781</v>
      </c>
      <c r="U2487" s="2">
        <v>43843</v>
      </c>
    </row>
    <row r="2488" spans="1:22" x14ac:dyDescent="0.2">
      <c r="A2488" t="str">
        <f>"NEW 324.6 MCC"</f>
        <v>NEW 324.6 MCC</v>
      </c>
      <c r="B2488" t="str">
        <f>"Ball of collusion: the plot to rig an el"</f>
        <v>Ball of collusion: the plot to rig an el</v>
      </c>
      <c r="C2488">
        <v>357544</v>
      </c>
      <c r="D2488" t="str">
        <f>"McCarthy, Andrew C."</f>
        <v>McCarthy, Andrew C.</v>
      </c>
      <c r="F2488" t="str">
        <f>"350 p."</f>
        <v>350 p.</v>
      </c>
      <c r="G2488" s="1">
        <v>19</v>
      </c>
      <c r="H2488">
        <v>2019</v>
      </c>
      <c r="I2488" t="str">
        <f t="shared" si="96"/>
        <v>9: 300 - 399</v>
      </c>
      <c r="K2488" t="str">
        <f>"WB - In"</f>
        <v>WB - In</v>
      </c>
      <c r="L2488" s="1">
        <v>41</v>
      </c>
      <c r="M2488" t="s">
        <v>2303</v>
      </c>
      <c r="O2488" t="s">
        <v>28</v>
      </c>
      <c r="P2488">
        <v>4</v>
      </c>
      <c r="Q2488">
        <v>0</v>
      </c>
      <c r="R2488">
        <v>4</v>
      </c>
      <c r="S2488" s="2">
        <v>43719</v>
      </c>
      <c r="T2488" s="2">
        <v>43734</v>
      </c>
      <c r="U2488" s="2">
        <v>43833</v>
      </c>
    </row>
    <row r="2489" spans="1:22" x14ac:dyDescent="0.2">
      <c r="A2489" t="str">
        <f>"NEW 324.6 MUE"</f>
        <v>NEW 324.6 MUE</v>
      </c>
      <c r="B2489" t="str">
        <f>"Mueller report"</f>
        <v>Mueller report</v>
      </c>
      <c r="C2489">
        <v>354788</v>
      </c>
      <c r="F2489" t="str">
        <f>"729 pages, 23 cm, illustrations"</f>
        <v>729 pages, 23 cm, illustrations</v>
      </c>
      <c r="G2489" s="1">
        <v>19</v>
      </c>
      <c r="H2489">
        <v>2019</v>
      </c>
      <c r="I2489" t="str">
        <f t="shared" si="96"/>
        <v>9: 300 - 399</v>
      </c>
      <c r="K2489" t="str">
        <f>"WB - Problem"</f>
        <v>WB - Problem</v>
      </c>
      <c r="L2489" s="1">
        <v>20</v>
      </c>
      <c r="M2489" t="s">
        <v>2304</v>
      </c>
      <c r="O2489" t="s">
        <v>28</v>
      </c>
      <c r="P2489">
        <v>6</v>
      </c>
      <c r="Q2489">
        <v>0</v>
      </c>
      <c r="R2489">
        <v>6</v>
      </c>
      <c r="S2489" s="2">
        <v>43602</v>
      </c>
      <c r="T2489" s="2">
        <v>43626</v>
      </c>
      <c r="U2489" s="2">
        <v>43687</v>
      </c>
    </row>
    <row r="2490" spans="1:22" x14ac:dyDescent="0.2">
      <c r="A2490" t="str">
        <f>"NEW 324.6 SIM"</f>
        <v>NEW 324.6 SIM</v>
      </c>
      <c r="B2490" t="str">
        <f>"Crime in progress: inside the Steele dos"</f>
        <v>Crime in progress: inside the Steele dos</v>
      </c>
      <c r="C2490">
        <v>359849</v>
      </c>
      <c r="D2490" t="str">
        <f>"Simpson, Glenn R."</f>
        <v>Simpson, Glenn R.</v>
      </c>
      <c r="F2490" t="str">
        <f>"346 pages, 25 cm"</f>
        <v>346 pages, 25 cm</v>
      </c>
      <c r="G2490" s="1">
        <v>19</v>
      </c>
      <c r="H2490">
        <v>2019</v>
      </c>
      <c r="I2490" t="str">
        <f t="shared" si="96"/>
        <v>9: 300 - 399</v>
      </c>
      <c r="K2490" t="str">
        <f>"WB - Out"</f>
        <v>WB - Out</v>
      </c>
      <c r="L2490" s="1">
        <v>35</v>
      </c>
      <c r="M2490" t="s">
        <v>2305</v>
      </c>
      <c r="O2490" t="s">
        <v>28</v>
      </c>
      <c r="P2490">
        <v>2</v>
      </c>
      <c r="Q2490">
        <v>0</v>
      </c>
      <c r="R2490">
        <v>2</v>
      </c>
      <c r="S2490" s="2">
        <v>43815</v>
      </c>
      <c r="T2490" s="2">
        <v>43819</v>
      </c>
      <c r="U2490" s="2">
        <v>43836</v>
      </c>
    </row>
    <row r="2491" spans="1:22" x14ac:dyDescent="0.2">
      <c r="A2491" t="str">
        <f>"NEW 324.7 KAI"</f>
        <v>NEW 324.7 KAI</v>
      </c>
      <c r="B2491" t="str">
        <f>"Targeted: the Cambridge Analytica whistl"</f>
        <v>Targeted: the Cambridge Analytica whistl</v>
      </c>
      <c r="C2491">
        <v>359058</v>
      </c>
      <c r="D2491" t="str">
        <f>"Kaiser, Brittany"</f>
        <v>Kaiser, Brittany</v>
      </c>
      <c r="F2491" t="str">
        <f>"392 pages, 8 unnumbered pages of plates, 24 cm, color illustrations"</f>
        <v>392 pages, 8 unnumbered pages of plates, 24 cm, color illustrations</v>
      </c>
      <c r="G2491" s="1">
        <v>19</v>
      </c>
      <c r="H2491">
        <v>2019</v>
      </c>
      <c r="I2491" t="str">
        <f t="shared" si="96"/>
        <v>9: 300 - 399</v>
      </c>
      <c r="K2491" t="str">
        <f>"WB - In"</f>
        <v>WB - In</v>
      </c>
      <c r="L2491" s="1">
        <v>34</v>
      </c>
      <c r="M2491" t="s">
        <v>2306</v>
      </c>
      <c r="O2491" t="s">
        <v>28</v>
      </c>
      <c r="P2491">
        <v>0</v>
      </c>
      <c r="Q2491">
        <v>0</v>
      </c>
      <c r="R2491">
        <v>0</v>
      </c>
      <c r="S2491" s="2">
        <v>43776</v>
      </c>
      <c r="T2491" s="2">
        <v>43805</v>
      </c>
    </row>
    <row r="2492" spans="1:22" x14ac:dyDescent="0.2">
      <c r="A2492" t="str">
        <f>"NEW 324.7 PON"</f>
        <v>NEW 324.7 PON</v>
      </c>
      <c r="B2492" t="str">
        <f>"Audience of one: Donald Trump, televisio"</f>
        <v>Audience of one: Donald Trump, televisio</v>
      </c>
      <c r="C2492">
        <v>357622</v>
      </c>
      <c r="D2492" t="str">
        <f>"Poniewozik, James"</f>
        <v>Poniewozik, James</v>
      </c>
      <c r="F2492" t="str">
        <f>"xxiii, 325 pages, 25 cm"</f>
        <v>xxiii, 325 pages, 25 cm</v>
      </c>
      <c r="G2492" s="1">
        <v>19</v>
      </c>
      <c r="H2492">
        <v>2019</v>
      </c>
      <c r="I2492" t="str">
        <f t="shared" si="96"/>
        <v>9: 300 - 399</v>
      </c>
      <c r="K2492" t="str">
        <f>"WB - In"</f>
        <v>WB - In</v>
      </c>
      <c r="L2492" s="1">
        <v>33</v>
      </c>
      <c r="M2492" t="s">
        <v>2307</v>
      </c>
      <c r="O2492" t="s">
        <v>28</v>
      </c>
      <c r="P2492">
        <v>1</v>
      </c>
      <c r="Q2492">
        <v>0</v>
      </c>
      <c r="R2492">
        <v>1</v>
      </c>
      <c r="S2492" s="2">
        <v>43725</v>
      </c>
      <c r="T2492" s="2">
        <v>43766</v>
      </c>
      <c r="U2492" s="2">
        <v>43785</v>
      </c>
    </row>
    <row r="2493" spans="1:22" x14ac:dyDescent="0.2">
      <c r="A2493" t="str">
        <f>"NEW 324.7 ROD"</f>
        <v>NEW 324.7 ROD</v>
      </c>
      <c r="B2493" t="str">
        <f>"Run Jane run...we need you in office: wh"</f>
        <v>Run Jane run...we need you in office: wh</v>
      </c>
      <c r="C2493">
        <v>357568</v>
      </c>
      <c r="D2493" t="str">
        <f>"Rodriguez, Maria."</f>
        <v>Rodriguez, Maria.</v>
      </c>
      <c r="F2493" t="str">
        <f>"232 p."</f>
        <v>232 p.</v>
      </c>
      <c r="G2493" s="1">
        <v>19</v>
      </c>
      <c r="H2493">
        <v>2018</v>
      </c>
      <c r="I2493" t="str">
        <f t="shared" si="96"/>
        <v>9: 300 - 399</v>
      </c>
      <c r="K2493" t="str">
        <f>"LL - In"</f>
        <v>LL - In</v>
      </c>
      <c r="L2493" s="1">
        <v>25</v>
      </c>
      <c r="M2493" t="s">
        <v>2308</v>
      </c>
      <c r="O2493" t="s">
        <v>28</v>
      </c>
      <c r="P2493">
        <v>0</v>
      </c>
      <c r="Q2493">
        <v>0</v>
      </c>
      <c r="R2493">
        <v>0</v>
      </c>
      <c r="S2493" s="2">
        <v>43719</v>
      </c>
      <c r="T2493" s="2">
        <v>43749</v>
      </c>
    </row>
    <row r="2494" spans="1:22" x14ac:dyDescent="0.2">
      <c r="A2494" t="str">
        <f>"NEW 325 DAV"</f>
        <v>NEW 325 DAV</v>
      </c>
      <c r="B2494" t="str">
        <f>"Border wars: inside Trump's assault on i"</f>
        <v>Border wars: inside Trump's assault on i</v>
      </c>
      <c r="C2494">
        <v>358679</v>
      </c>
      <c r="D2494" t="str">
        <f>"Davis, Julie Hirschfeld"</f>
        <v>Davis, Julie Hirschfeld</v>
      </c>
      <c r="F2494" t="str">
        <f>"viii, 468 pages, 24 cm, illustrations"</f>
        <v>viii, 468 pages, 24 cm, illustrations</v>
      </c>
      <c r="G2494" s="1">
        <v>19</v>
      </c>
      <c r="H2494">
        <v>2019</v>
      </c>
      <c r="I2494" t="str">
        <f t="shared" si="96"/>
        <v>9: 300 - 399</v>
      </c>
      <c r="K2494" t="str">
        <f>"WB - In"</f>
        <v>WB - In</v>
      </c>
      <c r="L2494" s="1">
        <v>33</v>
      </c>
      <c r="M2494" t="s">
        <v>2309</v>
      </c>
      <c r="O2494" t="s">
        <v>28</v>
      </c>
      <c r="P2494">
        <v>1</v>
      </c>
      <c r="Q2494">
        <v>0</v>
      </c>
      <c r="R2494">
        <v>1</v>
      </c>
      <c r="S2494" s="2">
        <v>43762</v>
      </c>
      <c r="T2494" s="2">
        <v>43766</v>
      </c>
      <c r="U2494" s="2">
        <v>43785</v>
      </c>
    </row>
    <row r="2495" spans="1:22" x14ac:dyDescent="0.2">
      <c r="A2495" t="str">
        <f>"NEW 325 DEP"</f>
        <v>NEW 325 DEP</v>
      </c>
      <c r="B2495" t="str">
        <f>"good provider is one who leaves: one fam"</f>
        <v>good provider is one who leaves: one fam</v>
      </c>
      <c r="C2495">
        <v>356962</v>
      </c>
      <c r="D2495" t="str">
        <f>"DeParle, Jason"</f>
        <v>DeParle, Jason</v>
      </c>
      <c r="F2495" t="str">
        <f>"pages cm"</f>
        <v>pages cm</v>
      </c>
      <c r="G2495" s="1">
        <v>19</v>
      </c>
      <c r="H2495">
        <v>2019</v>
      </c>
      <c r="I2495" t="str">
        <f t="shared" si="96"/>
        <v>9: 300 - 399</v>
      </c>
      <c r="K2495" t="str">
        <f>"WB - Out"</f>
        <v>WB - Out</v>
      </c>
      <c r="L2495" s="1">
        <v>33</v>
      </c>
      <c r="M2495" t="s">
        <v>2310</v>
      </c>
      <c r="O2495" t="s">
        <v>28</v>
      </c>
      <c r="P2495">
        <v>5</v>
      </c>
      <c r="Q2495">
        <v>0</v>
      </c>
      <c r="R2495">
        <v>5</v>
      </c>
      <c r="S2495" s="2">
        <v>43696</v>
      </c>
      <c r="T2495" s="2">
        <v>43714</v>
      </c>
      <c r="U2495" s="2">
        <v>43842</v>
      </c>
    </row>
    <row r="2496" spans="1:22" x14ac:dyDescent="0.2">
      <c r="A2496" t="str">
        <f>"NEW 327.12 AND"</f>
        <v>NEW 327.12 AND</v>
      </c>
      <c r="B2496" t="str">
        <f>"secret world: a history of intelligence"</f>
        <v>secret world: a history of intelligence</v>
      </c>
      <c r="C2496">
        <v>358008</v>
      </c>
      <c r="D2496" t="str">
        <f>"Andrew, Christopher"</f>
        <v>Andrew, Christopher</v>
      </c>
      <c r="F2496" t="str">
        <f>"760 p."</f>
        <v>760 p.</v>
      </c>
      <c r="G2496" s="1">
        <v>19</v>
      </c>
      <c r="H2496">
        <v>2019</v>
      </c>
      <c r="I2496" t="str">
        <f t="shared" si="96"/>
        <v>9: 300 - 399</v>
      </c>
      <c r="K2496" t="str">
        <f>"WB - Out"</f>
        <v>WB - Out</v>
      </c>
      <c r="L2496" s="1">
        <v>31</v>
      </c>
      <c r="M2496" t="s">
        <v>2311</v>
      </c>
      <c r="O2496" t="s">
        <v>28</v>
      </c>
      <c r="P2496">
        <v>4</v>
      </c>
      <c r="Q2496">
        <v>0</v>
      </c>
      <c r="R2496">
        <v>4</v>
      </c>
      <c r="S2496" s="2">
        <v>43739</v>
      </c>
      <c r="T2496" s="2">
        <v>43766</v>
      </c>
      <c r="U2496" s="2">
        <v>43858</v>
      </c>
    </row>
    <row r="2497" spans="1:22" x14ac:dyDescent="0.2">
      <c r="A2497" t="str">
        <f>"NEW 327.12 FAL"</f>
        <v>NEW 327.12 FAL</v>
      </c>
      <c r="B2497" t="str">
        <f>"Chinese spies: from Chairman Mao to Xi J"</f>
        <v>Chinese spies: from Chairman Mao to Xi J</v>
      </c>
      <c r="C2497">
        <v>408361</v>
      </c>
      <c r="D2497" t="str">
        <f>"Faligot, Roger"</f>
        <v>Faligot, Roger</v>
      </c>
      <c r="F2497" t="str">
        <f>"xi, 507 pages, 24 cm"</f>
        <v>xi, 507 pages, 24 cm</v>
      </c>
      <c r="G2497" s="1">
        <v>19</v>
      </c>
      <c r="H2497">
        <v>2019</v>
      </c>
      <c r="I2497" t="str">
        <f t="shared" si="96"/>
        <v>9: 300 - 399</v>
      </c>
      <c r="K2497" t="str">
        <f>"LL - In"</f>
        <v>LL - In</v>
      </c>
      <c r="L2497" s="1">
        <v>40</v>
      </c>
      <c r="M2497" t="s">
        <v>2312</v>
      </c>
      <c r="O2497" t="s">
        <v>28</v>
      </c>
      <c r="P2497">
        <v>2</v>
      </c>
      <c r="Q2497">
        <v>0</v>
      </c>
      <c r="R2497">
        <v>2</v>
      </c>
      <c r="S2497" s="2">
        <v>43769</v>
      </c>
      <c r="T2497" s="2">
        <v>43781</v>
      </c>
      <c r="U2497" s="2">
        <v>43807</v>
      </c>
    </row>
    <row r="2498" spans="1:22" x14ac:dyDescent="0.2">
      <c r="A2498" t="str">
        <f>"NEW 327.12 KIN"</f>
        <v>NEW 327.12 KIN</v>
      </c>
      <c r="B2498" t="str">
        <f>"Poisoner in chief: Sidney Gottlieb and t"</f>
        <v>Poisoner in chief: Sidney Gottlieb and t</v>
      </c>
      <c r="C2498">
        <v>357914</v>
      </c>
      <c r="D2498" t="str">
        <f>"Kinzer, Stephen"</f>
        <v>Kinzer, Stephen</v>
      </c>
      <c r="F2498" t="str">
        <f>"354 pages, 8 unnumbered pages of plates, 25 cm, illustrations"</f>
        <v>354 pages, 8 unnumbered pages of plates, 25 cm, illustrations</v>
      </c>
      <c r="G2498" s="1">
        <v>19</v>
      </c>
      <c r="H2498">
        <v>2019</v>
      </c>
      <c r="I2498" t="str">
        <f t="shared" si="96"/>
        <v>9: 300 - 399</v>
      </c>
      <c r="K2498" t="str">
        <f>"WB - Out"</f>
        <v>WB - Out</v>
      </c>
      <c r="L2498" s="1">
        <v>35</v>
      </c>
      <c r="M2498" t="s">
        <v>2313</v>
      </c>
      <c r="O2498" t="s">
        <v>28</v>
      </c>
      <c r="P2498">
        <v>3</v>
      </c>
      <c r="Q2498">
        <v>0</v>
      </c>
      <c r="R2498">
        <v>3</v>
      </c>
      <c r="S2498" s="2">
        <v>43733</v>
      </c>
      <c r="T2498" s="2">
        <v>43749</v>
      </c>
      <c r="U2498" s="2">
        <v>43860</v>
      </c>
    </row>
    <row r="2499" spans="1:22" x14ac:dyDescent="0.2">
      <c r="A2499" t="str">
        <f>"NEW 327.12 MEN"</f>
        <v>NEW 327.12 MEN</v>
      </c>
      <c r="B2499" t="str">
        <f>"Moscow rules: the secret CIA tactics tha"</f>
        <v>Moscow rules: the secret CIA tactics tha</v>
      </c>
      <c r="C2499">
        <v>360445</v>
      </c>
      <c r="D2499" t="str">
        <f>"Mendez, Antonio J."</f>
        <v>Mendez, Antonio J.</v>
      </c>
      <c r="F2499" t="str">
        <f>"xii, 238 pages, 25 cm, illustrations"</f>
        <v>xii, 238 pages, 25 cm, illustrations</v>
      </c>
      <c r="G2499" s="1">
        <v>20</v>
      </c>
      <c r="H2499">
        <v>2019</v>
      </c>
      <c r="I2499" t="str">
        <f t="shared" si="96"/>
        <v>9: 300 - 399</v>
      </c>
      <c r="K2499" t="str">
        <f>"LL - Transit"</f>
        <v>LL - Transit</v>
      </c>
      <c r="L2499" s="1">
        <v>33</v>
      </c>
      <c r="M2499" t="s">
        <v>2314</v>
      </c>
      <c r="O2499" t="s">
        <v>28</v>
      </c>
      <c r="P2499">
        <v>0</v>
      </c>
      <c r="Q2499">
        <v>0</v>
      </c>
      <c r="R2499">
        <v>0</v>
      </c>
      <c r="S2499" s="2">
        <v>43851</v>
      </c>
      <c r="T2499" s="2">
        <v>43861</v>
      </c>
    </row>
    <row r="2500" spans="1:22" x14ac:dyDescent="0.2">
      <c r="A2500" t="str">
        <f>"NEW 327.12 OLS"</f>
        <v>NEW 327.12 OLS</v>
      </c>
      <c r="B2500" t="str">
        <f>"To catch a spy: the art of counterintell"</f>
        <v>To catch a spy: the art of counterintell</v>
      </c>
      <c r="C2500">
        <v>358725</v>
      </c>
      <c r="D2500" t="str">
        <f>"Olson, James M.,"</f>
        <v>Olson, James M.,</v>
      </c>
      <c r="F2500" t="str">
        <f>"xiv, 232 pages, 24 cm"</f>
        <v>xiv, 232 pages, 24 cm</v>
      </c>
      <c r="G2500" s="1">
        <v>19</v>
      </c>
      <c r="H2500">
        <v>2019</v>
      </c>
      <c r="I2500" t="str">
        <f t="shared" si="96"/>
        <v>9: 300 - 399</v>
      </c>
      <c r="K2500" t="str">
        <f>"WB - Reserve Cart"</f>
        <v>WB - Reserve Cart</v>
      </c>
      <c r="L2500" s="1">
        <v>35</v>
      </c>
      <c r="M2500" t="s">
        <v>2315</v>
      </c>
      <c r="O2500" t="s">
        <v>28</v>
      </c>
      <c r="P2500">
        <v>3</v>
      </c>
      <c r="Q2500">
        <v>0</v>
      </c>
      <c r="R2500">
        <v>3</v>
      </c>
      <c r="S2500" s="2">
        <v>43762</v>
      </c>
      <c r="T2500" s="2">
        <v>43766</v>
      </c>
      <c r="U2500" s="2">
        <v>43847</v>
      </c>
    </row>
    <row r="2501" spans="1:22" x14ac:dyDescent="0.2">
      <c r="A2501" t="str">
        <f>"NEW 327.12 VOG"</f>
        <v>NEW 327.12 VOG</v>
      </c>
      <c r="B2501" t="str">
        <f>"Betrayal in Berlin: the true story of th"</f>
        <v>Betrayal in Berlin: the true story of th</v>
      </c>
      <c r="C2501">
        <v>358298</v>
      </c>
      <c r="D2501" t="str">
        <f>"Vogel, Steven,"</f>
        <v>Vogel, Steven,</v>
      </c>
      <c r="F2501" t="str">
        <f>"x, 530 pages, 16 unnumbered pages of plates, 24 cm, illustrations, maps"</f>
        <v>x, 530 pages, 16 unnumbered pages of plates, 24 cm, illustrations, maps</v>
      </c>
      <c r="G2501" s="1">
        <v>19</v>
      </c>
      <c r="H2501">
        <v>2019</v>
      </c>
      <c r="I2501" t="str">
        <f t="shared" si="96"/>
        <v>9: 300 - 399</v>
      </c>
      <c r="K2501" t="str">
        <f>"WB - In"</f>
        <v>WB - In</v>
      </c>
      <c r="L2501" s="1">
        <v>35</v>
      </c>
      <c r="M2501" t="s">
        <v>2316</v>
      </c>
      <c r="O2501" t="s">
        <v>28</v>
      </c>
      <c r="P2501">
        <v>4</v>
      </c>
      <c r="Q2501">
        <v>0</v>
      </c>
      <c r="R2501">
        <v>4</v>
      </c>
      <c r="S2501" s="2">
        <v>43749</v>
      </c>
      <c r="T2501" s="2">
        <v>43756</v>
      </c>
      <c r="U2501" s="2">
        <v>43834</v>
      </c>
    </row>
    <row r="2502" spans="1:22" x14ac:dyDescent="0.2">
      <c r="A2502" t="str">
        <f>"NEW 327.73 GER"</f>
        <v>NEW 327.73 GER</v>
      </c>
      <c r="B2502" t="str">
        <f>"Deceiving the sky: inside Communist Chin"</f>
        <v>Deceiving the sky: inside Communist Chin</v>
      </c>
      <c r="C2502">
        <v>357888</v>
      </c>
      <c r="D2502" t="str">
        <f>"Gertz, Bill"</f>
        <v>Gertz, Bill</v>
      </c>
      <c r="F2502" t="str">
        <f>"pages cm"</f>
        <v>pages cm</v>
      </c>
      <c r="G2502" s="1">
        <v>19</v>
      </c>
      <c r="H2502">
        <v>2019</v>
      </c>
      <c r="I2502" t="str">
        <f t="shared" si="96"/>
        <v>9: 300 - 399</v>
      </c>
      <c r="K2502" t="str">
        <f>"LL - In"</f>
        <v>LL - In</v>
      </c>
      <c r="L2502" s="1">
        <v>31</v>
      </c>
      <c r="M2502" t="s">
        <v>2317</v>
      </c>
      <c r="O2502" t="s">
        <v>28</v>
      </c>
      <c r="P2502">
        <v>1</v>
      </c>
      <c r="Q2502">
        <v>1</v>
      </c>
      <c r="R2502">
        <v>2</v>
      </c>
      <c r="S2502" s="2">
        <v>43732</v>
      </c>
      <c r="T2502" s="2">
        <v>43739</v>
      </c>
      <c r="U2502" s="2">
        <v>43742</v>
      </c>
      <c r="V2502" s="2">
        <v>43856</v>
      </c>
    </row>
    <row r="2503" spans="1:22" x14ac:dyDescent="0.2">
      <c r="A2503" t="str">
        <f>"NEW 327.73 KAG"</f>
        <v>NEW 327.73 KAG</v>
      </c>
      <c r="B2503" t="str">
        <f>"jungle grows back: America and our imper"</f>
        <v>jungle grows back: America and our imper</v>
      </c>
      <c r="C2503">
        <v>357707</v>
      </c>
      <c r="D2503" t="str">
        <f>"Kagan, Robert"</f>
        <v>Kagan, Robert</v>
      </c>
      <c r="F2503" t="str">
        <f>"179 pages, 20 cm"</f>
        <v>179 pages, 20 cm</v>
      </c>
      <c r="G2503" s="1">
        <v>19</v>
      </c>
      <c r="H2503">
        <v>2019</v>
      </c>
      <c r="I2503" t="str">
        <f t="shared" si="96"/>
        <v>9: 300 - 399</v>
      </c>
      <c r="K2503" t="str">
        <f>"LL - Out"</f>
        <v>LL - Out</v>
      </c>
      <c r="L2503" s="1">
        <v>21</v>
      </c>
      <c r="M2503" t="s">
        <v>2318</v>
      </c>
      <c r="O2503" t="s">
        <v>28</v>
      </c>
      <c r="P2503">
        <v>3</v>
      </c>
      <c r="Q2503">
        <v>1</v>
      </c>
      <c r="R2503">
        <v>4</v>
      </c>
      <c r="S2503" s="2">
        <v>43725</v>
      </c>
      <c r="T2503" s="2">
        <v>43739</v>
      </c>
      <c r="U2503" s="2">
        <v>43853</v>
      </c>
      <c r="V2503" s="2">
        <v>43813</v>
      </c>
    </row>
    <row r="2504" spans="1:22" x14ac:dyDescent="0.2">
      <c r="A2504" t="str">
        <f>"NEW 327.73 NGO"</f>
        <v>NEW 327.73 NGO</v>
      </c>
      <c r="B2504" t="str">
        <f>"Arc of Containment: Britain, the United "</f>
        <v xml:space="preserve">Arc of Containment: Britain, the United </v>
      </c>
      <c r="C2504">
        <v>357980</v>
      </c>
      <c r="D2504" t="str">
        <f>"Ngoei, Wen-Qing,"</f>
        <v>Ngoei, Wen-Qing,</v>
      </c>
      <c r="F2504" t="str">
        <f>"x, 254 pages, 24 cm, illustrations, maps"</f>
        <v>x, 254 pages, 24 cm, illustrations, maps</v>
      </c>
      <c r="G2504" s="1">
        <v>19</v>
      </c>
      <c r="H2504">
        <v>2019</v>
      </c>
      <c r="I2504" t="str">
        <f t="shared" ref="I2504:I2567" si="97">"9: 300 - 399"</f>
        <v>9: 300 - 399</v>
      </c>
      <c r="K2504" t="str">
        <f>"LL - In"</f>
        <v>LL - In</v>
      </c>
      <c r="L2504" s="1">
        <v>50</v>
      </c>
      <c r="M2504" t="s">
        <v>2319</v>
      </c>
      <c r="O2504" t="s">
        <v>28</v>
      </c>
      <c r="P2504">
        <v>2</v>
      </c>
      <c r="Q2504">
        <v>0</v>
      </c>
      <c r="R2504">
        <v>2</v>
      </c>
      <c r="S2504" s="2">
        <v>43739</v>
      </c>
      <c r="T2504" s="2">
        <v>43749</v>
      </c>
      <c r="U2504" s="2">
        <v>43807</v>
      </c>
    </row>
    <row r="2505" spans="1:22" x14ac:dyDescent="0.2">
      <c r="A2505" t="str">
        <f>"NEW 328.73 WOM"</f>
        <v>NEW 328.73 WOM</v>
      </c>
      <c r="B2505" t="str">
        <f>"women of the 116th Congress: portraits o"</f>
        <v>women of the 116th Congress: portraits o</v>
      </c>
      <c r="C2505">
        <v>408864</v>
      </c>
      <c r="F2505" t="str">
        <f>"207 pages, 24 cm, illustrations (chiefly color), portraits (chiefly color),, 1 poster (folded to 22 x 16 cm)"</f>
        <v>207 pages, 24 cm, illustrations (chiefly color), portraits (chiefly color),, 1 poster (folded to 22 x 16 cm)</v>
      </c>
      <c r="G2505" s="1">
        <v>20</v>
      </c>
      <c r="H2505">
        <v>2019</v>
      </c>
      <c r="I2505" t="str">
        <f t="shared" si="97"/>
        <v>9: 300 - 399</v>
      </c>
      <c r="K2505" t="str">
        <f>"WB - In"</f>
        <v>WB - In</v>
      </c>
      <c r="L2505" s="1">
        <v>30</v>
      </c>
      <c r="M2505" t="s">
        <v>2320</v>
      </c>
      <c r="O2505" t="s">
        <v>28</v>
      </c>
      <c r="P2505">
        <v>0</v>
      </c>
      <c r="Q2505">
        <v>0</v>
      </c>
      <c r="R2505">
        <v>0</v>
      </c>
      <c r="S2505" s="2">
        <v>43858</v>
      </c>
      <c r="T2505" s="2">
        <v>43861</v>
      </c>
    </row>
    <row r="2506" spans="1:22" x14ac:dyDescent="0.2">
      <c r="A2506" t="str">
        <f>"NEW 330 SHI"</f>
        <v>NEW 330 SHI</v>
      </c>
      <c r="B2506" t="str">
        <f>"Narrative economics: how stories go vira"</f>
        <v>Narrative economics: how stories go vira</v>
      </c>
      <c r="C2506">
        <v>408246</v>
      </c>
      <c r="D2506" t="str">
        <f>"Shiller, Robert J."</f>
        <v>Shiller, Robert J.</v>
      </c>
      <c r="F2506" t="str">
        <f>"xxii, 377 pages, 25 cm"</f>
        <v>xxii, 377 pages, 25 cm</v>
      </c>
      <c r="G2506" s="1">
        <v>19</v>
      </c>
      <c r="H2506">
        <v>2019</v>
      </c>
      <c r="I2506" t="str">
        <f t="shared" si="97"/>
        <v>9: 300 - 399</v>
      </c>
      <c r="K2506" t="str">
        <f>"WB - Out"</f>
        <v>WB - Out</v>
      </c>
      <c r="L2506" s="1">
        <v>0</v>
      </c>
      <c r="M2506" t="s">
        <v>2321</v>
      </c>
      <c r="O2506" t="s">
        <v>28</v>
      </c>
      <c r="P2506">
        <v>4</v>
      </c>
      <c r="Q2506">
        <v>0</v>
      </c>
      <c r="R2506">
        <v>4</v>
      </c>
      <c r="S2506" s="2">
        <v>43761</v>
      </c>
      <c r="T2506" s="2">
        <v>43766</v>
      </c>
      <c r="U2506" s="2">
        <v>43845</v>
      </c>
    </row>
    <row r="2507" spans="1:22" x14ac:dyDescent="0.2">
      <c r="A2507" t="str">
        <f>"NEW 330.9 DAV"</f>
        <v>NEW 330.9 DAV</v>
      </c>
      <c r="B2507" t="str">
        <f>"passion economy: the new rules for thriv"</f>
        <v>passion economy: the new rules for thriv</v>
      </c>
      <c r="C2507">
        <v>360238</v>
      </c>
      <c r="D2507" t="str">
        <f>"Davidson, Adam,"</f>
        <v>Davidson, Adam,</v>
      </c>
      <c r="F2507" t="str">
        <f>"xxi, 307 pages, 25 cm"</f>
        <v>xxi, 307 pages, 25 cm</v>
      </c>
      <c r="G2507" s="1">
        <v>19</v>
      </c>
      <c r="H2507">
        <v>2020</v>
      </c>
      <c r="I2507" t="str">
        <f t="shared" si="97"/>
        <v>9: 300 - 399</v>
      </c>
      <c r="K2507" t="str">
        <f>"LL - Out"</f>
        <v>LL - Out</v>
      </c>
      <c r="L2507" s="1">
        <v>33</v>
      </c>
      <c r="M2507" t="s">
        <v>2322</v>
      </c>
      <c r="O2507" t="s">
        <v>28</v>
      </c>
      <c r="P2507">
        <v>1</v>
      </c>
      <c r="Q2507">
        <v>0</v>
      </c>
      <c r="R2507">
        <v>1</v>
      </c>
      <c r="S2507" s="2">
        <v>43844</v>
      </c>
      <c r="T2507" s="2">
        <v>43854</v>
      </c>
      <c r="U2507" s="2">
        <v>43857</v>
      </c>
    </row>
    <row r="2508" spans="1:22" x14ac:dyDescent="0.2">
      <c r="A2508" t="str">
        <f>"NEW 330.97 APP"</f>
        <v>NEW 330.97 APP</v>
      </c>
      <c r="B2508" t="str">
        <f>"economists' hour: false prophets, free m"</f>
        <v>economists' hour: false prophets, free m</v>
      </c>
      <c r="C2508">
        <v>358533</v>
      </c>
      <c r="D2508" t="str">
        <f>"Appelbaum, Binyamin"</f>
        <v>Appelbaum, Binyamin</v>
      </c>
      <c r="F2508" t="str">
        <f>"439 pages, 8 unnumbered pages of plates, 25 cm, illustrations (some color)"</f>
        <v>439 pages, 8 unnumbered pages of plates, 25 cm, illustrations (some color)</v>
      </c>
      <c r="G2508" s="1">
        <v>19</v>
      </c>
      <c r="H2508">
        <v>2019</v>
      </c>
      <c r="I2508" t="str">
        <f t="shared" si="97"/>
        <v>9: 300 - 399</v>
      </c>
      <c r="K2508" t="str">
        <f>"LL - In"</f>
        <v>LL - In</v>
      </c>
      <c r="L2508" s="1">
        <v>35</v>
      </c>
      <c r="M2508" t="s">
        <v>2323</v>
      </c>
      <c r="O2508" t="s">
        <v>28</v>
      </c>
      <c r="P2508">
        <v>3</v>
      </c>
      <c r="Q2508">
        <v>0</v>
      </c>
      <c r="R2508">
        <v>3</v>
      </c>
      <c r="S2508" s="2">
        <v>43756</v>
      </c>
      <c r="T2508" s="2">
        <v>43759</v>
      </c>
      <c r="U2508" s="2">
        <v>43816</v>
      </c>
    </row>
    <row r="2509" spans="1:22" x14ac:dyDescent="0.2">
      <c r="A2509" t="str">
        <f>"NEW 330.97 LEM"</f>
        <v>NEW 330.97 LEM</v>
      </c>
      <c r="B2509" t="str">
        <f>"Transaction man: the rise of the deal an"</f>
        <v>Transaction man: the rise of the deal an</v>
      </c>
      <c r="C2509">
        <v>358353</v>
      </c>
      <c r="D2509" t="str">
        <f>"Lemann, Nicholas"</f>
        <v>Lemann, Nicholas</v>
      </c>
      <c r="F2509" t="str">
        <f>"306 pages, 24 cm"</f>
        <v>306 pages, 24 cm</v>
      </c>
      <c r="G2509" s="1">
        <v>19</v>
      </c>
      <c r="H2509">
        <v>2019</v>
      </c>
      <c r="I2509" t="str">
        <f t="shared" si="97"/>
        <v>9: 300 - 399</v>
      </c>
      <c r="K2509" t="str">
        <f>"WB - Out"</f>
        <v>WB - Out</v>
      </c>
      <c r="L2509" s="1">
        <v>33</v>
      </c>
      <c r="M2509" t="s">
        <v>2324</v>
      </c>
      <c r="O2509" t="s">
        <v>28</v>
      </c>
      <c r="P2509">
        <v>3</v>
      </c>
      <c r="Q2509">
        <v>0</v>
      </c>
      <c r="R2509">
        <v>3</v>
      </c>
      <c r="S2509" s="2">
        <v>43749</v>
      </c>
      <c r="T2509" s="2">
        <v>43756</v>
      </c>
      <c r="U2509" s="2">
        <v>43849</v>
      </c>
    </row>
    <row r="2510" spans="1:22" x14ac:dyDescent="0.2">
      <c r="A2510" t="str">
        <f>"NEW 330.97 STI"</f>
        <v>NEW 330.97 STI</v>
      </c>
      <c r="B2510" t="str">
        <f>"People, power, and profits: progressive "</f>
        <v xml:space="preserve">People, power, and profits: progressive </v>
      </c>
      <c r="C2510">
        <v>357306</v>
      </c>
      <c r="D2510" t="str">
        <f>"Stiglitz, Joseph E."</f>
        <v>Stiglitz, Joseph E.</v>
      </c>
      <c r="F2510" t="str">
        <f>"xxvii, 371 pages, 25 cm, illustrations"</f>
        <v>xxvii, 371 pages, 25 cm, illustrations</v>
      </c>
      <c r="G2510" s="1">
        <v>19</v>
      </c>
      <c r="H2510">
        <v>2019</v>
      </c>
      <c r="I2510" t="str">
        <f t="shared" si="97"/>
        <v>9: 300 - 399</v>
      </c>
      <c r="K2510" t="str">
        <f>"LL - Out"</f>
        <v>LL - Out</v>
      </c>
      <c r="L2510" s="1">
        <v>33</v>
      </c>
      <c r="M2510" t="s">
        <v>2325</v>
      </c>
      <c r="O2510" t="s">
        <v>28</v>
      </c>
      <c r="P2510">
        <v>4</v>
      </c>
      <c r="Q2510">
        <v>0</v>
      </c>
      <c r="R2510">
        <v>4</v>
      </c>
      <c r="S2510" s="2">
        <v>43711</v>
      </c>
      <c r="T2510" s="2">
        <v>43734</v>
      </c>
      <c r="U2510" s="2">
        <v>43860</v>
      </c>
    </row>
    <row r="2511" spans="1:22" x14ac:dyDescent="0.2">
      <c r="A2511" t="str">
        <f>"NEW 331.1 BLA"</f>
        <v>NEW 331.1 BLA</v>
      </c>
      <c r="B2511" t="str">
        <f>"Not working: where have all the good job"</f>
        <v>Not working: where have all the good job</v>
      </c>
      <c r="C2511">
        <v>408297</v>
      </c>
      <c r="D2511" t="str">
        <f>"Blanchflower, David G."</f>
        <v>Blanchflower, David G.</v>
      </c>
      <c r="F2511" t="str">
        <f>"440 pages, 25 cm, illustrations (black and white)"</f>
        <v>440 pages, 25 cm, illustrations (black and white)</v>
      </c>
      <c r="G2511" s="1">
        <v>19</v>
      </c>
      <c r="H2511">
        <v>2019</v>
      </c>
      <c r="I2511" t="str">
        <f t="shared" si="97"/>
        <v>9: 300 - 399</v>
      </c>
      <c r="K2511" t="str">
        <f>"WB - In"</f>
        <v>WB - In</v>
      </c>
      <c r="L2511" s="1">
        <v>35</v>
      </c>
      <c r="M2511" t="s">
        <v>2326</v>
      </c>
      <c r="O2511" t="s">
        <v>28</v>
      </c>
      <c r="P2511">
        <v>2</v>
      </c>
      <c r="Q2511">
        <v>0</v>
      </c>
      <c r="R2511">
        <v>2</v>
      </c>
      <c r="S2511" s="2">
        <v>43767</v>
      </c>
      <c r="T2511" s="2">
        <v>43770</v>
      </c>
      <c r="U2511" s="2">
        <v>43811</v>
      </c>
    </row>
    <row r="2512" spans="1:22" x14ac:dyDescent="0.2">
      <c r="A2512" t="str">
        <f>"NEW 331.4 KAN"</f>
        <v>NEW 331.4 KAN</v>
      </c>
      <c r="B2512" t="str">
        <f>"She said: breaking the sexual harassment"</f>
        <v>She said: breaking the sexual harassment</v>
      </c>
      <c r="C2512">
        <v>357925</v>
      </c>
      <c r="D2512" t="str">
        <f>"Kantor, Jodi,"</f>
        <v>Kantor, Jodi,</v>
      </c>
      <c r="F2512" t="str">
        <f>"310 pages, 25 cm"</f>
        <v>310 pages, 25 cm</v>
      </c>
      <c r="G2512" s="1">
        <v>19</v>
      </c>
      <c r="H2512">
        <v>2019</v>
      </c>
      <c r="I2512" t="str">
        <f t="shared" si="97"/>
        <v>9: 300 - 399</v>
      </c>
      <c r="K2512" t="str">
        <f>"WB - Out"</f>
        <v>WB - Out</v>
      </c>
      <c r="L2512" s="1">
        <v>33</v>
      </c>
      <c r="M2512" t="s">
        <v>2327</v>
      </c>
      <c r="O2512" t="s">
        <v>28</v>
      </c>
      <c r="P2512">
        <v>7</v>
      </c>
      <c r="Q2512">
        <v>0</v>
      </c>
      <c r="R2512">
        <v>7</v>
      </c>
      <c r="S2512" s="2">
        <v>43733</v>
      </c>
      <c r="T2512" s="2">
        <v>43739</v>
      </c>
      <c r="U2512" s="2">
        <v>43838</v>
      </c>
    </row>
    <row r="2513" spans="1:22" x14ac:dyDescent="0.2">
      <c r="A2513" t="str">
        <f>"NEW 332.024 CHA"</f>
        <v>NEW 332.024 CHA</v>
      </c>
      <c r="B2513" t="str">
        <f>"Women with money: the judgment-free guid"</f>
        <v>Women with money: the judgment-free guid</v>
      </c>
      <c r="C2513">
        <v>356430</v>
      </c>
      <c r="D2513" t="str">
        <f>"Chatzky, Jean Sherman"</f>
        <v>Chatzky, Jean Sherman</v>
      </c>
      <c r="F2513" t="str">
        <f>"xviii, 269 pages, 24 cm"</f>
        <v>xviii, 269 pages, 24 cm</v>
      </c>
      <c r="G2513" s="1">
        <v>19</v>
      </c>
      <c r="H2513">
        <v>2019</v>
      </c>
      <c r="I2513" t="str">
        <f t="shared" si="97"/>
        <v>9: 300 - 399</v>
      </c>
      <c r="K2513" t="str">
        <f>"LL - In"</f>
        <v>LL - In</v>
      </c>
      <c r="L2513" s="1">
        <v>33</v>
      </c>
      <c r="M2513" t="s">
        <v>2328</v>
      </c>
      <c r="O2513" t="s">
        <v>28</v>
      </c>
      <c r="P2513">
        <v>6</v>
      </c>
      <c r="Q2513">
        <v>0</v>
      </c>
      <c r="R2513">
        <v>6</v>
      </c>
      <c r="S2513" s="2">
        <v>43671</v>
      </c>
      <c r="T2513" s="2">
        <v>43685</v>
      </c>
      <c r="U2513" s="2">
        <v>43837</v>
      </c>
    </row>
    <row r="2514" spans="1:22" x14ac:dyDescent="0.2">
      <c r="A2514" t="str">
        <f>"NEW 332.024 DUN"</f>
        <v>NEW 332.024 DUN</v>
      </c>
      <c r="B2514" t="str">
        <f>"Bad with money: the imperfect art of get"</f>
        <v>Bad with money: the imperfect art of get</v>
      </c>
      <c r="C2514">
        <v>352241</v>
      </c>
      <c r="D2514" t="str">
        <f>"Dunn, Gaby"</f>
        <v>Dunn, Gaby</v>
      </c>
      <c r="F2514" t="str">
        <f>"xiv, 290 pages, 22 cm"</f>
        <v>xiv, 290 pages, 22 cm</v>
      </c>
      <c r="G2514" s="1">
        <v>19</v>
      </c>
      <c r="H2514">
        <v>2019</v>
      </c>
      <c r="I2514" t="str">
        <f t="shared" si="97"/>
        <v>9: 300 - 399</v>
      </c>
      <c r="K2514" t="str">
        <f>"WB - Problem"</f>
        <v>WB - Problem</v>
      </c>
      <c r="L2514" s="1">
        <v>21</v>
      </c>
      <c r="M2514" t="s">
        <v>2329</v>
      </c>
      <c r="O2514" t="s">
        <v>28</v>
      </c>
      <c r="P2514">
        <v>0</v>
      </c>
      <c r="Q2514">
        <v>1</v>
      </c>
      <c r="R2514">
        <v>1</v>
      </c>
      <c r="S2514" s="2">
        <v>43479</v>
      </c>
      <c r="T2514" s="2">
        <v>43489</v>
      </c>
      <c r="V2514" s="2">
        <v>43507</v>
      </c>
    </row>
    <row r="2515" spans="1:22" x14ac:dyDescent="0.2">
      <c r="A2515" t="str">
        <f>"NEW 332.024 HON"</f>
        <v>NEW 332.024 HON</v>
      </c>
      <c r="B2515" t="str">
        <f>"Happy money: the Japanese art of making "</f>
        <v xml:space="preserve">Happy money: the Japanese art of making </v>
      </c>
      <c r="C2515">
        <v>359194</v>
      </c>
      <c r="D2515" t="str">
        <f>"Honda, Ken,"</f>
        <v>Honda, Ken,</v>
      </c>
      <c r="F2515" t="str">
        <f>"xvii, 217 pages, 19 cm"</f>
        <v>xvii, 217 pages, 19 cm</v>
      </c>
      <c r="G2515" s="1">
        <v>19</v>
      </c>
      <c r="H2515">
        <v>2019</v>
      </c>
      <c r="I2515" t="str">
        <f t="shared" si="97"/>
        <v>9: 300 - 399</v>
      </c>
      <c r="K2515" t="str">
        <f>"WB - Out"</f>
        <v>WB - Out</v>
      </c>
      <c r="L2515" s="1">
        <v>25</v>
      </c>
      <c r="M2515" t="s">
        <v>2330</v>
      </c>
      <c r="O2515" t="s">
        <v>28</v>
      </c>
      <c r="P2515">
        <v>3</v>
      </c>
      <c r="Q2515">
        <v>0</v>
      </c>
      <c r="R2515">
        <v>3</v>
      </c>
      <c r="S2515" s="2">
        <v>43782</v>
      </c>
      <c r="T2515" s="2">
        <v>43791</v>
      </c>
      <c r="U2515" s="2">
        <v>43841</v>
      </c>
    </row>
    <row r="2516" spans="1:22" x14ac:dyDescent="0.2">
      <c r="A2516" t="str">
        <f>"NEW 333.7 KET"</f>
        <v>NEW 333.7 KET</v>
      </c>
      <c r="B2516" t="str">
        <f>"This land: how cowboys, capitalism, and "</f>
        <v xml:space="preserve">This land: how cowboys, capitalism, and </v>
      </c>
      <c r="C2516">
        <v>356286</v>
      </c>
      <c r="D2516" t="str">
        <f>"Ketcham, Christopher,"</f>
        <v>Ketcham, Christopher,</v>
      </c>
      <c r="F2516" t="str">
        <f>"422 p., 24 cm, map"</f>
        <v>422 p., 24 cm, map</v>
      </c>
      <c r="G2516" s="1">
        <v>19</v>
      </c>
      <c r="H2516">
        <v>2019</v>
      </c>
      <c r="I2516" t="str">
        <f t="shared" si="97"/>
        <v>9: 300 - 399</v>
      </c>
      <c r="K2516" t="str">
        <f>"LL - In"</f>
        <v>LL - In</v>
      </c>
      <c r="L2516" s="1">
        <v>34</v>
      </c>
      <c r="M2516" t="s">
        <v>2331</v>
      </c>
      <c r="O2516" t="s">
        <v>28</v>
      </c>
      <c r="P2516">
        <v>5</v>
      </c>
      <c r="Q2516">
        <v>0</v>
      </c>
      <c r="R2516">
        <v>5</v>
      </c>
      <c r="S2516" s="2">
        <v>43661</v>
      </c>
      <c r="T2516" s="2">
        <v>43683</v>
      </c>
      <c r="U2516" s="2">
        <v>43847</v>
      </c>
    </row>
    <row r="2517" spans="1:22" x14ac:dyDescent="0.2">
      <c r="A2517" t="str">
        <f>"NEW 333.79 MAD"</f>
        <v>NEW 333.79 MAD</v>
      </c>
      <c r="B2517" t="str">
        <f>"Blowout: corrupted democracy, rogue stat"</f>
        <v>Blowout: corrupted democracy, rogue stat</v>
      </c>
      <c r="C2517">
        <v>358523</v>
      </c>
      <c r="D2517" t="str">
        <f>"Maddow, Rachel."</f>
        <v>Maddow, Rachel.</v>
      </c>
      <c r="F2517" t="str">
        <f>"xxi, 406 pages, 25 cm"</f>
        <v>xxi, 406 pages, 25 cm</v>
      </c>
      <c r="G2517" s="1">
        <v>19</v>
      </c>
      <c r="H2517">
        <v>2019</v>
      </c>
      <c r="I2517" t="str">
        <f t="shared" si="97"/>
        <v>9: 300 - 399</v>
      </c>
      <c r="K2517" t="str">
        <f>"WB - Out"</f>
        <v>WB - Out</v>
      </c>
      <c r="L2517" s="1">
        <v>35</v>
      </c>
      <c r="M2517" t="s">
        <v>2332</v>
      </c>
      <c r="O2517" t="s">
        <v>28</v>
      </c>
      <c r="P2517">
        <v>6</v>
      </c>
      <c r="Q2517">
        <v>0</v>
      </c>
      <c r="R2517">
        <v>6</v>
      </c>
      <c r="S2517" s="2">
        <v>43756</v>
      </c>
      <c r="T2517" s="2">
        <v>43766</v>
      </c>
      <c r="U2517" s="2">
        <v>43856</v>
      </c>
    </row>
    <row r="2518" spans="1:22" x14ac:dyDescent="0.2">
      <c r="A2518" t="str">
        <f>"NEW 333.79 MAD"</f>
        <v>NEW 333.79 MAD</v>
      </c>
      <c r="B2518" t="str">
        <f>"Blowout: corrupted democracy, rogue stat"</f>
        <v>Blowout: corrupted democracy, rogue stat</v>
      </c>
      <c r="C2518">
        <v>359003</v>
      </c>
      <c r="D2518" t="str">
        <f>"Maddow, Rachel."</f>
        <v>Maddow, Rachel.</v>
      </c>
      <c r="F2518" t="str">
        <f>"xxi, 406 pages, 25 cm"</f>
        <v>xxi, 406 pages, 25 cm</v>
      </c>
      <c r="G2518" s="1">
        <v>19</v>
      </c>
      <c r="H2518">
        <v>2019</v>
      </c>
      <c r="I2518" t="str">
        <f t="shared" si="97"/>
        <v>9: 300 - 399</v>
      </c>
      <c r="K2518" t="str">
        <f>"LL - In"</f>
        <v>LL - In</v>
      </c>
      <c r="L2518" s="1">
        <v>35</v>
      </c>
      <c r="M2518" t="s">
        <v>2332</v>
      </c>
      <c r="O2518" t="s">
        <v>28</v>
      </c>
      <c r="P2518">
        <v>2</v>
      </c>
      <c r="Q2518">
        <v>0</v>
      </c>
      <c r="R2518">
        <v>2</v>
      </c>
      <c r="S2518" s="2">
        <v>43776</v>
      </c>
      <c r="T2518" s="2">
        <v>43784</v>
      </c>
      <c r="U2518" s="2">
        <v>43808</v>
      </c>
    </row>
    <row r="2519" spans="1:22" x14ac:dyDescent="0.2">
      <c r="A2519" t="str">
        <f>"NEW 333.91 BIL"</f>
        <v>NEW 333.91 BIL</v>
      </c>
      <c r="B2519" t="str">
        <f>"Exposure: poisoned water, corporate gree"</f>
        <v>Exposure: poisoned water, corporate gree</v>
      </c>
      <c r="C2519">
        <v>407204</v>
      </c>
      <c r="D2519" t="str">
        <f>"Bilott, Robert,"</f>
        <v>Bilott, Robert,</v>
      </c>
      <c r="F2519" t="str">
        <f>"xii, 386 p., 24 cm"</f>
        <v>xii, 386 p., 24 cm</v>
      </c>
      <c r="G2519" s="1">
        <v>19</v>
      </c>
      <c r="H2519">
        <v>2019</v>
      </c>
      <c r="I2519" t="str">
        <f t="shared" si="97"/>
        <v>9: 300 - 399</v>
      </c>
      <c r="K2519" t="str">
        <f>"LL - Reserve Cart"</f>
        <v>LL - Reserve Cart</v>
      </c>
      <c r="L2519" s="1">
        <v>33</v>
      </c>
      <c r="M2519" t="s">
        <v>2333</v>
      </c>
      <c r="O2519" t="s">
        <v>28</v>
      </c>
      <c r="P2519">
        <v>3</v>
      </c>
      <c r="Q2519">
        <v>0</v>
      </c>
      <c r="R2519">
        <v>3</v>
      </c>
      <c r="S2519" s="2">
        <v>43787</v>
      </c>
      <c r="T2519" s="2">
        <v>43791</v>
      </c>
      <c r="U2519" s="2">
        <v>43848</v>
      </c>
    </row>
    <row r="2520" spans="1:22" x14ac:dyDescent="0.2">
      <c r="A2520" t="str">
        <f>"NEW 333.91 SIE"</f>
        <v>NEW 333.91 SIE</v>
      </c>
      <c r="B2520" t="str">
        <f>"Troubled water: what's wrong with what w"</f>
        <v>Troubled water: what's wrong with what w</v>
      </c>
      <c r="C2520">
        <v>359063</v>
      </c>
      <c r="F2520" t="str">
        <f>"xvii, 330 pages, 25 cm"</f>
        <v>xvii, 330 pages, 25 cm</v>
      </c>
      <c r="G2520" s="1">
        <v>19</v>
      </c>
      <c r="H2520">
        <v>2019</v>
      </c>
      <c r="I2520" t="str">
        <f t="shared" si="97"/>
        <v>9: 300 - 399</v>
      </c>
      <c r="K2520" t="str">
        <f>"WB - Out"</f>
        <v>WB - Out</v>
      </c>
      <c r="L2520" s="1">
        <v>35</v>
      </c>
      <c r="M2520" t="s">
        <v>2334</v>
      </c>
      <c r="O2520" t="s">
        <v>28</v>
      </c>
      <c r="P2520">
        <v>2</v>
      </c>
      <c r="Q2520">
        <v>0</v>
      </c>
      <c r="R2520">
        <v>2</v>
      </c>
      <c r="S2520" s="2">
        <v>43776</v>
      </c>
      <c r="T2520" s="2">
        <v>43819</v>
      </c>
      <c r="U2520" s="2">
        <v>43860</v>
      </c>
    </row>
    <row r="2521" spans="1:22" x14ac:dyDescent="0.2">
      <c r="A2521" t="str">
        <f>"NEW 336.7 SCH"</f>
        <v>NEW 336.7 SCH</v>
      </c>
      <c r="B2521" t="str">
        <f>"Inconspicuous consumption: the environme"</f>
        <v>Inconspicuous consumption: the environme</v>
      </c>
      <c r="C2521">
        <v>357509</v>
      </c>
      <c r="D2521" t="str">
        <f>"Schlossberg, Tatiana"</f>
        <v>Schlossberg, Tatiana</v>
      </c>
      <c r="F2521" t="str">
        <f>"277 p., 24 cm"</f>
        <v>277 p., 24 cm</v>
      </c>
      <c r="G2521" s="1">
        <v>19</v>
      </c>
      <c r="H2521">
        <v>2019</v>
      </c>
      <c r="I2521" t="str">
        <f t="shared" si="97"/>
        <v>9: 300 - 399</v>
      </c>
      <c r="K2521" t="str">
        <f>"LL - In"</f>
        <v>LL - In</v>
      </c>
      <c r="L2521" s="1">
        <v>33</v>
      </c>
      <c r="M2521" t="s">
        <v>2335</v>
      </c>
      <c r="O2521" t="s">
        <v>28</v>
      </c>
      <c r="P2521">
        <v>3</v>
      </c>
      <c r="Q2521">
        <v>0</v>
      </c>
      <c r="R2521">
        <v>3</v>
      </c>
      <c r="S2521" s="2">
        <v>43719</v>
      </c>
      <c r="T2521" s="2">
        <v>43759</v>
      </c>
      <c r="U2521" s="2">
        <v>43827</v>
      </c>
    </row>
    <row r="2522" spans="1:22" x14ac:dyDescent="0.2">
      <c r="A2522" t="str">
        <f>"NEW 338.4 FOR"</f>
        <v>NEW 338.4 FOR</v>
      </c>
      <c r="B2522" t="str">
        <f>"Don't be evil: how big tech betrayed its"</f>
        <v>Don't be evil: how big tech betrayed its</v>
      </c>
      <c r="C2522">
        <v>359549</v>
      </c>
      <c r="D2522" t="str">
        <f>"Foroohar, Rana"</f>
        <v>Foroohar, Rana</v>
      </c>
      <c r="F2522" t="str">
        <f>"xxi, 337 pages, 25 cm"</f>
        <v>xxi, 337 pages, 25 cm</v>
      </c>
      <c r="G2522" s="1">
        <v>19</v>
      </c>
      <c r="H2522">
        <v>2019</v>
      </c>
      <c r="I2522" t="str">
        <f t="shared" si="97"/>
        <v>9: 300 - 399</v>
      </c>
      <c r="K2522" t="str">
        <f>"LL - Out"</f>
        <v>LL - Out</v>
      </c>
      <c r="L2522" s="1">
        <v>33</v>
      </c>
      <c r="M2522" t="s">
        <v>2336</v>
      </c>
      <c r="O2522" t="s">
        <v>28</v>
      </c>
      <c r="P2522">
        <v>2</v>
      </c>
      <c r="Q2522">
        <v>1</v>
      </c>
      <c r="R2522">
        <v>3</v>
      </c>
      <c r="S2522" s="2">
        <v>43802</v>
      </c>
      <c r="T2522" s="2">
        <v>43812</v>
      </c>
      <c r="U2522" s="2">
        <v>43857</v>
      </c>
      <c r="V2522" s="2">
        <v>43813</v>
      </c>
    </row>
    <row r="2523" spans="1:22" x14ac:dyDescent="0.2">
      <c r="A2523" t="str">
        <f>"NEW 338.4 STE"</f>
        <v>NEW 338.4 STE</v>
      </c>
      <c r="B2523" t="str">
        <f>"One Day at Disney: meet the people who m"</f>
        <v>One Day at Disney: meet the people who m</v>
      </c>
      <c r="C2523">
        <v>359680</v>
      </c>
      <c r="D2523" t="str">
        <f>"Steele, Bruce."</f>
        <v>Steele, Bruce.</v>
      </c>
      <c r="F2523" t="str">
        <f>"224 p."</f>
        <v>224 p.</v>
      </c>
      <c r="G2523" s="1">
        <v>19</v>
      </c>
      <c r="H2523">
        <v>2019</v>
      </c>
      <c r="I2523" t="str">
        <f t="shared" si="97"/>
        <v>9: 300 - 399</v>
      </c>
      <c r="K2523" t="str">
        <f>"WB - In"</f>
        <v>WB - In</v>
      </c>
      <c r="L2523" s="1">
        <v>55</v>
      </c>
      <c r="M2523" t="s">
        <v>2337</v>
      </c>
      <c r="O2523" t="s">
        <v>28</v>
      </c>
      <c r="P2523">
        <v>0</v>
      </c>
      <c r="Q2523">
        <v>0</v>
      </c>
      <c r="R2523">
        <v>0</v>
      </c>
      <c r="S2523" s="2">
        <v>43804</v>
      </c>
      <c r="T2523" s="2">
        <v>43812</v>
      </c>
    </row>
    <row r="2524" spans="1:22" x14ac:dyDescent="0.2">
      <c r="A2524" t="str">
        <f>"NEW 338.4 THO"</f>
        <v>NEW 338.4 THO</v>
      </c>
      <c r="B2524" t="str">
        <f>"Fashionopolis: the price of fast fashion"</f>
        <v>Fashionopolis: the price of fast fashion</v>
      </c>
      <c r="C2524">
        <v>357892</v>
      </c>
      <c r="D2524" t="str">
        <f>"Thomas, Dana,"</f>
        <v>Thomas, Dana,</v>
      </c>
      <c r="F2524" t="str">
        <f>"306 pages, 25 cm, illustrations"</f>
        <v>306 pages, 25 cm, illustrations</v>
      </c>
      <c r="G2524" s="1">
        <v>19</v>
      </c>
      <c r="H2524">
        <v>2019</v>
      </c>
      <c r="I2524" t="str">
        <f t="shared" si="97"/>
        <v>9: 300 - 399</v>
      </c>
      <c r="K2524" t="str">
        <f>"LL - In"</f>
        <v>LL - In</v>
      </c>
      <c r="L2524" s="1">
        <v>33</v>
      </c>
      <c r="M2524" t="s">
        <v>2338</v>
      </c>
      <c r="O2524" t="s">
        <v>28</v>
      </c>
      <c r="P2524">
        <v>5</v>
      </c>
      <c r="Q2524">
        <v>0</v>
      </c>
      <c r="R2524">
        <v>5</v>
      </c>
      <c r="S2524" s="2">
        <v>43733</v>
      </c>
      <c r="T2524" s="2">
        <v>43739</v>
      </c>
      <c r="U2524" s="2">
        <v>43841</v>
      </c>
    </row>
    <row r="2525" spans="1:22" x14ac:dyDescent="0.2">
      <c r="A2525" t="str">
        <f>"NEW 338.6 CUR"</f>
        <v>NEW 338.6 CUR</v>
      </c>
      <c r="B2525" t="str">
        <f>"Why Texas: how business discovered the L"</f>
        <v>Why Texas: how business discovered the L</v>
      </c>
      <c r="C2525">
        <v>359069</v>
      </c>
      <c r="D2525" t="str">
        <f>"Curtis, Ed,"</f>
        <v>Curtis, Ed,</v>
      </c>
      <c r="F2525" t="str">
        <f>"xv, 231 p., 24 cm"</f>
        <v>xv, 231 p., 24 cm</v>
      </c>
      <c r="G2525" s="1">
        <v>19</v>
      </c>
      <c r="H2525">
        <v>2019</v>
      </c>
      <c r="I2525" t="str">
        <f t="shared" si="97"/>
        <v>9: 300 - 399</v>
      </c>
      <c r="K2525" t="str">
        <f>"WB - Out"</f>
        <v>WB - Out</v>
      </c>
      <c r="L2525" s="1">
        <v>30</v>
      </c>
      <c r="M2525" t="s">
        <v>2339</v>
      </c>
      <c r="O2525" t="s">
        <v>28</v>
      </c>
      <c r="P2525">
        <v>2</v>
      </c>
      <c r="Q2525">
        <v>0</v>
      </c>
      <c r="R2525">
        <v>2</v>
      </c>
      <c r="S2525" s="2">
        <v>43776</v>
      </c>
      <c r="T2525" s="2">
        <v>43805</v>
      </c>
      <c r="U2525" s="2">
        <v>43851</v>
      </c>
    </row>
    <row r="2526" spans="1:22" x14ac:dyDescent="0.2">
      <c r="A2526" t="str">
        <f>"NEW 338.7 NIE"</f>
        <v>NEW 338.7 NIE</v>
      </c>
      <c r="B2526" t="str">
        <f>"Ludicrous: the unvarnished story of Tesl"</f>
        <v>Ludicrous: the unvarnished story of Tesl</v>
      </c>
      <c r="C2526">
        <v>357339</v>
      </c>
      <c r="D2526" t="str">
        <f>"Niedermeyer, Edward"</f>
        <v>Niedermeyer, Edward</v>
      </c>
      <c r="F2526" t="str">
        <f>"234 p."</f>
        <v>234 p.</v>
      </c>
      <c r="G2526" s="1">
        <v>19</v>
      </c>
      <c r="H2526">
        <v>2019</v>
      </c>
      <c r="I2526" t="str">
        <f t="shared" si="97"/>
        <v>9: 300 - 399</v>
      </c>
      <c r="K2526" t="str">
        <f>"WB - Out"</f>
        <v>WB - Out</v>
      </c>
      <c r="L2526" s="1">
        <v>33</v>
      </c>
      <c r="M2526" t="s">
        <v>2340</v>
      </c>
      <c r="O2526" t="s">
        <v>28</v>
      </c>
      <c r="P2526">
        <v>4</v>
      </c>
      <c r="Q2526">
        <v>0</v>
      </c>
      <c r="R2526">
        <v>4</v>
      </c>
      <c r="S2526" s="2">
        <v>43711</v>
      </c>
      <c r="T2526" s="2">
        <v>43734</v>
      </c>
      <c r="U2526" s="2">
        <v>43817</v>
      </c>
    </row>
    <row r="2527" spans="1:22" x14ac:dyDescent="0.2">
      <c r="A2527" t="str">
        <f>"NEW 338.7 SEC"</f>
        <v>NEW 338.7 SEC</v>
      </c>
      <c r="B2527" t="str">
        <f>"mysterious affair at Olivetti: IBM, the "</f>
        <v xml:space="preserve">mysterious affair at Olivetti: IBM, the </v>
      </c>
      <c r="C2527">
        <v>360235</v>
      </c>
      <c r="D2527" t="str">
        <f>"Secrest, Meryle"</f>
        <v>Secrest, Meryle</v>
      </c>
      <c r="F2527" t="str">
        <f>"304 pages, 25 cm, illustrations"</f>
        <v>304 pages, 25 cm, illustrations</v>
      </c>
      <c r="G2527" s="1">
        <v>19</v>
      </c>
      <c r="H2527">
        <v>2019</v>
      </c>
      <c r="I2527" t="str">
        <f t="shared" si="97"/>
        <v>9: 300 - 399</v>
      </c>
      <c r="K2527" t="str">
        <f>"LL - In"</f>
        <v>LL - In</v>
      </c>
      <c r="L2527" s="1">
        <v>35</v>
      </c>
      <c r="M2527" t="s">
        <v>2341</v>
      </c>
      <c r="O2527" t="s">
        <v>28</v>
      </c>
      <c r="P2527">
        <v>0</v>
      </c>
      <c r="Q2527">
        <v>0</v>
      </c>
      <c r="R2527">
        <v>0</v>
      </c>
      <c r="S2527" s="2">
        <v>43844</v>
      </c>
      <c r="T2527" s="2">
        <v>43854</v>
      </c>
    </row>
    <row r="2528" spans="1:22" x14ac:dyDescent="0.2">
      <c r="A2528" t="str">
        <f>"NEW 339 BAN"</f>
        <v>NEW 339 BAN</v>
      </c>
      <c r="B2528" t="str">
        <f>"Good economics for hard times"</f>
        <v>Good economics for hard times</v>
      </c>
      <c r="C2528">
        <v>360006</v>
      </c>
      <c r="D2528" t="str">
        <f>"Banerjee, Abhijit V.,"</f>
        <v>Banerjee, Abhijit V.,</v>
      </c>
      <c r="F2528" t="str">
        <f>"x, 403 p., 25 cm"</f>
        <v>x, 403 p., 25 cm</v>
      </c>
      <c r="G2528" s="1">
        <v>20</v>
      </c>
      <c r="H2528">
        <v>2019</v>
      </c>
      <c r="I2528" t="str">
        <f t="shared" si="97"/>
        <v>9: 300 - 399</v>
      </c>
      <c r="K2528" t="str">
        <f>"WB - In"</f>
        <v>WB - In</v>
      </c>
      <c r="L2528" s="1">
        <v>35</v>
      </c>
      <c r="M2528" t="s">
        <v>2342</v>
      </c>
      <c r="O2528" t="s">
        <v>28</v>
      </c>
      <c r="P2528">
        <v>0</v>
      </c>
      <c r="Q2528">
        <v>0</v>
      </c>
      <c r="R2528">
        <v>0</v>
      </c>
      <c r="S2528" s="2">
        <v>43826</v>
      </c>
      <c r="T2528" s="2">
        <v>43861</v>
      </c>
    </row>
    <row r="2529" spans="1:22" x14ac:dyDescent="0.2">
      <c r="A2529" t="str">
        <f>"NEW 341.2 OTO"</f>
        <v>NEW 341.2 OTO</v>
      </c>
      <c r="B2529" t="str">
        <f>"politics of pain: postwar England and th"</f>
        <v>politics of pain: postwar England and th</v>
      </c>
      <c r="C2529">
        <v>359569</v>
      </c>
      <c r="D2529" t="str">
        <f>"O'Toole, Fintan,"</f>
        <v>O'Toole, Fintan,</v>
      </c>
      <c r="F2529" t="str">
        <f>"pages cm"</f>
        <v>pages cm</v>
      </c>
      <c r="G2529" s="1">
        <v>19</v>
      </c>
      <c r="H2529">
        <v>2019</v>
      </c>
      <c r="I2529" t="str">
        <f t="shared" si="97"/>
        <v>9: 300 - 399</v>
      </c>
      <c r="K2529" t="str">
        <f>"WB - In"</f>
        <v>WB - In</v>
      </c>
      <c r="L2529" s="1">
        <v>33</v>
      </c>
      <c r="M2529" t="s">
        <v>2343</v>
      </c>
      <c r="O2529" t="s">
        <v>28</v>
      </c>
      <c r="P2529">
        <v>1</v>
      </c>
      <c r="Q2529">
        <v>0</v>
      </c>
      <c r="R2529">
        <v>1</v>
      </c>
      <c r="S2529" s="2">
        <v>43802</v>
      </c>
      <c r="T2529" s="2">
        <v>43811</v>
      </c>
      <c r="U2529" s="2">
        <v>43843</v>
      </c>
    </row>
    <row r="2530" spans="1:22" x14ac:dyDescent="0.2">
      <c r="A2530" t="str">
        <f>"NEW 342.73 FON"</f>
        <v>NEW 342.73 FON</v>
      </c>
      <c r="B2530" t="str">
        <f>"second founding: how the Civil War and R"</f>
        <v>second founding: how the Civil War and R</v>
      </c>
      <c r="C2530">
        <v>357672</v>
      </c>
      <c r="D2530" t="str">
        <f>"Foner, Eric"</f>
        <v>Foner, Eric</v>
      </c>
      <c r="F2530" t="str">
        <f>"pages cm"</f>
        <v>pages cm</v>
      </c>
      <c r="G2530" s="1">
        <v>19</v>
      </c>
      <c r="H2530">
        <v>2019</v>
      </c>
      <c r="I2530" t="str">
        <f t="shared" si="97"/>
        <v>9: 300 - 399</v>
      </c>
      <c r="K2530" t="str">
        <f>"WB - Out"</f>
        <v>WB - Out</v>
      </c>
      <c r="L2530" s="1">
        <v>32</v>
      </c>
      <c r="M2530" t="s">
        <v>2344</v>
      </c>
      <c r="O2530" t="s">
        <v>28</v>
      </c>
      <c r="P2530">
        <v>4</v>
      </c>
      <c r="Q2530">
        <v>0</v>
      </c>
      <c r="R2530">
        <v>4</v>
      </c>
      <c r="S2530" s="2">
        <v>43725</v>
      </c>
      <c r="T2530" s="2">
        <v>43739</v>
      </c>
      <c r="U2530" s="2">
        <v>43853</v>
      </c>
    </row>
    <row r="2531" spans="1:22" x14ac:dyDescent="0.2">
      <c r="A2531" t="str">
        <f>"NEW 347.73 DWY"</f>
        <v>NEW 347.73 DWY</v>
      </c>
      <c r="B2531" t="str">
        <f>"districts: justice and power in New York"</f>
        <v>districts: justice and power in New York</v>
      </c>
      <c r="C2531">
        <v>358531</v>
      </c>
      <c r="D2531" t="str">
        <f>"Dwyer, Johnny."</f>
        <v>Dwyer, Johnny.</v>
      </c>
      <c r="F2531" t="str">
        <f>"315 p."</f>
        <v>315 p.</v>
      </c>
      <c r="G2531" s="1">
        <v>19</v>
      </c>
      <c r="H2531">
        <v>2019</v>
      </c>
      <c r="I2531" t="str">
        <f t="shared" si="97"/>
        <v>9: 300 - 399</v>
      </c>
      <c r="K2531" t="str">
        <f>"WB - Out"</f>
        <v>WB - Out</v>
      </c>
      <c r="L2531" s="1">
        <v>34</v>
      </c>
      <c r="M2531" t="s">
        <v>2345</v>
      </c>
      <c r="O2531" t="s">
        <v>28</v>
      </c>
      <c r="P2531">
        <v>2</v>
      </c>
      <c r="Q2531">
        <v>0</v>
      </c>
      <c r="R2531">
        <v>2</v>
      </c>
      <c r="S2531" s="2">
        <v>43756</v>
      </c>
      <c r="T2531" s="2">
        <v>43766</v>
      </c>
      <c r="U2531" s="2">
        <v>43849</v>
      </c>
    </row>
    <row r="2532" spans="1:22" x14ac:dyDescent="0.2">
      <c r="A2532" t="str">
        <f>"NEW 347.73 HEM"</f>
        <v>NEW 347.73 HEM</v>
      </c>
      <c r="B2532" t="str">
        <f>"Justice on trial: the Kavanaugh confirma"</f>
        <v>Justice on trial: the Kavanaugh confirma</v>
      </c>
      <c r="C2532">
        <v>356389</v>
      </c>
      <c r="D2532" t="str">
        <f>"Hemingway, Mollie Ziegler"</f>
        <v>Hemingway, Mollie Ziegler</v>
      </c>
      <c r="F2532" t="str">
        <f>"375 pages, 16 unnumbered pages of plates, 24 cm, illustrations (chiefly color)"</f>
        <v>375 pages, 16 unnumbered pages of plates, 24 cm, illustrations (chiefly color)</v>
      </c>
      <c r="G2532" s="1">
        <v>19</v>
      </c>
      <c r="H2532">
        <v>2019</v>
      </c>
      <c r="I2532" t="str">
        <f t="shared" si="97"/>
        <v>9: 300 - 399</v>
      </c>
      <c r="K2532" t="str">
        <f>"WB - Out"</f>
        <v>WB - Out</v>
      </c>
      <c r="L2532" s="1">
        <v>34</v>
      </c>
      <c r="M2532" t="s">
        <v>2346</v>
      </c>
      <c r="O2532" t="s">
        <v>28</v>
      </c>
      <c r="P2532">
        <v>7</v>
      </c>
      <c r="Q2532">
        <v>0</v>
      </c>
      <c r="R2532">
        <v>7</v>
      </c>
      <c r="S2532" s="2">
        <v>43671</v>
      </c>
      <c r="T2532" s="2">
        <v>43683</v>
      </c>
      <c r="U2532" s="2">
        <v>43852</v>
      </c>
    </row>
    <row r="2533" spans="1:22" x14ac:dyDescent="0.2">
      <c r="A2533" t="str">
        <f>"NEW 347.73 HUL"</f>
        <v>NEW 347.73 HUL</v>
      </c>
      <c r="B2533" t="str">
        <f>"Confirmation bias: inside Washington's w"</f>
        <v>Confirmation bias: inside Washington's w</v>
      </c>
      <c r="C2533">
        <v>357500</v>
      </c>
      <c r="D2533" t="str">
        <f>"Hulse, Carl,"</f>
        <v>Hulse, Carl,</v>
      </c>
      <c r="F2533" t="str">
        <f>"viii, 310 p., 24 cm, color illustrations"</f>
        <v>viii, 310 p., 24 cm, color illustrations</v>
      </c>
      <c r="G2533" s="1">
        <v>19</v>
      </c>
      <c r="H2533">
        <v>2019</v>
      </c>
      <c r="I2533" t="str">
        <f t="shared" si="97"/>
        <v>9: 300 - 399</v>
      </c>
      <c r="K2533" t="str">
        <f>"LL - Out"</f>
        <v>LL - Out</v>
      </c>
      <c r="L2533" s="1">
        <v>34</v>
      </c>
      <c r="M2533" t="s">
        <v>2347</v>
      </c>
      <c r="O2533" t="s">
        <v>28</v>
      </c>
      <c r="P2533">
        <v>2</v>
      </c>
      <c r="Q2533">
        <v>1</v>
      </c>
      <c r="R2533">
        <v>3</v>
      </c>
      <c r="S2533" s="2">
        <v>43719</v>
      </c>
      <c r="T2533" s="2">
        <v>43749</v>
      </c>
      <c r="U2533" s="2">
        <v>43859</v>
      </c>
      <c r="V2533" s="2">
        <v>43766</v>
      </c>
    </row>
    <row r="2534" spans="1:22" x14ac:dyDescent="0.2">
      <c r="A2534" t="str">
        <f>"NEW 347.73 MAR"</f>
        <v>NEW 347.73 MAR</v>
      </c>
      <c r="B2534" t="str">
        <f>"Supreme ambition: Brett Kavanaugh and th"</f>
        <v>Supreme ambition: Brett Kavanaugh and th</v>
      </c>
      <c r="C2534">
        <v>359884</v>
      </c>
      <c r="D2534" t="str">
        <f>"Marcus, Ruth"</f>
        <v>Marcus, Ruth</v>
      </c>
      <c r="F2534" t="str">
        <f>"viii, 482 pages, 24 cm"</f>
        <v>viii, 482 pages, 24 cm</v>
      </c>
      <c r="G2534" s="1">
        <v>19</v>
      </c>
      <c r="H2534">
        <v>2019</v>
      </c>
      <c r="I2534" t="str">
        <f t="shared" si="97"/>
        <v>9: 300 - 399</v>
      </c>
      <c r="K2534" t="str">
        <f>"LL - In"</f>
        <v>LL - In</v>
      </c>
      <c r="L2534" s="1">
        <v>33</v>
      </c>
      <c r="M2534" t="s">
        <v>2348</v>
      </c>
      <c r="O2534" t="s">
        <v>28</v>
      </c>
      <c r="P2534">
        <v>1</v>
      </c>
      <c r="Q2534">
        <v>0</v>
      </c>
      <c r="R2534">
        <v>1</v>
      </c>
      <c r="S2534" s="2">
        <v>43815</v>
      </c>
      <c r="T2534" s="2">
        <v>43819</v>
      </c>
      <c r="U2534" s="2">
        <v>43820</v>
      </c>
    </row>
    <row r="2535" spans="1:22" x14ac:dyDescent="0.2">
      <c r="A2535" t="str">
        <f>"NEW 355.3 STE"</f>
        <v>NEW 355.3 STE</v>
      </c>
      <c r="B2535" t="str">
        <f>"Information wars: how we lost the global"</f>
        <v>Information wars: how we lost the global</v>
      </c>
      <c r="C2535">
        <v>359866</v>
      </c>
      <c r="D2535" t="str">
        <f>"Stengel, Richard"</f>
        <v>Stengel, Richard</v>
      </c>
      <c r="F2535" t="str">
        <f>"357 pages, 24 cm"</f>
        <v>357 pages, 24 cm</v>
      </c>
      <c r="G2535" s="1">
        <v>19</v>
      </c>
      <c r="H2535">
        <v>2019</v>
      </c>
      <c r="I2535" t="str">
        <f t="shared" si="97"/>
        <v>9: 300 - 399</v>
      </c>
      <c r="K2535" t="str">
        <f>"WB - In"</f>
        <v>WB - In</v>
      </c>
      <c r="L2535" s="1">
        <v>33</v>
      </c>
      <c r="M2535" t="s">
        <v>2349</v>
      </c>
      <c r="O2535" t="s">
        <v>28</v>
      </c>
      <c r="P2535">
        <v>0</v>
      </c>
      <c r="Q2535">
        <v>0</v>
      </c>
      <c r="R2535">
        <v>0</v>
      </c>
      <c r="S2535" s="2">
        <v>43815</v>
      </c>
      <c r="T2535" s="2">
        <v>43845</v>
      </c>
    </row>
    <row r="2536" spans="1:22" x14ac:dyDescent="0.2">
      <c r="A2536" t="str">
        <f>"NEW 362.1 GAL"</f>
        <v>NEW 362.1 GAL</v>
      </c>
      <c r="B2536" t="str">
        <f>"Well: what we need to talk about when we"</f>
        <v>Well: what we need to talk about when we</v>
      </c>
      <c r="C2536">
        <v>355595</v>
      </c>
      <c r="D2536" t="str">
        <f>"Galea, Sandro"</f>
        <v>Galea, Sandro</v>
      </c>
      <c r="F2536" t="str">
        <f>"210 p."</f>
        <v>210 p.</v>
      </c>
      <c r="G2536" s="1">
        <v>19</v>
      </c>
      <c r="H2536">
        <v>2019</v>
      </c>
      <c r="I2536" t="str">
        <f t="shared" si="97"/>
        <v>9: 300 - 399</v>
      </c>
      <c r="K2536" t="str">
        <f>"LL - Problem"</f>
        <v>LL - Problem</v>
      </c>
      <c r="L2536" s="1">
        <v>30</v>
      </c>
      <c r="M2536" t="s">
        <v>2350</v>
      </c>
      <c r="O2536" t="s">
        <v>28</v>
      </c>
      <c r="P2536">
        <v>5</v>
      </c>
      <c r="Q2536">
        <v>0</v>
      </c>
      <c r="R2536">
        <v>5</v>
      </c>
      <c r="S2536" s="2">
        <v>43633</v>
      </c>
      <c r="T2536" s="2">
        <v>43640</v>
      </c>
      <c r="U2536" s="2">
        <v>43751</v>
      </c>
    </row>
    <row r="2537" spans="1:22" x14ac:dyDescent="0.2">
      <c r="A2537" t="str">
        <f>"NEW 362.1 GAR"</f>
        <v>NEW 362.1 GAR</v>
      </c>
      <c r="B2537" t="str">
        <f>"Exposing the medical myths: why everythi"</f>
        <v>Exposing the medical myths: why everythi</v>
      </c>
      <c r="C2537">
        <v>359073</v>
      </c>
      <c r="D2537" t="str">
        <f>"Garson, Arthur"</f>
        <v>Garson, Arthur</v>
      </c>
      <c r="F2537" t="str">
        <f>"p., cm"</f>
        <v>p., cm</v>
      </c>
      <c r="G2537" s="1">
        <v>19</v>
      </c>
      <c r="H2537">
        <v>2019</v>
      </c>
      <c r="I2537" t="str">
        <f t="shared" si="97"/>
        <v>9: 300 - 399</v>
      </c>
      <c r="K2537" t="str">
        <f>"WB - Out"</f>
        <v>WB - Out</v>
      </c>
      <c r="L2537" s="1">
        <v>37</v>
      </c>
      <c r="M2537" t="s">
        <v>2351</v>
      </c>
      <c r="O2537" t="s">
        <v>28</v>
      </c>
      <c r="P2537">
        <v>3</v>
      </c>
      <c r="Q2537">
        <v>0</v>
      </c>
      <c r="R2537">
        <v>3</v>
      </c>
      <c r="S2537" s="2">
        <v>43776</v>
      </c>
      <c r="T2537" s="2">
        <v>43811</v>
      </c>
      <c r="U2537" s="2">
        <v>43845</v>
      </c>
    </row>
    <row r="2538" spans="1:22" x14ac:dyDescent="0.2">
      <c r="A2538" t="str">
        <f>"NEW 362.1 MAK"</f>
        <v>NEW 362.1 MAK</v>
      </c>
      <c r="B2538" t="str">
        <f>"price we pay: what broke American health"</f>
        <v>price we pay: what broke American health</v>
      </c>
      <c r="C2538">
        <v>358129</v>
      </c>
      <c r="D2538" t="str">
        <f>"Makary, Marty"</f>
        <v>Makary, Marty</v>
      </c>
      <c r="F2538" t="str">
        <f>"xii, 267 pages, 25 cm, illustrations, map"</f>
        <v>xii, 267 pages, 25 cm, illustrations, map</v>
      </c>
      <c r="G2538" s="1">
        <v>19</v>
      </c>
      <c r="H2538">
        <v>2019</v>
      </c>
      <c r="I2538" t="str">
        <f t="shared" si="97"/>
        <v>9: 300 - 399</v>
      </c>
      <c r="K2538" t="str">
        <f>"LL - Out"</f>
        <v>LL - Out</v>
      </c>
      <c r="L2538" s="1">
        <v>33</v>
      </c>
      <c r="M2538" t="s">
        <v>2352</v>
      </c>
      <c r="O2538" t="s">
        <v>28</v>
      </c>
      <c r="P2538">
        <v>5</v>
      </c>
      <c r="Q2538">
        <v>0</v>
      </c>
      <c r="R2538">
        <v>5</v>
      </c>
      <c r="S2538" s="2">
        <v>43740</v>
      </c>
      <c r="T2538" s="2">
        <v>43752</v>
      </c>
      <c r="U2538" s="2">
        <v>43857</v>
      </c>
    </row>
    <row r="2539" spans="1:22" x14ac:dyDescent="0.2">
      <c r="A2539" t="str">
        <f>"NEW 362.1 SHU"</f>
        <v>NEW 362.1 SHU</v>
      </c>
      <c r="B2539" t="str">
        <f>"It shouldn't be this hard to serve your "</f>
        <v xml:space="preserve">It shouldn't be this hard to serve your </v>
      </c>
      <c r="C2539">
        <v>358881</v>
      </c>
      <c r="D2539" t="str">
        <f>"Shulkin, David J."</f>
        <v>Shulkin, David J.</v>
      </c>
      <c r="F2539" t="str">
        <f>"viii, 360 pages, 8 pages of unnumbered plates, 25 cm, illustrations (chiefly color)"</f>
        <v>viii, 360 pages, 8 pages of unnumbered plates, 25 cm, illustrations (chiefly color)</v>
      </c>
      <c r="G2539" s="1">
        <v>19</v>
      </c>
      <c r="H2539">
        <v>2019</v>
      </c>
      <c r="I2539" t="str">
        <f t="shared" si="97"/>
        <v>9: 300 - 399</v>
      </c>
      <c r="K2539" t="str">
        <f>"LL - In"</f>
        <v>LL - In</v>
      </c>
      <c r="L2539" s="1">
        <v>34</v>
      </c>
      <c r="M2539" t="s">
        <v>2353</v>
      </c>
      <c r="O2539" t="s">
        <v>28</v>
      </c>
      <c r="P2539">
        <v>0</v>
      </c>
      <c r="Q2539">
        <v>0</v>
      </c>
      <c r="R2539">
        <v>0</v>
      </c>
      <c r="S2539" s="2">
        <v>43769</v>
      </c>
      <c r="T2539" s="2">
        <v>43781</v>
      </c>
    </row>
    <row r="2540" spans="1:22" x14ac:dyDescent="0.2">
      <c r="A2540" t="str">
        <f>"NEW 363.25 GER"</f>
        <v>NEW 363.25 GER</v>
      </c>
      <c r="B2540" t="str">
        <f>"Disrupt, discredit, and divide: how the "</f>
        <v xml:space="preserve">Disrupt, discredit, and divide: how the </v>
      </c>
      <c r="C2540">
        <v>358305</v>
      </c>
      <c r="D2540" t="str">
        <f>"German, Mike,"</f>
        <v>German, Mike,</v>
      </c>
      <c r="F2540" t="str">
        <f>"339 pages, 24 cm"</f>
        <v>339 pages, 24 cm</v>
      </c>
      <c r="G2540" s="1">
        <v>19</v>
      </c>
      <c r="H2540">
        <v>2019</v>
      </c>
      <c r="I2540" t="str">
        <f t="shared" si="97"/>
        <v>9: 300 - 399</v>
      </c>
      <c r="K2540" t="str">
        <f>"WB - In"</f>
        <v>WB - In</v>
      </c>
      <c r="L2540" s="1">
        <v>33</v>
      </c>
      <c r="M2540" t="s">
        <v>2354</v>
      </c>
      <c r="O2540" t="s">
        <v>28</v>
      </c>
      <c r="P2540">
        <v>1</v>
      </c>
      <c r="Q2540">
        <v>1</v>
      </c>
      <c r="R2540">
        <v>2</v>
      </c>
      <c r="S2540" s="2">
        <v>43749</v>
      </c>
      <c r="T2540" s="2">
        <v>43756</v>
      </c>
      <c r="U2540" s="2">
        <v>43855</v>
      </c>
      <c r="V2540" s="2">
        <v>43853</v>
      </c>
    </row>
    <row r="2541" spans="1:22" x14ac:dyDescent="0.2">
      <c r="A2541" t="str">
        <f>"NEW 363.25 JEN"</f>
        <v>NEW 363.25 JEN</v>
      </c>
      <c r="B2541" t="str">
        <f>"Chase darkness with me: how one true-cri"</f>
        <v>Chase darkness with me: how one true-cri</v>
      </c>
      <c r="C2541">
        <v>357498</v>
      </c>
      <c r="D2541" t="str">
        <f>"Jensen, Billy"</f>
        <v>Jensen, Billy</v>
      </c>
      <c r="F2541" t="str">
        <f>"ix, 316 pages, 24 cm"</f>
        <v>ix, 316 pages, 24 cm</v>
      </c>
      <c r="G2541" s="1">
        <v>19</v>
      </c>
      <c r="H2541">
        <v>2019</v>
      </c>
      <c r="I2541" t="str">
        <f t="shared" si="97"/>
        <v>9: 300 - 399</v>
      </c>
      <c r="K2541" t="str">
        <f>"WB - In"</f>
        <v>WB - In</v>
      </c>
      <c r="L2541" s="1">
        <v>31</v>
      </c>
      <c r="M2541" t="s">
        <v>2355</v>
      </c>
      <c r="O2541" t="s">
        <v>28</v>
      </c>
      <c r="P2541">
        <v>5</v>
      </c>
      <c r="Q2541">
        <v>0</v>
      </c>
      <c r="R2541">
        <v>5</v>
      </c>
      <c r="S2541" s="2">
        <v>43719</v>
      </c>
      <c r="T2541" s="2">
        <v>43749</v>
      </c>
      <c r="U2541" s="2">
        <v>43842</v>
      </c>
    </row>
    <row r="2542" spans="1:22" x14ac:dyDescent="0.2">
      <c r="A2542" t="str">
        <f>"NEW 363.25 STE"</f>
        <v>NEW 363.25 STE</v>
      </c>
      <c r="B2542" t="str">
        <f>"Deep state: Trump, the FBI, and the rule"</f>
        <v>Deep state: Trump, the FBI, and the rule</v>
      </c>
      <c r="C2542">
        <v>358864</v>
      </c>
      <c r="D2542" t="str">
        <f>"Stewart, James B"</f>
        <v>Stewart, James B</v>
      </c>
      <c r="F2542" t="str">
        <f>"372 pages, 24 cm"</f>
        <v>372 pages, 24 cm</v>
      </c>
      <c r="G2542" s="1">
        <v>19</v>
      </c>
      <c r="H2542">
        <v>2019</v>
      </c>
      <c r="I2542" t="str">
        <f t="shared" si="97"/>
        <v>9: 300 - 399</v>
      </c>
      <c r="K2542" t="str">
        <f>"WB - In"</f>
        <v>WB - In</v>
      </c>
      <c r="L2542" s="1">
        <v>35</v>
      </c>
      <c r="M2542" t="s">
        <v>2356</v>
      </c>
      <c r="O2542" t="s">
        <v>28</v>
      </c>
      <c r="P2542">
        <v>2</v>
      </c>
      <c r="Q2542">
        <v>1</v>
      </c>
      <c r="R2542">
        <v>3</v>
      </c>
      <c r="S2542" s="2">
        <v>43769</v>
      </c>
      <c r="T2542" s="2">
        <v>43781</v>
      </c>
      <c r="U2542" s="2">
        <v>43813</v>
      </c>
      <c r="V2542" s="2">
        <v>43805</v>
      </c>
    </row>
    <row r="2543" spans="1:22" x14ac:dyDescent="0.2">
      <c r="A2543" t="str">
        <f>"NEW 363.3 MCC"</f>
        <v>NEW 363.3 MCC</v>
      </c>
      <c r="B2543" t="str">
        <f>"Enough is enough: how students can join "</f>
        <v xml:space="preserve">Enough is enough: how students can join </v>
      </c>
      <c r="C2543">
        <v>358465</v>
      </c>
      <c r="D2543" t="str">
        <f>"McCann, Michelle Roehm,"</f>
        <v>McCann, Michelle Roehm,</v>
      </c>
      <c r="F2543" t="str">
        <f>"270 p."</f>
        <v>270 p.</v>
      </c>
      <c r="G2543" s="1">
        <v>19</v>
      </c>
      <c r="H2543">
        <v>2019</v>
      </c>
      <c r="I2543" t="str">
        <f t="shared" si="97"/>
        <v>9: 300 - 399</v>
      </c>
      <c r="K2543" t="str">
        <f>"WB - In"</f>
        <v>WB - In</v>
      </c>
      <c r="L2543" s="1">
        <v>18</v>
      </c>
      <c r="M2543" t="s">
        <v>2357</v>
      </c>
      <c r="O2543" t="s">
        <v>28</v>
      </c>
      <c r="P2543">
        <v>0</v>
      </c>
      <c r="Q2543">
        <v>0</v>
      </c>
      <c r="R2543">
        <v>0</v>
      </c>
      <c r="S2543" s="2">
        <v>43753</v>
      </c>
      <c r="T2543" s="2">
        <v>43766</v>
      </c>
    </row>
    <row r="2544" spans="1:22" x14ac:dyDescent="0.2">
      <c r="A2544" t="str">
        <f>"NEW 363.34 GAU"</f>
        <v>NEW 363.34 GAU</v>
      </c>
      <c r="B2544" t="str">
        <f>"geography of risk: epic storms, rising s"</f>
        <v>geography of risk: epic storms, rising s</v>
      </c>
      <c r="C2544">
        <v>359021</v>
      </c>
      <c r="D2544" t="str">
        <f>"Gaul, Gilbert M,"</f>
        <v>Gaul, Gilbert M,</v>
      </c>
      <c r="F2544" t="str">
        <f>"286 pages, 24 cm, illustrations"</f>
        <v>286 pages, 24 cm, illustrations</v>
      </c>
      <c r="G2544" s="1">
        <v>19</v>
      </c>
      <c r="H2544">
        <v>2019</v>
      </c>
      <c r="I2544" t="str">
        <f t="shared" si="97"/>
        <v>9: 300 - 399</v>
      </c>
      <c r="K2544" t="str">
        <f>"LL - In"</f>
        <v>LL - In</v>
      </c>
      <c r="L2544" s="1">
        <v>33</v>
      </c>
      <c r="M2544" t="s">
        <v>2358</v>
      </c>
      <c r="O2544" t="s">
        <v>28</v>
      </c>
      <c r="P2544">
        <v>5</v>
      </c>
      <c r="Q2544">
        <v>0</v>
      </c>
      <c r="R2544">
        <v>5</v>
      </c>
      <c r="S2544" s="2">
        <v>43776</v>
      </c>
      <c r="T2544" s="2">
        <v>43784</v>
      </c>
      <c r="U2544" s="2">
        <v>43855</v>
      </c>
    </row>
    <row r="2545" spans="1:21" x14ac:dyDescent="0.2">
      <c r="A2545" t="str">
        <f>"NEW 363.46 MAR"</f>
        <v>NEW 363.46 MAR</v>
      </c>
      <c r="B2545" t="str">
        <f>"Handbook for a post-Roe America"</f>
        <v>Handbook for a post-Roe America</v>
      </c>
      <c r="C2545">
        <v>358539</v>
      </c>
      <c r="D2545" t="str">
        <f>"Marty, Robin"</f>
        <v>Marty, Robin</v>
      </c>
      <c r="F2545" t="str">
        <f>"ix, 310 pages, 21 cm, illustrations"</f>
        <v>ix, 310 pages, 21 cm, illustrations</v>
      </c>
      <c r="G2545" s="1">
        <v>19</v>
      </c>
      <c r="H2545">
        <v>2019</v>
      </c>
      <c r="I2545" t="str">
        <f t="shared" si="97"/>
        <v>9: 300 - 399</v>
      </c>
      <c r="K2545" t="str">
        <f>"WB - Out"</f>
        <v>WB - Out</v>
      </c>
      <c r="L2545" s="1">
        <v>20</v>
      </c>
      <c r="M2545" t="s">
        <v>2359</v>
      </c>
      <c r="O2545" t="s">
        <v>28</v>
      </c>
      <c r="P2545">
        <v>1</v>
      </c>
      <c r="Q2545">
        <v>0</v>
      </c>
      <c r="R2545">
        <v>1</v>
      </c>
      <c r="S2545" s="2">
        <v>43756</v>
      </c>
      <c r="T2545" s="2">
        <v>43819</v>
      </c>
      <c r="U2545" s="2">
        <v>43836</v>
      </c>
    </row>
    <row r="2546" spans="1:21" x14ac:dyDescent="0.2">
      <c r="A2546" t="str">
        <f>"NEW 364 CRU"</f>
        <v>NEW 364 CRU</v>
      </c>
      <c r="B2546" t="str">
        <f>"Open season: legalized genocide of color"</f>
        <v>Open season: legalized genocide of color</v>
      </c>
      <c r="C2546">
        <v>358550</v>
      </c>
      <c r="D2546" t="str">
        <f>"Crump, Ben."</f>
        <v>Crump, Ben.</v>
      </c>
      <c r="F2546" t="str">
        <f>"272 p."</f>
        <v>272 p.</v>
      </c>
      <c r="G2546" s="1">
        <v>19</v>
      </c>
      <c r="H2546">
        <v>2019</v>
      </c>
      <c r="I2546" t="str">
        <f t="shared" si="97"/>
        <v>9: 300 - 399</v>
      </c>
      <c r="K2546" t="str">
        <f>"LL - In"</f>
        <v>LL - In</v>
      </c>
      <c r="L2546" s="1">
        <v>32</v>
      </c>
      <c r="M2546" t="s">
        <v>2360</v>
      </c>
      <c r="O2546" t="s">
        <v>28</v>
      </c>
      <c r="P2546">
        <v>0</v>
      </c>
      <c r="Q2546">
        <v>0</v>
      </c>
      <c r="R2546">
        <v>0</v>
      </c>
      <c r="S2546" s="2">
        <v>43756</v>
      </c>
      <c r="T2546" s="2">
        <v>43770</v>
      </c>
    </row>
    <row r="2547" spans="1:21" x14ac:dyDescent="0.2">
      <c r="A2547" t="str">
        <f>"NEW 364.1 GOL"</f>
        <v>NEW 364.1 GOL</v>
      </c>
      <c r="B2547" t="str">
        <f>"In Hoffa's shadow: a stepfather, a disap"</f>
        <v>In Hoffa's shadow: a stepfather, a disap</v>
      </c>
      <c r="C2547">
        <v>359898</v>
      </c>
      <c r="D2547" t="str">
        <f>"Goldsmith, Jack L"</f>
        <v>Goldsmith, Jack L</v>
      </c>
      <c r="F2547" t="str">
        <f>"354 pages, 8 unnumbered pages of plates, 24 cm, illustrations, map"</f>
        <v>354 pages, 8 unnumbered pages of plates, 24 cm, illustrations, map</v>
      </c>
      <c r="G2547" s="1">
        <v>19</v>
      </c>
      <c r="H2547">
        <v>2019</v>
      </c>
      <c r="I2547" t="str">
        <f t="shared" si="97"/>
        <v>9: 300 - 399</v>
      </c>
      <c r="K2547" t="str">
        <f>"WB - Out"</f>
        <v>WB - Out</v>
      </c>
      <c r="L2547" s="1">
        <v>33</v>
      </c>
      <c r="M2547" t="s">
        <v>2361</v>
      </c>
      <c r="O2547" t="s">
        <v>28</v>
      </c>
      <c r="P2547">
        <v>2</v>
      </c>
      <c r="Q2547">
        <v>0</v>
      </c>
      <c r="R2547">
        <v>2</v>
      </c>
      <c r="S2547" s="2">
        <v>43815</v>
      </c>
      <c r="T2547" s="2">
        <v>43819</v>
      </c>
      <c r="U2547" s="2">
        <v>43855</v>
      </c>
    </row>
    <row r="2548" spans="1:21" x14ac:dyDescent="0.2">
      <c r="A2548" t="str">
        <f>"NEW 364.15 FAR"</f>
        <v>NEW 364.15 FAR</v>
      </c>
      <c r="B2548" t="str">
        <f>"Catch and kill: lies, spies, and a consp"</f>
        <v>Catch and kill: lies, spies, and a consp</v>
      </c>
      <c r="C2548">
        <v>358680</v>
      </c>
      <c r="D2548" t="str">
        <f>"Farrow, Ronan,"</f>
        <v>Farrow, Ronan,</v>
      </c>
      <c r="F2548" t="str">
        <f>"xvi, 448 pages, 25 cm"</f>
        <v>xvi, 448 pages, 25 cm</v>
      </c>
      <c r="G2548" s="1">
        <v>19</v>
      </c>
      <c r="H2548">
        <v>2019</v>
      </c>
      <c r="I2548" t="str">
        <f t="shared" si="97"/>
        <v>9: 300 - 399</v>
      </c>
      <c r="K2548" t="str">
        <f>"WB - Out"</f>
        <v>WB - Out</v>
      </c>
      <c r="L2548" s="1">
        <v>35</v>
      </c>
      <c r="M2548" t="s">
        <v>2362</v>
      </c>
      <c r="O2548" t="s">
        <v>28</v>
      </c>
      <c r="P2548">
        <v>6</v>
      </c>
      <c r="Q2548">
        <v>0</v>
      </c>
      <c r="R2548">
        <v>6</v>
      </c>
      <c r="S2548" s="2">
        <v>43762</v>
      </c>
      <c r="T2548" s="2">
        <v>43766</v>
      </c>
      <c r="U2548" s="2">
        <v>43857</v>
      </c>
    </row>
    <row r="2549" spans="1:21" x14ac:dyDescent="0.2">
      <c r="A2549" t="str">
        <f>"NEW 364.15 FAR"</f>
        <v>NEW 364.15 FAR</v>
      </c>
      <c r="B2549" t="str">
        <f>"Catch and kill: lies, spies, and a consp"</f>
        <v>Catch and kill: lies, spies, and a consp</v>
      </c>
      <c r="C2549">
        <v>359547</v>
      </c>
      <c r="D2549" t="str">
        <f>"Farrow, Ronan,"</f>
        <v>Farrow, Ronan,</v>
      </c>
      <c r="F2549" t="str">
        <f>"xvi, 448 pages, 25 cm"</f>
        <v>xvi, 448 pages, 25 cm</v>
      </c>
      <c r="G2549" s="1">
        <v>19</v>
      </c>
      <c r="H2549">
        <v>2019</v>
      </c>
      <c r="I2549" t="str">
        <f t="shared" si="97"/>
        <v>9: 300 - 399</v>
      </c>
      <c r="K2549" t="str">
        <f>"WB - Out"</f>
        <v>WB - Out</v>
      </c>
      <c r="L2549" s="1">
        <v>35</v>
      </c>
      <c r="M2549" t="s">
        <v>2362</v>
      </c>
      <c r="O2549" t="s">
        <v>28</v>
      </c>
      <c r="P2549">
        <v>5</v>
      </c>
      <c r="Q2549">
        <v>0</v>
      </c>
      <c r="R2549">
        <v>5</v>
      </c>
      <c r="S2549" s="2">
        <v>43802</v>
      </c>
      <c r="T2549" s="2">
        <v>43811</v>
      </c>
      <c r="U2549" s="2">
        <v>43861</v>
      </c>
    </row>
    <row r="2550" spans="1:21" x14ac:dyDescent="0.2">
      <c r="A2550" t="str">
        <f>"NEW 364.15 FRA"</f>
        <v>NEW 364.15 FRA</v>
      </c>
      <c r="B2550" t="str">
        <f>"Alice &amp; Gerald: a homicidal love story"</f>
        <v>Alice &amp; Gerald: a homicidal love story</v>
      </c>
      <c r="C2550">
        <v>360145</v>
      </c>
      <c r="D2550" t="str">
        <f>"Franscell, Ron,"</f>
        <v>Franscell, Ron,</v>
      </c>
      <c r="F2550" t="str">
        <f>"314 pages, 16 unnumbered pages of plates, 23 cm, illustrations, color"</f>
        <v>314 pages, 16 unnumbered pages of plates, 23 cm, illustrations, color</v>
      </c>
      <c r="G2550" s="1">
        <v>19</v>
      </c>
      <c r="H2550">
        <v>2019</v>
      </c>
      <c r="I2550" t="str">
        <f t="shared" si="97"/>
        <v>9: 300 - 399</v>
      </c>
      <c r="K2550" t="str">
        <f>"WB - Out"</f>
        <v>WB - Out</v>
      </c>
      <c r="L2550" s="1">
        <v>23</v>
      </c>
      <c r="M2550" t="s">
        <v>2363</v>
      </c>
      <c r="O2550" t="s">
        <v>28</v>
      </c>
      <c r="P2550">
        <v>1</v>
      </c>
      <c r="Q2550">
        <v>0</v>
      </c>
      <c r="R2550">
        <v>1</v>
      </c>
      <c r="S2550" s="2">
        <v>43833</v>
      </c>
      <c r="T2550" s="2">
        <v>43845</v>
      </c>
      <c r="U2550" s="2">
        <v>43852</v>
      </c>
    </row>
    <row r="2551" spans="1:21" x14ac:dyDescent="0.2">
      <c r="A2551" t="str">
        <f>"NEW 364.15 JOL"</f>
        <v>NEW 364.15 JOL</v>
      </c>
      <c r="B2551" t="str">
        <f>"Red River girl: the life and death of Ti"</f>
        <v>Red River girl: the life and death of Ti</v>
      </c>
      <c r="C2551">
        <v>358890</v>
      </c>
      <c r="D2551" t="str">
        <f>"Jolly, Joanna"</f>
        <v>Jolly, Joanna</v>
      </c>
      <c r="F2551" t="str">
        <f>"291 pages, 23 cm"</f>
        <v>291 pages, 23 cm</v>
      </c>
      <c r="G2551" s="1">
        <v>19</v>
      </c>
      <c r="H2551">
        <v>2019</v>
      </c>
      <c r="I2551" t="str">
        <f t="shared" si="97"/>
        <v>9: 300 - 399</v>
      </c>
      <c r="K2551" t="str">
        <f>"WB - In"</f>
        <v>WB - In</v>
      </c>
      <c r="L2551" s="1">
        <v>22</v>
      </c>
      <c r="M2551" t="s">
        <v>2364</v>
      </c>
      <c r="O2551" t="s">
        <v>28</v>
      </c>
      <c r="P2551">
        <v>3</v>
      </c>
      <c r="Q2551">
        <v>0</v>
      </c>
      <c r="R2551">
        <v>3</v>
      </c>
      <c r="S2551" s="2">
        <v>43769</v>
      </c>
      <c r="T2551" s="2">
        <v>43781</v>
      </c>
      <c r="U2551" s="2">
        <v>43846</v>
      </c>
    </row>
    <row r="2552" spans="1:21" x14ac:dyDescent="0.2">
      <c r="A2552" t="str">
        <f>"NEW 364.15 KEE"</f>
        <v>NEW 364.15 KEE</v>
      </c>
      <c r="B2552" t="str">
        <f>"Say nothing: a true story of murder and "</f>
        <v xml:space="preserve">Say nothing: a true story of murder and </v>
      </c>
      <c r="C2552">
        <v>360645</v>
      </c>
      <c r="D2552" t="str">
        <f>"Keefe, Patrick Radden"</f>
        <v>Keefe, Patrick Radden</v>
      </c>
      <c r="F2552" t="str">
        <f>"xii, 441 pages, 24 cm, illustrations"</f>
        <v>xii, 441 pages, 24 cm, illustrations</v>
      </c>
      <c r="G2552" s="1">
        <v>20</v>
      </c>
      <c r="H2552">
        <v>2019</v>
      </c>
      <c r="I2552" t="str">
        <f t="shared" si="97"/>
        <v>9: 300 - 399</v>
      </c>
      <c r="K2552" t="str">
        <f>"WB - Reserve Cart"</f>
        <v>WB - Reserve Cart</v>
      </c>
      <c r="L2552" s="1">
        <v>34</v>
      </c>
      <c r="M2552" t="s">
        <v>1558</v>
      </c>
      <c r="O2552" t="s">
        <v>28</v>
      </c>
      <c r="P2552">
        <v>0</v>
      </c>
      <c r="Q2552">
        <v>0</v>
      </c>
      <c r="R2552">
        <v>0</v>
      </c>
      <c r="S2552" s="2">
        <v>43859</v>
      </c>
      <c r="T2552" s="2">
        <v>43861</v>
      </c>
    </row>
    <row r="2553" spans="1:21" x14ac:dyDescent="0.2">
      <c r="A2553" t="str">
        <f>"NEW 364.15 KOT"</f>
        <v>NEW 364.15 KOT</v>
      </c>
      <c r="B2553" t="str">
        <f>"American summer: love and death in Chica"</f>
        <v>American summer: love and death in Chica</v>
      </c>
      <c r="C2553">
        <v>358520</v>
      </c>
      <c r="D2553" t="str">
        <f>"Kotlowitz, Alex"</f>
        <v>Kotlowitz, Alex</v>
      </c>
      <c r="F2553" t="str">
        <f>"x, 287 pages, 25 cm"</f>
        <v>x, 287 pages, 25 cm</v>
      </c>
      <c r="G2553" s="1">
        <v>19</v>
      </c>
      <c r="H2553">
        <v>2019</v>
      </c>
      <c r="I2553" t="str">
        <f t="shared" si="97"/>
        <v>9: 300 - 399</v>
      </c>
      <c r="K2553" t="str">
        <f>"LL - In"</f>
        <v>LL - In</v>
      </c>
      <c r="L2553" s="1">
        <v>33</v>
      </c>
      <c r="M2553" t="s">
        <v>2365</v>
      </c>
      <c r="O2553" t="s">
        <v>28</v>
      </c>
      <c r="P2553">
        <v>1</v>
      </c>
      <c r="Q2553">
        <v>0</v>
      </c>
      <c r="R2553">
        <v>1</v>
      </c>
      <c r="S2553" s="2">
        <v>43756</v>
      </c>
      <c r="T2553" s="2">
        <v>43766</v>
      </c>
      <c r="U2553" s="2">
        <v>43779</v>
      </c>
    </row>
    <row r="2554" spans="1:21" x14ac:dyDescent="0.2">
      <c r="A2554" t="str">
        <f>"NEW 364.15 MCD"</f>
        <v>NEW 364.15 MCD</v>
      </c>
      <c r="B2554" t="str">
        <f>"Highway of Tears: a true story of racism"</f>
        <v>Highway of Tears: a true story of racism</v>
      </c>
      <c r="C2554">
        <v>360158</v>
      </c>
      <c r="D2554" t="str">
        <f>"McDiarmid, Jessica"</f>
        <v>McDiarmid, Jessica</v>
      </c>
      <c r="F2554" t="str">
        <f>"xiii, 331 pages, 24 cm, illustrations, maps"</f>
        <v>xiii, 331 pages, 24 cm, illustrations, maps</v>
      </c>
      <c r="G2554" s="1">
        <v>19</v>
      </c>
      <c r="H2554">
        <v>2019</v>
      </c>
      <c r="I2554" t="str">
        <f t="shared" si="97"/>
        <v>9: 300 - 399</v>
      </c>
      <c r="K2554" t="str">
        <f>"WB - In"</f>
        <v>WB - In</v>
      </c>
      <c r="L2554" s="1">
        <v>33</v>
      </c>
      <c r="M2554" t="s">
        <v>2366</v>
      </c>
      <c r="O2554" t="s">
        <v>28</v>
      </c>
      <c r="P2554">
        <v>0</v>
      </c>
      <c r="Q2554">
        <v>0</v>
      </c>
      <c r="R2554">
        <v>0</v>
      </c>
      <c r="S2554" s="2">
        <v>43833</v>
      </c>
      <c r="T2554" s="2">
        <v>43847</v>
      </c>
    </row>
    <row r="2555" spans="1:21" x14ac:dyDescent="0.2">
      <c r="A2555" t="str">
        <f>"NEW 364.15 PHE"</f>
        <v>NEW 364.15 PHE</v>
      </c>
      <c r="B2555" t="str">
        <f>"Where monsters hide: sex, murder, and ma"</f>
        <v>Where monsters hide: sex, murder, and ma</v>
      </c>
      <c r="C2555">
        <v>356158</v>
      </c>
      <c r="D2555" t="str">
        <f>"Phelps, M. William"</f>
        <v>Phelps, M. William</v>
      </c>
      <c r="F2555" t="str">
        <f>"352 pages, 16 unnumbered pages of plates, 23 cm, illustrations"</f>
        <v>352 pages, 16 unnumbered pages of plates, 23 cm, illustrations</v>
      </c>
      <c r="G2555" s="1">
        <v>19</v>
      </c>
      <c r="H2555">
        <v>2019</v>
      </c>
      <c r="I2555" t="str">
        <f t="shared" si="97"/>
        <v>9: 300 - 399</v>
      </c>
      <c r="K2555" t="str">
        <f>"LL - Out"</f>
        <v>LL - Out</v>
      </c>
      <c r="L2555" s="1">
        <v>21</v>
      </c>
      <c r="M2555" t="s">
        <v>2367</v>
      </c>
      <c r="O2555" t="s">
        <v>28</v>
      </c>
      <c r="P2555">
        <v>6</v>
      </c>
      <c r="Q2555">
        <v>0</v>
      </c>
      <c r="R2555">
        <v>6</v>
      </c>
      <c r="S2555" s="2">
        <v>43655</v>
      </c>
      <c r="T2555" s="2">
        <v>43665</v>
      </c>
      <c r="U2555" s="2">
        <v>43792</v>
      </c>
    </row>
    <row r="2556" spans="1:21" x14ac:dyDescent="0.2">
      <c r="A2556" t="str">
        <f>"NEW 364.16 ABA"</f>
        <v>NEW 364.16 ABA</v>
      </c>
      <c r="B2556" t="str">
        <f>"Scam me if you can: simple strategies to"</f>
        <v>Scam me if you can: simple strategies to</v>
      </c>
      <c r="C2556">
        <v>357921</v>
      </c>
      <c r="D2556" t="str">
        <f>"Abagnale, Frank W."</f>
        <v>Abagnale, Frank W.</v>
      </c>
      <c r="F2556" t="str">
        <f>"xiii, 336 pages, 21 cm"</f>
        <v>xiii, 336 pages, 21 cm</v>
      </c>
      <c r="G2556" s="1">
        <v>19</v>
      </c>
      <c r="H2556">
        <v>2019</v>
      </c>
      <c r="I2556" t="str">
        <f t="shared" si="97"/>
        <v>9: 300 - 399</v>
      </c>
      <c r="K2556" t="str">
        <f>"WB - Out"</f>
        <v>WB - Out</v>
      </c>
      <c r="L2556" s="1">
        <v>24</v>
      </c>
      <c r="M2556" t="s">
        <v>2368</v>
      </c>
      <c r="O2556" t="s">
        <v>28</v>
      </c>
      <c r="P2556">
        <v>5</v>
      </c>
      <c r="Q2556">
        <v>0</v>
      </c>
      <c r="R2556">
        <v>5</v>
      </c>
      <c r="S2556" s="2">
        <v>43733</v>
      </c>
      <c r="T2556" s="2">
        <v>43739</v>
      </c>
      <c r="U2556" s="2">
        <v>43860</v>
      </c>
    </row>
    <row r="2557" spans="1:21" x14ac:dyDescent="0.2">
      <c r="A2557" t="str">
        <f>"NEW 364.16 GRE"</f>
        <v>NEW 364.16 GRE</v>
      </c>
      <c r="B2557" t="str">
        <f>"Sandworm: a new era of cyberwar and the "</f>
        <v xml:space="preserve">Sandworm: a new era of cyberwar and the </v>
      </c>
      <c r="C2557">
        <v>360176</v>
      </c>
      <c r="D2557" t="str">
        <f>"Greenberg, Andy."</f>
        <v>Greenberg, Andy.</v>
      </c>
      <c r="F2557" t="str">
        <f>"xiii, 348 pages, 25 cm"</f>
        <v>xiii, 348 pages, 25 cm</v>
      </c>
      <c r="G2557" s="1">
        <v>19</v>
      </c>
      <c r="H2557">
        <v>2019</v>
      </c>
      <c r="I2557" t="str">
        <f t="shared" si="97"/>
        <v>9: 300 - 399</v>
      </c>
      <c r="K2557" t="str">
        <f>"LL - Out"</f>
        <v>LL - Out</v>
      </c>
      <c r="L2557" s="1">
        <v>34</v>
      </c>
      <c r="M2557" t="s">
        <v>2369</v>
      </c>
      <c r="O2557" t="s">
        <v>28</v>
      </c>
      <c r="P2557">
        <v>2</v>
      </c>
      <c r="Q2557">
        <v>0</v>
      </c>
      <c r="R2557">
        <v>2</v>
      </c>
      <c r="S2557" s="2">
        <v>43833</v>
      </c>
      <c r="T2557" s="2">
        <v>43845</v>
      </c>
      <c r="U2557" s="2">
        <v>43852</v>
      </c>
    </row>
    <row r="2558" spans="1:21" x14ac:dyDescent="0.2">
      <c r="A2558" t="str">
        <f>"NEW 364.16 WIL"</f>
        <v>NEW 364.16 WIL</v>
      </c>
      <c r="B2558" t="str">
        <f>"My friend Anna: the true story of a fake"</f>
        <v>My friend Anna: the true story of a fake</v>
      </c>
      <c r="C2558">
        <v>356666</v>
      </c>
      <c r="D2558" t="str">
        <f>"Williams, Rachel DeLoache"</f>
        <v>Williams, Rachel DeLoache</v>
      </c>
      <c r="F2558" t="str">
        <f>"x, 278 pages, 24 cm"</f>
        <v>x, 278 pages, 24 cm</v>
      </c>
      <c r="G2558" s="1">
        <v>19</v>
      </c>
      <c r="H2558">
        <v>2019</v>
      </c>
      <c r="I2558" t="str">
        <f t="shared" si="97"/>
        <v>9: 300 - 399</v>
      </c>
      <c r="K2558" t="str">
        <f>"WB - Out"</f>
        <v>WB - Out</v>
      </c>
      <c r="L2558" s="1">
        <v>32</v>
      </c>
      <c r="M2558" t="s">
        <v>2370</v>
      </c>
      <c r="O2558" t="s">
        <v>28</v>
      </c>
      <c r="P2558">
        <v>5</v>
      </c>
      <c r="Q2558">
        <v>0</v>
      </c>
      <c r="R2558">
        <v>5</v>
      </c>
      <c r="S2558" s="2">
        <v>43689</v>
      </c>
      <c r="T2558" s="2">
        <v>43699</v>
      </c>
      <c r="U2558" s="2">
        <v>43855</v>
      </c>
    </row>
    <row r="2559" spans="1:21" x14ac:dyDescent="0.2">
      <c r="A2559" t="str">
        <f>"NEW 364.3 MON"</f>
        <v>NEW 364.3 MON</v>
      </c>
      <c r="B2559" t="str">
        <f>"Savage appetites: four true stories of w"</f>
        <v>Savage appetites: four true stories of w</v>
      </c>
      <c r="C2559">
        <v>357312</v>
      </c>
      <c r="D2559" t="str">
        <f>"Monroe, Rachel"</f>
        <v>Monroe, Rachel</v>
      </c>
      <c r="F2559" t="str">
        <f>"ix, 257 pages, 22 cm, illustrations"</f>
        <v>ix, 257 pages, 22 cm, illustrations</v>
      </c>
      <c r="G2559" s="1">
        <v>19</v>
      </c>
      <c r="H2559">
        <v>2019</v>
      </c>
      <c r="I2559" t="str">
        <f t="shared" si="97"/>
        <v>9: 300 - 399</v>
      </c>
      <c r="K2559" t="str">
        <f>"WB - In"</f>
        <v>WB - In</v>
      </c>
      <c r="L2559" s="1">
        <v>31</v>
      </c>
      <c r="M2559" t="s">
        <v>2371</v>
      </c>
      <c r="O2559" t="s">
        <v>28</v>
      </c>
      <c r="P2559">
        <v>5</v>
      </c>
      <c r="Q2559">
        <v>0</v>
      </c>
      <c r="R2559">
        <v>5</v>
      </c>
      <c r="S2559" s="2">
        <v>43711</v>
      </c>
      <c r="T2559" s="2">
        <v>43734</v>
      </c>
      <c r="U2559" s="2">
        <v>43852</v>
      </c>
    </row>
    <row r="2560" spans="1:21" x14ac:dyDescent="0.2">
      <c r="A2560" t="str">
        <f>"NEW 365 KES"</f>
        <v>NEW 365 KES</v>
      </c>
      <c r="B2560" t="str">
        <f>"grip of time: when prison is your life"</f>
        <v>grip of time: when prison is your life</v>
      </c>
      <c r="C2560">
        <v>360156</v>
      </c>
      <c r="D2560" t="str">
        <f>"Kessler, Lauren"</f>
        <v>Kessler, Lauren</v>
      </c>
      <c r="F2560" t="str">
        <f>"ix, 203 pages, 24 cm"</f>
        <v>ix, 203 pages, 24 cm</v>
      </c>
      <c r="G2560" s="1">
        <v>19</v>
      </c>
      <c r="H2560">
        <v>2019</v>
      </c>
      <c r="I2560" t="str">
        <f t="shared" si="97"/>
        <v>9: 300 - 399</v>
      </c>
      <c r="K2560" t="str">
        <f>"LL - Out"</f>
        <v>LL - Out</v>
      </c>
      <c r="L2560" s="1">
        <v>30</v>
      </c>
      <c r="M2560" t="s">
        <v>2372</v>
      </c>
      <c r="O2560" t="s">
        <v>28</v>
      </c>
      <c r="P2560">
        <v>1</v>
      </c>
      <c r="Q2560">
        <v>0</v>
      </c>
      <c r="R2560">
        <v>1</v>
      </c>
      <c r="S2560" s="2">
        <v>43833</v>
      </c>
      <c r="T2560" s="2">
        <v>43845</v>
      </c>
      <c r="U2560" s="2">
        <v>43860</v>
      </c>
    </row>
    <row r="2561" spans="1:22" x14ac:dyDescent="0.2">
      <c r="A2561" t="str">
        <f>"NEW 370.15 BOA"</f>
        <v>NEW 370.15 BOA</v>
      </c>
      <c r="B2561" t="str">
        <f>"Limitless mind: learn, lead, and live wi"</f>
        <v>Limitless mind: learn, lead, and live wi</v>
      </c>
      <c r="C2561">
        <v>357513</v>
      </c>
      <c r="D2561" t="str">
        <f>"Boaler, Jo"</f>
        <v>Boaler, Jo</v>
      </c>
      <c r="F2561" t="str">
        <f>"248 pages, 24 cm, illustrations"</f>
        <v>248 pages, 24 cm, illustrations</v>
      </c>
      <c r="G2561" s="1">
        <v>19</v>
      </c>
      <c r="H2561">
        <v>2019</v>
      </c>
      <c r="I2561" t="str">
        <f t="shared" si="97"/>
        <v>9: 300 - 399</v>
      </c>
      <c r="K2561" t="str">
        <f>"WB - Out"</f>
        <v>WB - Out</v>
      </c>
      <c r="L2561" s="1">
        <v>32</v>
      </c>
      <c r="M2561" t="s">
        <v>2373</v>
      </c>
      <c r="O2561" t="s">
        <v>28</v>
      </c>
      <c r="P2561">
        <v>4</v>
      </c>
      <c r="Q2561">
        <v>0</v>
      </c>
      <c r="R2561">
        <v>4</v>
      </c>
      <c r="S2561" s="2">
        <v>43719</v>
      </c>
      <c r="T2561" s="2">
        <v>43739</v>
      </c>
      <c r="U2561" s="2">
        <v>43817</v>
      </c>
    </row>
    <row r="2562" spans="1:22" x14ac:dyDescent="0.2">
      <c r="A2562" t="str">
        <f>"NEW 370.9 GAB"</f>
        <v>NEW 370.9 GAB</v>
      </c>
      <c r="B2562" t="str">
        <f>"After the education wars: how smart scho"</f>
        <v>After the education wars: how smart scho</v>
      </c>
      <c r="C2562">
        <v>349428</v>
      </c>
      <c r="D2562" t="str">
        <f>"Gabor, Andrea"</f>
        <v>Gabor, Andrea</v>
      </c>
      <c r="F2562" t="str">
        <f>"pages cm"</f>
        <v>pages cm</v>
      </c>
      <c r="G2562" s="1">
        <v>18</v>
      </c>
      <c r="H2562">
        <v>2018</v>
      </c>
      <c r="I2562" t="str">
        <f t="shared" si="97"/>
        <v>9: 300 - 399</v>
      </c>
      <c r="K2562" t="str">
        <f>"LL - Out"</f>
        <v>LL - Out</v>
      </c>
      <c r="L2562" s="1">
        <v>33</v>
      </c>
      <c r="M2562" t="s">
        <v>1682</v>
      </c>
      <c r="O2562" t="s">
        <v>28</v>
      </c>
      <c r="P2562">
        <v>6</v>
      </c>
      <c r="Q2562">
        <v>0</v>
      </c>
      <c r="R2562">
        <v>6</v>
      </c>
      <c r="S2562" s="2">
        <v>43333</v>
      </c>
      <c r="T2562" s="2">
        <v>43342</v>
      </c>
      <c r="U2562" s="2">
        <v>43810</v>
      </c>
    </row>
    <row r="2563" spans="1:22" x14ac:dyDescent="0.2">
      <c r="A2563" t="str">
        <f>"NEW 378 KIR"</f>
        <v>NEW 378 KIR</v>
      </c>
      <c r="B2563" t="str">
        <f>"college dropout scandal"</f>
        <v>college dropout scandal</v>
      </c>
      <c r="C2563">
        <v>357499</v>
      </c>
      <c r="D2563" t="str">
        <f>"Kirp, David L."</f>
        <v>Kirp, David L.</v>
      </c>
      <c r="F2563" t="str">
        <f>"175 pages, 25 cm"</f>
        <v>175 pages, 25 cm</v>
      </c>
      <c r="G2563" s="1">
        <v>19</v>
      </c>
      <c r="H2563">
        <v>2019</v>
      </c>
      <c r="I2563" t="str">
        <f t="shared" si="97"/>
        <v>9: 300 - 399</v>
      </c>
      <c r="K2563" t="str">
        <f>"LL - Out"</f>
        <v>LL - Out</v>
      </c>
      <c r="L2563" s="1">
        <v>30</v>
      </c>
      <c r="M2563" t="s">
        <v>2374</v>
      </c>
      <c r="O2563" t="s">
        <v>28</v>
      </c>
      <c r="P2563">
        <v>4</v>
      </c>
      <c r="Q2563">
        <v>0</v>
      </c>
      <c r="R2563">
        <v>4</v>
      </c>
      <c r="S2563" s="2">
        <v>43719</v>
      </c>
      <c r="T2563" s="2">
        <v>43741</v>
      </c>
      <c r="U2563" s="2">
        <v>43815</v>
      </c>
    </row>
    <row r="2564" spans="1:22" x14ac:dyDescent="0.2">
      <c r="A2564" t="str">
        <f>"NEW 378 PER"</f>
        <v>NEW 378 PER</v>
      </c>
      <c r="B2564" t="str">
        <f>"Yale needs women: how the first group of"</f>
        <v>Yale needs women: how the first group of</v>
      </c>
      <c r="C2564">
        <v>357945</v>
      </c>
      <c r="D2564" t="str">
        <f>"Perkins, Anne Gardiner"</f>
        <v>Perkins, Anne Gardiner</v>
      </c>
      <c r="F2564" t="str">
        <f>"xv, 367 pages, 8 unnumbered pages of plates, 24 cm, illustrations"</f>
        <v>xv, 367 pages, 8 unnumbered pages of plates, 24 cm, illustrations</v>
      </c>
      <c r="G2564" s="1">
        <v>19</v>
      </c>
      <c r="H2564">
        <v>2019</v>
      </c>
      <c r="I2564" t="str">
        <f t="shared" si="97"/>
        <v>9: 300 - 399</v>
      </c>
      <c r="K2564" t="str">
        <f>"LL - In"</f>
        <v>LL - In</v>
      </c>
      <c r="L2564" s="1">
        <v>31</v>
      </c>
      <c r="M2564" t="s">
        <v>2375</v>
      </c>
      <c r="O2564" t="s">
        <v>28</v>
      </c>
      <c r="P2564">
        <v>3</v>
      </c>
      <c r="Q2564">
        <v>0</v>
      </c>
      <c r="R2564">
        <v>3</v>
      </c>
      <c r="S2564" s="2">
        <v>43733</v>
      </c>
      <c r="T2564" s="2">
        <v>43749</v>
      </c>
      <c r="U2564" s="2">
        <v>43820</v>
      </c>
    </row>
    <row r="2565" spans="1:22" x14ac:dyDescent="0.2">
      <c r="A2565" t="str">
        <f>"NEW 378 ROT"</f>
        <v>NEW 378 ROT</v>
      </c>
      <c r="B2565" t="str">
        <f>"Safe enough spaces: a pragmatist's appro"</f>
        <v>Safe enough spaces: a pragmatist's appro</v>
      </c>
      <c r="C2565">
        <v>407200</v>
      </c>
      <c r="D2565" t="str">
        <f>"Roth, Michael S.,"</f>
        <v>Roth, Michael S.,</v>
      </c>
      <c r="F2565" t="str">
        <f>"xii, 142 p., 22 cm"</f>
        <v>xii, 142 p., 22 cm</v>
      </c>
      <c r="G2565" s="1">
        <v>19</v>
      </c>
      <c r="H2565">
        <v>2019</v>
      </c>
      <c r="I2565" t="str">
        <f t="shared" si="97"/>
        <v>9: 300 - 399</v>
      </c>
      <c r="K2565" t="str">
        <f>"LL - Out"</f>
        <v>LL - Out</v>
      </c>
      <c r="L2565" s="1">
        <v>25</v>
      </c>
      <c r="M2565" t="s">
        <v>2376</v>
      </c>
      <c r="O2565" t="s">
        <v>28</v>
      </c>
      <c r="P2565">
        <v>3</v>
      </c>
      <c r="Q2565">
        <v>0</v>
      </c>
      <c r="R2565">
        <v>3</v>
      </c>
      <c r="S2565" s="2">
        <v>43738</v>
      </c>
      <c r="T2565" s="2">
        <v>43781</v>
      </c>
      <c r="U2565" s="2">
        <v>43840</v>
      </c>
    </row>
    <row r="2566" spans="1:22" x14ac:dyDescent="0.2">
      <c r="A2566" t="str">
        <f>"NEW 378.19 TOU"</f>
        <v>NEW 378.19 TOU</v>
      </c>
      <c r="B2566" t="str">
        <f>"years that matter most: how college make"</f>
        <v>years that matter most: how college make</v>
      </c>
      <c r="C2566">
        <v>359071</v>
      </c>
      <c r="D2566" t="str">
        <f>"Tough, Paul."</f>
        <v>Tough, Paul.</v>
      </c>
      <c r="F2566" t="str">
        <f>"viii, 390 pages, 24 cm"</f>
        <v>viii, 390 pages, 24 cm</v>
      </c>
      <c r="G2566" s="1">
        <v>19</v>
      </c>
      <c r="H2566">
        <v>2019</v>
      </c>
      <c r="I2566" t="str">
        <f t="shared" si="97"/>
        <v>9: 300 - 399</v>
      </c>
      <c r="K2566" t="str">
        <f>"LL - Out"</f>
        <v>LL - Out</v>
      </c>
      <c r="L2566" s="1">
        <v>33</v>
      </c>
      <c r="M2566" t="s">
        <v>2377</v>
      </c>
      <c r="O2566" t="s">
        <v>28</v>
      </c>
      <c r="P2566">
        <v>3</v>
      </c>
      <c r="Q2566">
        <v>0</v>
      </c>
      <c r="R2566">
        <v>3</v>
      </c>
      <c r="S2566" s="2">
        <v>43776</v>
      </c>
      <c r="T2566" s="2">
        <v>43784</v>
      </c>
      <c r="U2566" s="2">
        <v>43851</v>
      </c>
    </row>
    <row r="2567" spans="1:22" x14ac:dyDescent="0.2">
      <c r="A2567" t="str">
        <f>"NEW 378.3 ZAL"</f>
        <v>NEW 378.3 ZAL</v>
      </c>
      <c r="B2567" t="str">
        <f>"Indebted: how families make college work"</f>
        <v>Indebted: how families make college work</v>
      </c>
      <c r="C2567">
        <v>357704</v>
      </c>
      <c r="D2567" t="str">
        <f>"Zaloom, Caitlin"</f>
        <v>Zaloom, Caitlin</v>
      </c>
      <c r="F2567" t="str">
        <f>"ix, 267 pages, 22 cm, illustrations"</f>
        <v>ix, 267 pages, 22 cm, illustrations</v>
      </c>
      <c r="G2567" s="1">
        <v>19</v>
      </c>
      <c r="H2567">
        <v>2019</v>
      </c>
      <c r="I2567" t="str">
        <f t="shared" si="97"/>
        <v>9: 300 - 399</v>
      </c>
      <c r="K2567" t="str">
        <f>"WB - In"</f>
        <v>WB - In</v>
      </c>
      <c r="L2567" s="1">
        <v>35</v>
      </c>
      <c r="M2567" t="s">
        <v>2378</v>
      </c>
      <c r="O2567" t="s">
        <v>28</v>
      </c>
      <c r="P2567">
        <v>2</v>
      </c>
      <c r="Q2567">
        <v>0</v>
      </c>
      <c r="R2567">
        <v>2</v>
      </c>
      <c r="S2567" s="2">
        <v>43725</v>
      </c>
      <c r="T2567" s="2">
        <v>43749</v>
      </c>
      <c r="U2567" s="2">
        <v>43827</v>
      </c>
    </row>
    <row r="2568" spans="1:22" x14ac:dyDescent="0.2">
      <c r="A2568" t="str">
        <f>"NEW 379.2 PON"</f>
        <v>NEW 379.2 PON</v>
      </c>
      <c r="B2568" t="str">
        <f>"How the other half learns: equality, exc"</f>
        <v>How the other half learns: equality, exc</v>
      </c>
      <c r="C2568">
        <v>358317</v>
      </c>
      <c r="D2568" t="str">
        <f>"Pondiscio, Robert"</f>
        <v>Pondiscio, Robert</v>
      </c>
      <c r="F2568" t="str">
        <f>"viii, 374 pages, 24 cm"</f>
        <v>viii, 374 pages, 24 cm</v>
      </c>
      <c r="G2568" s="1">
        <v>19</v>
      </c>
      <c r="H2568">
        <v>2019</v>
      </c>
      <c r="I2568" t="str">
        <f t="shared" ref="I2568:I2573" si="98">"9: 300 - 399"</f>
        <v>9: 300 - 399</v>
      </c>
      <c r="K2568" t="str">
        <f>"LL - In"</f>
        <v>LL - In</v>
      </c>
      <c r="L2568" s="1">
        <v>32</v>
      </c>
      <c r="M2568" t="s">
        <v>2379</v>
      </c>
      <c r="O2568" t="s">
        <v>28</v>
      </c>
      <c r="P2568">
        <v>2</v>
      </c>
      <c r="Q2568">
        <v>0</v>
      </c>
      <c r="R2568">
        <v>2</v>
      </c>
      <c r="S2568" s="2">
        <v>43749</v>
      </c>
      <c r="T2568" s="2">
        <v>43766</v>
      </c>
      <c r="U2568" s="2">
        <v>43810</v>
      </c>
    </row>
    <row r="2569" spans="1:22" x14ac:dyDescent="0.2">
      <c r="A2569" t="str">
        <f>"NEW 381 JAC"</f>
        <v>NEW 381 JAC</v>
      </c>
      <c r="B2569" t="str">
        <f>"truffle underground: a tale of mystery, "</f>
        <v xml:space="preserve">truffle underground: a tale of mystery, </v>
      </c>
      <c r="C2569">
        <v>357538</v>
      </c>
      <c r="D2569" t="str">
        <f>"Jacobs, Ryan"</f>
        <v>Jacobs, Ryan</v>
      </c>
      <c r="F2569" t="str">
        <f>"vi, 279 p., 21 cm, map"</f>
        <v>vi, 279 p., 21 cm, map</v>
      </c>
      <c r="G2569" s="1">
        <v>19</v>
      </c>
      <c r="H2569">
        <v>2019</v>
      </c>
      <c r="I2569" t="str">
        <f t="shared" si="98"/>
        <v>9: 300 - 399</v>
      </c>
      <c r="K2569" t="str">
        <f>"LL - In"</f>
        <v>LL - In</v>
      </c>
      <c r="L2569" s="1">
        <v>21</v>
      </c>
      <c r="M2569" t="s">
        <v>2380</v>
      </c>
      <c r="O2569" t="s">
        <v>28</v>
      </c>
      <c r="P2569">
        <v>1</v>
      </c>
      <c r="Q2569">
        <v>0</v>
      </c>
      <c r="R2569">
        <v>1</v>
      </c>
      <c r="S2569" s="2">
        <v>43719</v>
      </c>
      <c r="T2569" s="2">
        <v>43749</v>
      </c>
      <c r="U2569" s="2">
        <v>43800</v>
      </c>
    </row>
    <row r="2570" spans="1:22" x14ac:dyDescent="0.2">
      <c r="A2570" t="str">
        <f>"NEW 381 MIN"</f>
        <v>NEW 381 MIN</v>
      </c>
      <c r="B2570" t="str">
        <f>"Secondhand: travels in the new global ga"</f>
        <v>Secondhand: travels in the new global ga</v>
      </c>
      <c r="C2570">
        <v>359572</v>
      </c>
      <c r="D2570" t="str">
        <f>"Minter, Adam,"</f>
        <v>Minter, Adam,</v>
      </c>
      <c r="F2570" t="str">
        <f>"xix, 299 pages, 25 cm, illustrations"</f>
        <v>xix, 299 pages, 25 cm, illustrations</v>
      </c>
      <c r="G2570" s="1">
        <v>19</v>
      </c>
      <c r="H2570">
        <v>2019</v>
      </c>
      <c r="I2570" t="str">
        <f t="shared" si="98"/>
        <v>9: 300 - 399</v>
      </c>
      <c r="K2570" t="str">
        <f>"WB - In"</f>
        <v>WB - In</v>
      </c>
      <c r="L2570" s="1">
        <v>33</v>
      </c>
      <c r="M2570" t="s">
        <v>2381</v>
      </c>
      <c r="O2570" t="s">
        <v>28</v>
      </c>
      <c r="P2570">
        <v>2</v>
      </c>
      <c r="Q2570">
        <v>0</v>
      </c>
      <c r="R2570">
        <v>2</v>
      </c>
      <c r="S2570" s="2">
        <v>43802</v>
      </c>
      <c r="T2570" s="2">
        <v>43811</v>
      </c>
      <c r="U2570" s="2">
        <v>43833</v>
      </c>
    </row>
    <row r="2571" spans="1:22" x14ac:dyDescent="0.2">
      <c r="A2571" t="str">
        <f>"NEW 384.54 ROS"</f>
        <v>NEW 384.54 ROS</v>
      </c>
      <c r="B2571" t="str">
        <f>"Talk radio's America: how an industry to"</f>
        <v>Talk radio's America: how an industry to</v>
      </c>
      <c r="C2571">
        <v>358135</v>
      </c>
      <c r="D2571" t="str">
        <f>"Rosenwald, Brian"</f>
        <v>Rosenwald, Brian</v>
      </c>
      <c r="F2571" t="str">
        <f>"pages cm"</f>
        <v>pages cm</v>
      </c>
      <c r="G2571" s="1">
        <v>19</v>
      </c>
      <c r="H2571">
        <v>2019</v>
      </c>
      <c r="I2571" t="str">
        <f t="shared" si="98"/>
        <v>9: 300 - 399</v>
      </c>
      <c r="K2571" t="str">
        <f>"LL - In"</f>
        <v>LL - In</v>
      </c>
      <c r="L2571" s="1">
        <v>35</v>
      </c>
      <c r="M2571" t="s">
        <v>2382</v>
      </c>
      <c r="O2571" t="s">
        <v>28</v>
      </c>
      <c r="P2571">
        <v>1</v>
      </c>
      <c r="Q2571">
        <v>0</v>
      </c>
      <c r="R2571">
        <v>1</v>
      </c>
      <c r="S2571" s="2">
        <v>43740</v>
      </c>
      <c r="T2571" s="2">
        <v>43749</v>
      </c>
      <c r="U2571" s="2">
        <v>43835</v>
      </c>
    </row>
    <row r="2572" spans="1:22" x14ac:dyDescent="0.2">
      <c r="A2572" t="str">
        <f>"NEW 388.4 ISA"</f>
        <v>NEW 388.4 ISA</v>
      </c>
      <c r="B2572" t="str">
        <f>"Super pumped: the battle for Uber"</f>
        <v>Super pumped: the battle for Uber</v>
      </c>
      <c r="C2572">
        <v>357726</v>
      </c>
      <c r="D2572" t="str">
        <f>"Isaac, Mike"</f>
        <v>Isaac, Mike</v>
      </c>
      <c r="F2572" t="str">
        <f>"xx, 387 pages, 25 cm"</f>
        <v>xx, 387 pages, 25 cm</v>
      </c>
      <c r="G2572" s="1">
        <v>19</v>
      </c>
      <c r="H2572">
        <v>2019</v>
      </c>
      <c r="I2572" t="str">
        <f t="shared" si="98"/>
        <v>9: 300 - 399</v>
      </c>
      <c r="K2572" t="str">
        <f>"LL - In"</f>
        <v>LL - In</v>
      </c>
      <c r="L2572" s="1">
        <v>33</v>
      </c>
      <c r="M2572" t="s">
        <v>2383</v>
      </c>
      <c r="O2572" t="s">
        <v>28</v>
      </c>
      <c r="P2572">
        <v>3</v>
      </c>
      <c r="Q2572">
        <v>0</v>
      </c>
      <c r="R2572">
        <v>3</v>
      </c>
      <c r="S2572" s="2">
        <v>43725</v>
      </c>
      <c r="T2572" s="2">
        <v>43741</v>
      </c>
      <c r="U2572" s="2">
        <v>43788</v>
      </c>
    </row>
    <row r="2573" spans="1:22" x14ac:dyDescent="0.2">
      <c r="A2573" t="str">
        <f>"NEW 921 ZUC"</f>
        <v>NEW 921 ZUC</v>
      </c>
      <c r="B2573" t="str">
        <f>"man who solved the market: how Jim Simon"</f>
        <v>man who solved the market: how Jim Simon</v>
      </c>
      <c r="C2573">
        <v>408571</v>
      </c>
      <c r="D2573" t="str">
        <f>"Zuckerman, Gregory."</f>
        <v>Zuckerman, Gregory.</v>
      </c>
      <c r="F2573" t="str">
        <f>"326 p."</f>
        <v>326 p.</v>
      </c>
      <c r="G2573">
        <v>19</v>
      </c>
      <c r="H2573">
        <v>2019</v>
      </c>
      <c r="I2573" t="str">
        <f t="shared" si="98"/>
        <v>9: 300 - 399</v>
      </c>
      <c r="K2573" t="str">
        <f>"WB - Out"</f>
        <v>WB - Out</v>
      </c>
      <c r="L2573" s="1">
        <v>35</v>
      </c>
      <c r="M2573" t="s">
        <v>2384</v>
      </c>
      <c r="O2573" t="s">
        <v>28</v>
      </c>
      <c r="P2573">
        <v>2</v>
      </c>
      <c r="Q2573">
        <v>1</v>
      </c>
      <c r="R2573">
        <v>3</v>
      </c>
      <c r="S2573" s="2">
        <v>43816</v>
      </c>
      <c r="T2573" s="2">
        <v>43839</v>
      </c>
      <c r="U2573" s="2">
        <v>43855</v>
      </c>
      <c r="V2573" s="2">
        <v>43853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2693C-4A72-4786-B1AE-DECFA744A97D}">
  <sheetPr>
    <tabColor theme="6" tint="0.39997558519241921"/>
  </sheetPr>
  <dimension ref="A1"/>
  <sheetViews>
    <sheetView tabSelected="1" workbookViewId="0">
      <selection activeCell="G1" sqref="G1"/>
    </sheetView>
  </sheetViews>
  <sheetFormatPr baseColWidth="10" defaultColWidth="8.83203125" defaultRowHeight="15"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BBB3A-414F-4817-BDD5-D1EAD29725CF}">
  <sheetPr>
    <tabColor theme="6" tint="0.39997558519241921"/>
  </sheetPr>
  <dimension ref="A1:S1651"/>
  <sheetViews>
    <sheetView zoomScale="80" zoomScaleNormal="80" workbookViewId="0"/>
  </sheetViews>
  <sheetFormatPr baseColWidth="10" defaultColWidth="8.83203125" defaultRowHeight="15" x14ac:dyDescent="0.2"/>
  <cols>
    <col min="1" max="1" width="23.83203125" customWidth="1"/>
    <col min="2" max="2" width="23.33203125" customWidth="1"/>
    <col min="3" max="3" width="51.1640625" customWidth="1"/>
    <col min="4" max="4" width="9.6640625" customWidth="1"/>
    <col min="5" max="5" width="29" customWidth="1"/>
    <col min="6" max="6" width="35.33203125" customWidth="1"/>
    <col min="7" max="7" width="46.1640625" customWidth="1"/>
    <col min="8" max="8" width="7.6640625" customWidth="1"/>
    <col min="9" max="9" width="5.5" customWidth="1"/>
    <col min="10" max="10" width="16" customWidth="1"/>
    <col min="11" max="11" width="6.33203125" customWidth="1"/>
    <col min="12" max="12" width="7.33203125" customWidth="1"/>
    <col min="13" max="13" width="12" customWidth="1"/>
    <col min="14" max="14" width="14" customWidth="1"/>
    <col min="15" max="15" width="6.83203125" customWidth="1"/>
    <col min="16" max="16" width="13.83203125" customWidth="1"/>
    <col min="17" max="17" width="9.6640625" customWidth="1"/>
    <col min="18" max="18" width="16.6640625" customWidth="1"/>
    <col min="19" max="19" width="11.5" customWidth="1"/>
  </cols>
  <sheetData>
    <row r="1" spans="1:19" x14ac:dyDescent="0.2">
      <c r="A1" t="s">
        <v>2386</v>
      </c>
    </row>
    <row r="2" spans="1:19" x14ac:dyDescent="0.2">
      <c r="A2" t="s">
        <v>2387</v>
      </c>
    </row>
    <row r="3" spans="1:19" x14ac:dyDescent="0.2">
      <c r="A3" t="s">
        <v>2388</v>
      </c>
    </row>
    <row r="5" spans="1:19" x14ac:dyDescent="0.2">
      <c r="A5" t="s">
        <v>2389</v>
      </c>
      <c r="B5" t="s">
        <v>5</v>
      </c>
      <c r="C5" t="s">
        <v>6</v>
      </c>
      <c r="D5" t="s">
        <v>7</v>
      </c>
      <c r="E5" t="s">
        <v>8</v>
      </c>
      <c r="F5" t="s">
        <v>9</v>
      </c>
      <c r="G5" t="s">
        <v>10</v>
      </c>
      <c r="H5" t="s">
        <v>11</v>
      </c>
      <c r="I5" t="s">
        <v>2385</v>
      </c>
      <c r="J5" t="s">
        <v>12</v>
      </c>
      <c r="K5" t="s">
        <v>13</v>
      </c>
      <c r="L5" t="s">
        <v>2390</v>
      </c>
      <c r="M5" t="s">
        <v>2391</v>
      </c>
      <c r="N5" t="s">
        <v>2392</v>
      </c>
      <c r="O5" t="s">
        <v>2393</v>
      </c>
      <c r="P5" t="s">
        <v>23</v>
      </c>
      <c r="Q5" t="s">
        <v>15</v>
      </c>
      <c r="R5" t="s">
        <v>16</v>
      </c>
      <c r="S5" t="s">
        <v>2394</v>
      </c>
    </row>
    <row r="6" spans="1:19" x14ac:dyDescent="0.2">
      <c r="A6" t="str">
        <f>"Adult Audio Nonfiction"</f>
        <v>Adult Audio Nonfiction</v>
      </c>
      <c r="B6" t="str">
        <f>"NEW 741.5 BAR"</f>
        <v>NEW 741.5 BAR</v>
      </c>
      <c r="C6" t="str">
        <f>"Making comics"</f>
        <v>Making comics</v>
      </c>
      <c r="D6">
        <v>359153</v>
      </c>
      <c r="E6" t="str">
        <f>"Barry, Lynda"</f>
        <v>Barry, Lynda</v>
      </c>
      <c r="G6" t="str">
        <f>"199 p."</f>
        <v>199 p.</v>
      </c>
      <c r="H6" s="1">
        <v>19</v>
      </c>
      <c r="I6">
        <v>2019</v>
      </c>
      <c r="J6" t="str">
        <f>"13: 700 - 799"</f>
        <v>13: 700 - 799</v>
      </c>
      <c r="L6" t="s">
        <v>2395</v>
      </c>
      <c r="M6" t="s">
        <v>28</v>
      </c>
      <c r="N6" t="s">
        <v>2396</v>
      </c>
      <c r="O6">
        <v>3</v>
      </c>
      <c r="P6" s="2">
        <v>43781</v>
      </c>
      <c r="Q6" s="1">
        <v>28</v>
      </c>
      <c r="R6" t="s">
        <v>2397</v>
      </c>
      <c r="S6">
        <v>1080274289</v>
      </c>
    </row>
    <row r="7" spans="1:19" x14ac:dyDescent="0.2">
      <c r="A7" t="str">
        <f t="shared" ref="A7:A70" si="0">"Adult Fiction"</f>
        <v>Adult Fiction</v>
      </c>
      <c r="B7" t="str">
        <f>"NEW 480 MAR"</f>
        <v>NEW 480 MAR</v>
      </c>
      <c r="C7" t="str">
        <f>"The ingenious language: nine epic reasons to love Greek"</f>
        <v>The ingenious language: nine epic reasons to love Greek</v>
      </c>
      <c r="D7">
        <v>360438</v>
      </c>
      <c r="E7" t="str">
        <f>"Marcolongo, Andrea"</f>
        <v>Marcolongo, Andrea</v>
      </c>
      <c r="G7" t="str">
        <f>"205 pages, 18 cm"</f>
        <v>205 pages, 18 cm</v>
      </c>
      <c r="H7" s="1">
        <v>20</v>
      </c>
      <c r="I7">
        <v>2019</v>
      </c>
      <c r="J7" t="str">
        <f>"10: 400 - 499"</f>
        <v>10: 400 - 499</v>
      </c>
      <c r="L7" t="s">
        <v>2395</v>
      </c>
      <c r="M7" t="s">
        <v>28</v>
      </c>
      <c r="N7" t="str">
        <f>"Reserve Cart"</f>
        <v>Reserve Cart</v>
      </c>
      <c r="O7">
        <v>0</v>
      </c>
      <c r="P7" s="2">
        <v>43851</v>
      </c>
      <c r="Q7" s="1">
        <v>21</v>
      </c>
      <c r="R7" t="s">
        <v>2398</v>
      </c>
      <c r="S7">
        <v>1089003374</v>
      </c>
    </row>
    <row r="8" spans="1:19" x14ac:dyDescent="0.2">
      <c r="A8" t="str">
        <f t="shared" si="0"/>
        <v>Adult Fiction</v>
      </c>
      <c r="B8" t="str">
        <f>"NEW 612 BRY"</f>
        <v>NEW 612 BRY</v>
      </c>
      <c r="C8" t="str">
        <f>"The body: a guide for occupants"</f>
        <v>The body: a guide for occupants</v>
      </c>
      <c r="D8">
        <v>358490</v>
      </c>
      <c r="E8" t="str">
        <f>"Bryson, Bill"</f>
        <v>Bryson, Bill</v>
      </c>
      <c r="G8" t="str">
        <f>"x, 450 pages, 25 cm, illustrations (some color)"</f>
        <v>x, 450 pages, 25 cm, illustrations (some color)</v>
      </c>
      <c r="H8" s="1">
        <v>19</v>
      </c>
      <c r="I8">
        <v>2019</v>
      </c>
      <c r="J8" t="str">
        <f>"12: 600 - 699"</f>
        <v>12: 600 - 699</v>
      </c>
      <c r="L8" t="s">
        <v>2395</v>
      </c>
      <c r="M8" t="s">
        <v>28</v>
      </c>
      <c r="N8" t="str">
        <f>"Reserve Cart"</f>
        <v>Reserve Cart</v>
      </c>
      <c r="O8">
        <v>6</v>
      </c>
      <c r="P8" s="2">
        <v>43753</v>
      </c>
      <c r="Q8" s="1">
        <v>35</v>
      </c>
      <c r="R8" t="s">
        <v>2399</v>
      </c>
      <c r="S8">
        <v>1089831545</v>
      </c>
    </row>
    <row r="9" spans="1:19" x14ac:dyDescent="0.2">
      <c r="A9" t="str">
        <f t="shared" si="0"/>
        <v>Adult Fiction</v>
      </c>
      <c r="B9" t="str">
        <f>"NEW 909 OLU"</f>
        <v>NEW 909 OLU</v>
      </c>
      <c r="C9" t="str">
        <f>"Civilisations: first contact : cult of progress"</f>
        <v>Civilisations: first contact : cult of progress</v>
      </c>
      <c r="D9">
        <v>358528</v>
      </c>
      <c r="E9" t="str">
        <f>"Olusoga, David"</f>
        <v>Olusoga, David</v>
      </c>
      <c r="G9" t="str">
        <f>"303 pages, 23 cm, illustrations (chiefly color)"</f>
        <v>303 pages, 23 cm, illustrations (chiefly color)</v>
      </c>
      <c r="H9" s="1">
        <v>19</v>
      </c>
      <c r="I9">
        <v>2018</v>
      </c>
      <c r="J9" t="str">
        <f>"15: 900 - 919"</f>
        <v>15: 900 - 919</v>
      </c>
      <c r="L9" t="s">
        <v>2395</v>
      </c>
      <c r="M9" t="s">
        <v>28</v>
      </c>
      <c r="N9" t="s">
        <v>2396</v>
      </c>
      <c r="O9">
        <v>3</v>
      </c>
      <c r="P9" s="2">
        <v>43756</v>
      </c>
      <c r="Q9" s="1">
        <v>28</v>
      </c>
      <c r="R9" t="s">
        <v>2400</v>
      </c>
      <c r="S9">
        <v>1019656507</v>
      </c>
    </row>
    <row r="10" spans="1:19" x14ac:dyDescent="0.2">
      <c r="A10" t="str">
        <f t="shared" si="0"/>
        <v>Adult Fiction</v>
      </c>
      <c r="B10" t="str">
        <f>"NEW 921 TAY"</f>
        <v>NEW 921 TAY</v>
      </c>
      <c r="C10" t="str">
        <f>"The Queen: the forgotten life behind an American myth"</f>
        <v>The Queen: the forgotten life behind an American myth</v>
      </c>
      <c r="D10">
        <v>355452</v>
      </c>
      <c r="E10" t="str">
        <f>"Levin, Josh"</f>
        <v>Levin, Josh</v>
      </c>
      <c r="G10" t="str">
        <f>"xi, 418 pages, 25 cm, illustrations (some color)"</f>
        <v>xi, 418 pages, 25 cm, illustrations (some color)</v>
      </c>
      <c r="H10" s="1">
        <v>19</v>
      </c>
      <c r="I10">
        <v>2019</v>
      </c>
      <c r="J10" t="str">
        <f>"16: 920 - 929"</f>
        <v>16: 920 - 929</v>
      </c>
      <c r="L10" t="s">
        <v>2395</v>
      </c>
      <c r="M10" t="s">
        <v>28</v>
      </c>
      <c r="N10" t="s">
        <v>2401</v>
      </c>
      <c r="O10">
        <v>1</v>
      </c>
      <c r="P10" s="2">
        <v>43628</v>
      </c>
      <c r="Q10" s="1">
        <v>34</v>
      </c>
      <c r="R10" t="s">
        <v>2402</v>
      </c>
      <c r="S10">
        <v>1051136817</v>
      </c>
    </row>
    <row r="11" spans="1:19" x14ac:dyDescent="0.2">
      <c r="A11" t="str">
        <f t="shared" si="0"/>
        <v>Adult Fiction</v>
      </c>
      <c r="B11" t="str">
        <f>"NEW 976.4 HAR"</f>
        <v>NEW 976.4 HAR</v>
      </c>
      <c r="C11" t="str">
        <f>"Big wonderful thing: a history of Texas"</f>
        <v>Big wonderful thing: a history of Texas</v>
      </c>
      <c r="D11">
        <v>358858</v>
      </c>
      <c r="E11" t="str">
        <f>"Harrigan, Stephen"</f>
        <v>Harrigan, Stephen</v>
      </c>
      <c r="G11" t="str">
        <f>"pages cm"</f>
        <v>pages cm</v>
      </c>
      <c r="H11" s="1">
        <v>19</v>
      </c>
      <c r="I11">
        <v>2019</v>
      </c>
      <c r="J11" t="str">
        <f>"17: 930 - 999"</f>
        <v>17: 930 - 999</v>
      </c>
      <c r="L11" t="s">
        <v>2403</v>
      </c>
      <c r="M11" t="s">
        <v>28</v>
      </c>
      <c r="N11" t="s">
        <v>2404</v>
      </c>
      <c r="O11">
        <v>4</v>
      </c>
      <c r="P11" s="2">
        <v>43769</v>
      </c>
      <c r="Q11" s="1">
        <v>40</v>
      </c>
      <c r="R11" t="s">
        <v>2405</v>
      </c>
      <c r="S11">
        <v>1083675527</v>
      </c>
    </row>
    <row r="12" spans="1:19" x14ac:dyDescent="0.2">
      <c r="A12" t="str">
        <f t="shared" si="0"/>
        <v>Adult Fiction</v>
      </c>
      <c r="B12" t="str">
        <f>"NEW 976.4 HAR"</f>
        <v>NEW 976.4 HAR</v>
      </c>
      <c r="C12" t="str">
        <f>"Big wonderful thing: a history of Texas"</f>
        <v>Big wonderful thing: a history of Texas</v>
      </c>
      <c r="D12">
        <v>358859</v>
      </c>
      <c r="E12" t="str">
        <f>"Harrigan, Stephen"</f>
        <v>Harrigan, Stephen</v>
      </c>
      <c r="G12" t="str">
        <f>"pages cm"</f>
        <v>pages cm</v>
      </c>
      <c r="H12" s="1">
        <v>19</v>
      </c>
      <c r="I12">
        <v>2019</v>
      </c>
      <c r="J12" t="str">
        <f>"17: 930 - 999"</f>
        <v>17: 930 - 999</v>
      </c>
      <c r="L12" t="s">
        <v>2395</v>
      </c>
      <c r="M12" t="s">
        <v>28</v>
      </c>
      <c r="N12" t="s">
        <v>2404</v>
      </c>
      <c r="O12">
        <v>4</v>
      </c>
      <c r="P12" s="2">
        <v>43769</v>
      </c>
      <c r="Q12" s="1">
        <v>40</v>
      </c>
      <c r="R12" t="s">
        <v>2405</v>
      </c>
      <c r="S12">
        <v>1083675527</v>
      </c>
    </row>
    <row r="13" spans="1:19" x14ac:dyDescent="0.2">
      <c r="A13" t="str">
        <f t="shared" si="0"/>
        <v>Adult Fiction</v>
      </c>
      <c r="B13" t="str">
        <f>"NEW F ABDUL"</f>
        <v>NEW F ABDUL</v>
      </c>
      <c r="C13" t="str">
        <f>"The empty birdcage: a novel"</f>
        <v>The empty birdcage: a novel</v>
      </c>
      <c r="D13">
        <v>359204</v>
      </c>
      <c r="E13" t="str">
        <f>"Abdul-Jabbar, Kareem"</f>
        <v>Abdul-Jabbar, Kareem</v>
      </c>
      <c r="F13" t="str">
        <f>"Mycroft Holmes series (3)"</f>
        <v>Mycroft Holmes series (3)</v>
      </c>
      <c r="G13" t="str">
        <f>"328 pages, 25 cm"</f>
        <v>328 pages, 25 cm</v>
      </c>
      <c r="H13" s="1">
        <v>19</v>
      </c>
      <c r="I13">
        <v>2019</v>
      </c>
      <c r="J13" t="str">
        <f t="shared" ref="J13:J76" si="1">"2: Fiction"</f>
        <v>2: Fiction</v>
      </c>
      <c r="L13" t="s">
        <v>2395</v>
      </c>
      <c r="M13" t="s">
        <v>28</v>
      </c>
      <c r="N13" t="s">
        <v>2404</v>
      </c>
      <c r="O13">
        <v>3</v>
      </c>
      <c r="P13" s="2">
        <v>43782</v>
      </c>
      <c r="Q13" s="1">
        <v>31</v>
      </c>
      <c r="R13" t="s">
        <v>2406</v>
      </c>
      <c r="S13">
        <v>1107436238</v>
      </c>
    </row>
    <row r="14" spans="1:19" x14ac:dyDescent="0.2">
      <c r="A14" t="str">
        <f t="shared" si="0"/>
        <v>Adult Fiction</v>
      </c>
      <c r="B14" t="str">
        <f>"NEW F ABERC"</f>
        <v>NEW F ABERC</v>
      </c>
      <c r="C14" t="str">
        <f>"A little hatred"</f>
        <v>A little hatred</v>
      </c>
      <c r="D14">
        <v>358123</v>
      </c>
      <c r="E14" t="str">
        <f>"Abercrombie, Joe"</f>
        <v>Abercrombie, Joe</v>
      </c>
      <c r="G14" t="str">
        <f>"471 pages, 25 cm"</f>
        <v>471 pages, 25 cm</v>
      </c>
      <c r="H14" s="1">
        <v>19</v>
      </c>
      <c r="I14">
        <v>2019</v>
      </c>
      <c r="J14" t="str">
        <f t="shared" si="1"/>
        <v>2: Fiction</v>
      </c>
      <c r="L14" t="s">
        <v>2403</v>
      </c>
      <c r="M14" t="s">
        <v>28</v>
      </c>
      <c r="N14" t="s">
        <v>2396</v>
      </c>
      <c r="O14">
        <v>2</v>
      </c>
      <c r="P14" s="2">
        <v>43740</v>
      </c>
      <c r="Q14" s="1">
        <v>32</v>
      </c>
      <c r="R14" t="s">
        <v>2407</v>
      </c>
      <c r="S14">
        <v>1117496921</v>
      </c>
    </row>
    <row r="15" spans="1:19" x14ac:dyDescent="0.2">
      <c r="A15" t="str">
        <f t="shared" si="0"/>
        <v>Adult Fiction</v>
      </c>
      <c r="B15" t="str">
        <f>"NEW F ACIMA"</f>
        <v>NEW F ACIMA</v>
      </c>
      <c r="C15" t="str">
        <f>"Find me"</f>
        <v>Find me</v>
      </c>
      <c r="D15">
        <v>358735</v>
      </c>
      <c r="E15" t="str">
        <f>"Aciman, Andr�."</f>
        <v>Aciman, Andr�.</v>
      </c>
      <c r="G15" t="str">
        <f>"272 p."</f>
        <v>272 p.</v>
      </c>
      <c r="H15" s="1">
        <v>19</v>
      </c>
      <c r="I15">
        <v>2019</v>
      </c>
      <c r="J15" t="str">
        <f t="shared" si="1"/>
        <v>2: Fiction</v>
      </c>
      <c r="L15" t="s">
        <v>2395</v>
      </c>
      <c r="M15" t="s">
        <v>28</v>
      </c>
      <c r="N15" t="str">
        <f>"Reserve Cart"</f>
        <v>Reserve Cart</v>
      </c>
      <c r="O15">
        <v>5</v>
      </c>
      <c r="P15" s="2">
        <v>43762</v>
      </c>
      <c r="Q15" s="1">
        <v>32</v>
      </c>
      <c r="R15" t="s">
        <v>2408</v>
      </c>
    </row>
    <row r="16" spans="1:19" x14ac:dyDescent="0.2">
      <c r="A16" t="str">
        <f t="shared" si="0"/>
        <v>Adult Fiction</v>
      </c>
      <c r="B16" t="str">
        <f>"NEW F ACKER"</f>
        <v>NEW F ACKER</v>
      </c>
      <c r="C16" t="str">
        <f>"The lieutenant's nurse"</f>
        <v>The lieutenant's nurse</v>
      </c>
      <c r="D16">
        <v>355945</v>
      </c>
      <c r="E16" t="str">
        <f>"Ackerman, Sara"</f>
        <v>Ackerman, Sara</v>
      </c>
      <c r="G16" t="str">
        <f>"335 pages, 21 cm"</f>
        <v>335 pages, 21 cm</v>
      </c>
      <c r="H16" s="1">
        <v>19</v>
      </c>
      <c r="I16">
        <v>2019</v>
      </c>
      <c r="J16" t="str">
        <f t="shared" si="1"/>
        <v>2: Fiction</v>
      </c>
      <c r="L16" t="s">
        <v>2403</v>
      </c>
      <c r="M16" t="s">
        <v>28</v>
      </c>
      <c r="N16" t="s">
        <v>2396</v>
      </c>
      <c r="O16">
        <v>5</v>
      </c>
      <c r="P16" s="2">
        <v>43647</v>
      </c>
      <c r="Q16" s="1">
        <v>22</v>
      </c>
      <c r="R16" t="s">
        <v>2409</v>
      </c>
      <c r="S16">
        <v>1086611611</v>
      </c>
    </row>
    <row r="17" spans="1:19" x14ac:dyDescent="0.2">
      <c r="A17" t="str">
        <f t="shared" si="0"/>
        <v>Adult Fiction</v>
      </c>
      <c r="B17" t="str">
        <f>"NEW F ADAMS"</f>
        <v>NEW F ADAMS</v>
      </c>
      <c r="C17" t="str">
        <f>"The bromance book club"</f>
        <v>The bromance book club</v>
      </c>
      <c r="D17">
        <v>359077</v>
      </c>
      <c r="E17" t="str">
        <f>"Adams, Lyssa Kay"</f>
        <v>Adams, Lyssa Kay</v>
      </c>
      <c r="F17" t="str">
        <f>"Bromance Book Club series (1)"</f>
        <v>Bromance Book Club series (1)</v>
      </c>
      <c r="G17" t="str">
        <f>"viii, 339 pages, 21 cm"</f>
        <v>viii, 339 pages, 21 cm</v>
      </c>
      <c r="H17" s="1">
        <v>19</v>
      </c>
      <c r="I17">
        <v>2019</v>
      </c>
      <c r="J17" t="str">
        <f t="shared" si="1"/>
        <v>2: Fiction</v>
      </c>
      <c r="L17" t="s">
        <v>2403</v>
      </c>
      <c r="M17" t="s">
        <v>28</v>
      </c>
      <c r="N17" t="s">
        <v>2396</v>
      </c>
      <c r="O17">
        <v>3</v>
      </c>
      <c r="P17" s="2">
        <v>43776</v>
      </c>
      <c r="Q17" s="1">
        <v>21</v>
      </c>
      <c r="R17" t="s">
        <v>2410</v>
      </c>
      <c r="S17">
        <v>1088651224</v>
      </c>
    </row>
    <row r="18" spans="1:19" x14ac:dyDescent="0.2">
      <c r="A18" t="str">
        <f t="shared" si="0"/>
        <v>Adult Fiction</v>
      </c>
      <c r="B18" t="str">
        <f>"NEW F AIKEN"</f>
        <v>NEW F AIKEN</v>
      </c>
      <c r="C18" t="str">
        <f>"The blacksmith queen"</f>
        <v>The blacksmith queen</v>
      </c>
      <c r="D18">
        <v>357688</v>
      </c>
      <c r="E18" t="str">
        <f>"Aiken, G. A."</f>
        <v>Aiken, G. A.</v>
      </c>
      <c r="F18" t="str">
        <f>"Scarred Earth series (1)"</f>
        <v>Scarred Earth series (1)</v>
      </c>
      <c r="G18" t="str">
        <f>"296 pages, 21 cm"</f>
        <v>296 pages, 21 cm</v>
      </c>
      <c r="H18" s="1">
        <v>19</v>
      </c>
      <c r="I18">
        <v>2019</v>
      </c>
      <c r="J18" t="str">
        <f t="shared" si="1"/>
        <v>2: Fiction</v>
      </c>
      <c r="L18" t="s">
        <v>2395</v>
      </c>
      <c r="M18" t="s">
        <v>28</v>
      </c>
      <c r="N18" t="s">
        <v>2396</v>
      </c>
      <c r="O18">
        <v>4</v>
      </c>
      <c r="P18" s="2">
        <v>43725</v>
      </c>
      <c r="Q18" s="1">
        <v>21</v>
      </c>
      <c r="R18" t="s">
        <v>2411</v>
      </c>
      <c r="S18">
        <v>1077959222</v>
      </c>
    </row>
    <row r="19" spans="1:19" x14ac:dyDescent="0.2">
      <c r="A19" t="str">
        <f t="shared" si="0"/>
        <v>Adult Fiction</v>
      </c>
      <c r="B19" t="str">
        <f>"NEW F ALEXA"</f>
        <v>NEW F ALEXA</v>
      </c>
      <c r="C19" t="str">
        <f>"In the shadow of Vesuvius"</f>
        <v>In the shadow of Vesuvius</v>
      </c>
      <c r="D19">
        <v>360299</v>
      </c>
      <c r="E19" t="str">
        <f>"Alexander, Tasha"</f>
        <v>Alexander, Tasha</v>
      </c>
      <c r="F19" t="str">
        <f>"Lady Emily Ashton series (14)"</f>
        <v>Lady Emily Ashton series (14)</v>
      </c>
      <c r="G19" t="str">
        <f>"viii, 292 pages, 25 cm"</f>
        <v>viii, 292 pages, 25 cm</v>
      </c>
      <c r="H19" s="1">
        <v>19</v>
      </c>
      <c r="I19">
        <v>2020</v>
      </c>
      <c r="J19" t="str">
        <f t="shared" si="1"/>
        <v>2: Fiction</v>
      </c>
      <c r="L19" t="s">
        <v>2395</v>
      </c>
      <c r="M19" t="s">
        <v>28</v>
      </c>
      <c r="N19" t="s">
        <v>2404</v>
      </c>
      <c r="O19">
        <v>1</v>
      </c>
      <c r="P19" s="2">
        <v>43844</v>
      </c>
      <c r="Q19" s="1">
        <v>33</v>
      </c>
      <c r="R19" t="s">
        <v>2412</v>
      </c>
      <c r="S19">
        <v>1122692311</v>
      </c>
    </row>
    <row r="20" spans="1:19" x14ac:dyDescent="0.2">
      <c r="A20" t="str">
        <f t="shared" si="0"/>
        <v>Adult Fiction</v>
      </c>
      <c r="B20" t="str">
        <f>"NEW F ALEXA"</f>
        <v>NEW F ALEXA</v>
      </c>
      <c r="C20" t="str">
        <f>"In the shadow of Vesuvius"</f>
        <v>In the shadow of Vesuvius</v>
      </c>
      <c r="D20">
        <v>360300</v>
      </c>
      <c r="E20" t="str">
        <f>"Alexander, Tasha"</f>
        <v>Alexander, Tasha</v>
      </c>
      <c r="F20" t="str">
        <f>"Lady Emily Ashton series (14)"</f>
        <v>Lady Emily Ashton series (14)</v>
      </c>
      <c r="G20" t="str">
        <f>"viii, 292 pages, 25 cm"</f>
        <v>viii, 292 pages, 25 cm</v>
      </c>
      <c r="H20" s="1">
        <v>19</v>
      </c>
      <c r="I20">
        <v>2020</v>
      </c>
      <c r="J20" t="str">
        <f t="shared" si="1"/>
        <v>2: Fiction</v>
      </c>
      <c r="L20" t="s">
        <v>2395</v>
      </c>
      <c r="M20" t="s">
        <v>28</v>
      </c>
      <c r="N20" t="s">
        <v>2404</v>
      </c>
      <c r="O20">
        <v>1</v>
      </c>
      <c r="P20" s="2">
        <v>43844</v>
      </c>
      <c r="Q20" s="1">
        <v>33</v>
      </c>
      <c r="R20" t="s">
        <v>2412</v>
      </c>
      <c r="S20">
        <v>1122692311</v>
      </c>
    </row>
    <row r="21" spans="1:19" x14ac:dyDescent="0.2">
      <c r="A21" t="str">
        <f t="shared" si="0"/>
        <v>Adult Fiction</v>
      </c>
      <c r="B21" t="str">
        <f t="shared" ref="B21:B26" si="2">"NEW F ALLEN"</f>
        <v>NEW F ALLEN</v>
      </c>
      <c r="C21" t="str">
        <f>"I lost my girlish laughter"</f>
        <v>I lost my girlish laughter</v>
      </c>
      <c r="D21">
        <v>359081</v>
      </c>
      <c r="E21" t="str">
        <f>"Allen, Jane"</f>
        <v>Allen, Jane</v>
      </c>
      <c r="G21" t="str">
        <f>"192 p."</f>
        <v>192 p.</v>
      </c>
      <c r="H21" s="1">
        <v>19</v>
      </c>
      <c r="I21">
        <v>2019</v>
      </c>
      <c r="J21" t="str">
        <f t="shared" si="1"/>
        <v>2: Fiction</v>
      </c>
      <c r="L21" t="s">
        <v>2395</v>
      </c>
      <c r="M21" t="s">
        <v>28</v>
      </c>
      <c r="N21" t="s">
        <v>2404</v>
      </c>
      <c r="O21">
        <v>3</v>
      </c>
      <c r="P21" s="2">
        <v>43776</v>
      </c>
      <c r="Q21" s="1">
        <v>21</v>
      </c>
      <c r="R21" t="s">
        <v>2413</v>
      </c>
      <c r="S21">
        <v>1090753342</v>
      </c>
    </row>
    <row r="22" spans="1:19" x14ac:dyDescent="0.2">
      <c r="A22" t="str">
        <f t="shared" si="0"/>
        <v>Adult Fiction</v>
      </c>
      <c r="B22" t="str">
        <f t="shared" si="2"/>
        <v>NEW F ALLEN</v>
      </c>
      <c r="C22" t="str">
        <f>"A long petal of the sea: a novel"</f>
        <v>A long petal of the sea: a novel</v>
      </c>
      <c r="D22">
        <v>360469</v>
      </c>
      <c r="E22" t="str">
        <f>"Allende, Isabel"</f>
        <v>Allende, Isabel</v>
      </c>
      <c r="G22" t="str">
        <f>"318 pages, 24 cm"</f>
        <v>318 pages, 24 cm</v>
      </c>
      <c r="H22" s="1">
        <v>20</v>
      </c>
      <c r="I22">
        <v>2020</v>
      </c>
      <c r="J22" t="str">
        <f t="shared" si="1"/>
        <v>2: Fiction</v>
      </c>
      <c r="L22" t="s">
        <v>2395</v>
      </c>
      <c r="M22" t="s">
        <v>28</v>
      </c>
      <c r="N22" t="s">
        <v>2404</v>
      </c>
      <c r="O22">
        <v>0</v>
      </c>
      <c r="P22" s="2">
        <v>43851</v>
      </c>
      <c r="Q22" s="1">
        <v>33</v>
      </c>
      <c r="R22" t="s">
        <v>2414</v>
      </c>
      <c r="S22">
        <v>1135063902</v>
      </c>
    </row>
    <row r="23" spans="1:19" x14ac:dyDescent="0.2">
      <c r="A23" t="str">
        <f t="shared" si="0"/>
        <v>Adult Fiction</v>
      </c>
      <c r="B23" t="str">
        <f t="shared" si="2"/>
        <v>NEW F ALLEN</v>
      </c>
      <c r="C23" t="str">
        <f>"A long petal of the sea: a novel"</f>
        <v>A long petal of the sea: a novel</v>
      </c>
      <c r="D23">
        <v>360470</v>
      </c>
      <c r="E23" t="str">
        <f>"Allende, Isabel"</f>
        <v>Allende, Isabel</v>
      </c>
      <c r="G23" t="str">
        <f>"318 pages, 24 cm"</f>
        <v>318 pages, 24 cm</v>
      </c>
      <c r="H23" s="1">
        <v>20</v>
      </c>
      <c r="I23">
        <v>2020</v>
      </c>
      <c r="J23" t="str">
        <f t="shared" si="1"/>
        <v>2: Fiction</v>
      </c>
      <c r="L23" t="s">
        <v>2395</v>
      </c>
      <c r="M23" t="s">
        <v>28</v>
      </c>
      <c r="N23" t="str">
        <f>"Reserve Cart"</f>
        <v>Reserve Cart</v>
      </c>
      <c r="O23">
        <v>0</v>
      </c>
      <c r="P23" s="2">
        <v>43851</v>
      </c>
      <c r="Q23" s="1">
        <v>33</v>
      </c>
      <c r="R23" t="s">
        <v>2414</v>
      </c>
      <c r="S23">
        <v>1135063902</v>
      </c>
    </row>
    <row r="24" spans="1:19" x14ac:dyDescent="0.2">
      <c r="A24" t="str">
        <f t="shared" si="0"/>
        <v>Adult Fiction</v>
      </c>
      <c r="B24" t="str">
        <f t="shared" si="2"/>
        <v>NEW F ALLEN</v>
      </c>
      <c r="C24" t="str">
        <f>"A long petal of the sea: a novel"</f>
        <v>A long petal of the sea: a novel</v>
      </c>
      <c r="D24">
        <v>360471</v>
      </c>
      <c r="E24" t="str">
        <f>"Allende, Isabel"</f>
        <v>Allende, Isabel</v>
      </c>
      <c r="G24" t="str">
        <f>"318 pages, 24 cm"</f>
        <v>318 pages, 24 cm</v>
      </c>
      <c r="H24" s="1">
        <v>20</v>
      </c>
      <c r="I24">
        <v>2020</v>
      </c>
      <c r="J24" t="str">
        <f t="shared" si="1"/>
        <v>2: Fiction</v>
      </c>
      <c r="L24" t="s">
        <v>2395</v>
      </c>
      <c r="M24" t="s">
        <v>28</v>
      </c>
      <c r="N24" t="s">
        <v>2404</v>
      </c>
      <c r="O24">
        <v>1</v>
      </c>
      <c r="P24" s="2">
        <v>43851</v>
      </c>
      <c r="Q24" s="1">
        <v>33</v>
      </c>
      <c r="R24" t="s">
        <v>2414</v>
      </c>
      <c r="S24">
        <v>1135063902</v>
      </c>
    </row>
    <row r="25" spans="1:19" x14ac:dyDescent="0.2">
      <c r="A25" t="str">
        <f t="shared" si="0"/>
        <v>Adult Fiction</v>
      </c>
      <c r="B25" t="str">
        <f t="shared" si="2"/>
        <v>NEW F ALLEN</v>
      </c>
      <c r="C25" t="str">
        <f>"A long petal of the sea: a novel"</f>
        <v>A long petal of the sea: a novel</v>
      </c>
      <c r="D25">
        <v>360472</v>
      </c>
      <c r="E25" t="str">
        <f>"Allende, Isabel"</f>
        <v>Allende, Isabel</v>
      </c>
      <c r="G25" t="str">
        <f>"318 pages, 24 cm"</f>
        <v>318 pages, 24 cm</v>
      </c>
      <c r="H25" s="1">
        <v>20</v>
      </c>
      <c r="I25">
        <v>2020</v>
      </c>
      <c r="J25" t="str">
        <f t="shared" si="1"/>
        <v>2: Fiction</v>
      </c>
      <c r="L25" t="s">
        <v>2395</v>
      </c>
      <c r="M25" t="s">
        <v>28</v>
      </c>
      <c r="N25" t="s">
        <v>2415</v>
      </c>
      <c r="O25">
        <v>0</v>
      </c>
      <c r="P25" s="2">
        <v>43851</v>
      </c>
      <c r="Q25" s="1">
        <v>33</v>
      </c>
      <c r="R25" t="s">
        <v>2414</v>
      </c>
      <c r="S25">
        <v>1135063902</v>
      </c>
    </row>
    <row r="26" spans="1:19" x14ac:dyDescent="0.2">
      <c r="A26" t="str">
        <f t="shared" si="0"/>
        <v>Adult Fiction</v>
      </c>
      <c r="B26" t="str">
        <f t="shared" si="2"/>
        <v>NEW F ALLEN</v>
      </c>
      <c r="C26" t="str">
        <f>"A long petal of the sea: a novel"</f>
        <v>A long petal of the sea: a novel</v>
      </c>
      <c r="D26">
        <v>360473</v>
      </c>
      <c r="E26" t="str">
        <f>"Allende, Isabel"</f>
        <v>Allende, Isabel</v>
      </c>
      <c r="G26" t="str">
        <f>"318 pages, 24 cm"</f>
        <v>318 pages, 24 cm</v>
      </c>
      <c r="H26" s="1">
        <v>20</v>
      </c>
      <c r="I26">
        <v>2020</v>
      </c>
      <c r="J26" t="str">
        <f t="shared" si="1"/>
        <v>2: Fiction</v>
      </c>
      <c r="L26" t="s">
        <v>2395</v>
      </c>
      <c r="M26" t="s">
        <v>28</v>
      </c>
      <c r="N26" t="str">
        <f>"Reserve Cart"</f>
        <v>Reserve Cart</v>
      </c>
      <c r="O26">
        <v>0</v>
      </c>
      <c r="P26" s="2">
        <v>43851</v>
      </c>
      <c r="Q26" s="1">
        <v>33</v>
      </c>
      <c r="R26" t="s">
        <v>2414</v>
      </c>
      <c r="S26">
        <v>1135063902</v>
      </c>
    </row>
    <row r="27" spans="1:19" x14ac:dyDescent="0.2">
      <c r="A27" t="str">
        <f t="shared" si="0"/>
        <v>Adult Fiction</v>
      </c>
      <c r="B27" t="str">
        <f>"NEW F ANDRE"</f>
        <v>NEW F ANDRE</v>
      </c>
      <c r="C27" t="str">
        <f>"Sapphire flames: a hidden legacy novel"</f>
        <v>Sapphire flames: a hidden legacy novel</v>
      </c>
      <c r="D27">
        <v>357069</v>
      </c>
      <c r="E27" t="str">
        <f>"Andrews, Ilona."</f>
        <v>Andrews, Ilona.</v>
      </c>
      <c r="H27" s="1">
        <v>19</v>
      </c>
      <c r="I27">
        <v>2019</v>
      </c>
      <c r="J27" t="str">
        <f t="shared" si="1"/>
        <v>2: Fiction</v>
      </c>
      <c r="L27" t="s">
        <v>2403</v>
      </c>
      <c r="M27" t="s">
        <v>28</v>
      </c>
      <c r="N27" t="s">
        <v>2396</v>
      </c>
      <c r="O27">
        <v>4</v>
      </c>
      <c r="P27" s="2">
        <v>43704</v>
      </c>
      <c r="Q27" s="1">
        <v>13</v>
      </c>
      <c r="R27" t="s">
        <v>2416</v>
      </c>
      <c r="S27">
        <v>1117331822</v>
      </c>
    </row>
    <row r="28" spans="1:19" x14ac:dyDescent="0.2">
      <c r="A28" t="str">
        <f t="shared" si="0"/>
        <v>Adult Fiction</v>
      </c>
      <c r="B28" t="str">
        <f>"NEW F ANGEL"</f>
        <v>NEW F ANGEL</v>
      </c>
      <c r="C28" t="s">
        <v>2417</v>
      </c>
      <c r="D28">
        <v>360399</v>
      </c>
      <c r="E28" t="str">
        <f>"Angelo, Megan."</f>
        <v>Angelo, Megan.</v>
      </c>
      <c r="G28" t="str">
        <f>"380 p."</f>
        <v>380 p.</v>
      </c>
      <c r="H28" s="1">
        <v>20</v>
      </c>
      <c r="I28">
        <v>2020</v>
      </c>
      <c r="J28" t="str">
        <f t="shared" si="1"/>
        <v>2: Fiction</v>
      </c>
      <c r="L28" t="s">
        <v>2395</v>
      </c>
      <c r="M28" t="s">
        <v>28</v>
      </c>
      <c r="N28" t="s">
        <v>2404</v>
      </c>
      <c r="O28">
        <v>1</v>
      </c>
      <c r="P28" s="2">
        <v>43851</v>
      </c>
      <c r="Q28" s="1">
        <v>32</v>
      </c>
      <c r="R28" t="s">
        <v>2418</v>
      </c>
      <c r="S28">
        <v>1135357897</v>
      </c>
    </row>
    <row r="29" spans="1:19" x14ac:dyDescent="0.2">
      <c r="A29" t="str">
        <f t="shared" si="0"/>
        <v>Adult Fiction</v>
      </c>
      <c r="B29" t="str">
        <f>"NEW F ANSHA"</f>
        <v>NEW F ANSHA</v>
      </c>
      <c r="C29" t="str">
        <f>"Right after the weather"</f>
        <v>Right after the weather</v>
      </c>
      <c r="D29">
        <v>358159</v>
      </c>
      <c r="E29" t="str">
        <f>"Anshaw, Carol,"</f>
        <v>Anshaw, Carol,</v>
      </c>
      <c r="G29" t="str">
        <f>"269 pages, 24 cm"</f>
        <v>269 pages, 24 cm</v>
      </c>
      <c r="H29" s="1">
        <v>19</v>
      </c>
      <c r="I29">
        <v>2019</v>
      </c>
      <c r="J29" t="str">
        <f t="shared" si="1"/>
        <v>2: Fiction</v>
      </c>
      <c r="L29" t="s">
        <v>2395</v>
      </c>
      <c r="M29" t="s">
        <v>28</v>
      </c>
      <c r="N29" t="s">
        <v>2404</v>
      </c>
      <c r="O29">
        <v>8</v>
      </c>
      <c r="P29" s="2">
        <v>43740</v>
      </c>
      <c r="Q29" s="1">
        <v>32</v>
      </c>
      <c r="R29" t="s">
        <v>2419</v>
      </c>
      <c r="S29">
        <v>1051777208</v>
      </c>
    </row>
    <row r="30" spans="1:19" x14ac:dyDescent="0.2">
      <c r="A30" t="str">
        <f t="shared" si="0"/>
        <v>Adult Fiction</v>
      </c>
      <c r="B30" t="str">
        <f>"NEW F ANYUR"</f>
        <v>NEW F ANYUR</v>
      </c>
      <c r="C30" t="str">
        <f>"They will drown in their mothers' tears"</f>
        <v>They will drown in their mothers' tears</v>
      </c>
      <c r="D30">
        <v>360576</v>
      </c>
      <c r="E30" t="str">
        <f>"Anyuru, Johannes,"</f>
        <v>Anyuru, Johannes,</v>
      </c>
      <c r="G30" t="str">
        <f>"278 pages, 22 cm"</f>
        <v>278 pages, 22 cm</v>
      </c>
      <c r="H30" s="1">
        <v>20</v>
      </c>
      <c r="I30">
        <v>2019</v>
      </c>
      <c r="J30" t="str">
        <f t="shared" si="1"/>
        <v>2: Fiction</v>
      </c>
      <c r="L30" t="s">
        <v>2395</v>
      </c>
      <c r="M30" t="s">
        <v>28</v>
      </c>
      <c r="N30" t="str">
        <f>"Reserve Cart"</f>
        <v>Reserve Cart</v>
      </c>
      <c r="O30">
        <v>0</v>
      </c>
      <c r="P30" s="2">
        <v>43853</v>
      </c>
      <c r="Q30" s="1">
        <v>28</v>
      </c>
      <c r="R30" t="s">
        <v>2420</v>
      </c>
      <c r="S30">
        <v>1097464631</v>
      </c>
    </row>
    <row r="31" spans="1:19" x14ac:dyDescent="0.2">
      <c r="A31" t="str">
        <f t="shared" si="0"/>
        <v>Adult Fiction</v>
      </c>
      <c r="B31" t="str">
        <f t="shared" ref="B31:B36" si="3">"NEW F ARCHE"</f>
        <v>NEW F ARCHE</v>
      </c>
      <c r="C31" t="str">
        <f t="shared" ref="C31:C36" si="4">"Nothing ventured"</f>
        <v>Nothing ventured</v>
      </c>
      <c r="D31">
        <v>357147</v>
      </c>
      <c r="E31" t="str">
        <f t="shared" ref="E31:E36" si="5">"Archer, Jeffrey"</f>
        <v>Archer, Jeffrey</v>
      </c>
      <c r="F31" t="str">
        <f t="shared" ref="F31:F36" si="6">"William Warwick series (1)"</f>
        <v>William Warwick series (1)</v>
      </c>
      <c r="G31" t="str">
        <f t="shared" ref="G31:G36" si="7">"320 pages, 25 cm"</f>
        <v>320 pages, 25 cm</v>
      </c>
      <c r="H31" s="1">
        <v>19</v>
      </c>
      <c r="I31">
        <v>2019</v>
      </c>
      <c r="J31" t="str">
        <f t="shared" si="1"/>
        <v>2: Fiction</v>
      </c>
      <c r="L31" t="s">
        <v>2395</v>
      </c>
      <c r="M31" t="s">
        <v>28</v>
      </c>
      <c r="N31" t="s">
        <v>2404</v>
      </c>
      <c r="O31">
        <v>8</v>
      </c>
      <c r="P31" s="2">
        <v>43704</v>
      </c>
      <c r="Q31" s="1">
        <v>34</v>
      </c>
      <c r="R31" t="s">
        <v>2421</v>
      </c>
      <c r="S31">
        <v>1079871041</v>
      </c>
    </row>
    <row r="32" spans="1:19" x14ac:dyDescent="0.2">
      <c r="A32" t="str">
        <f t="shared" si="0"/>
        <v>Adult Fiction</v>
      </c>
      <c r="B32" t="str">
        <f t="shared" si="3"/>
        <v>NEW F ARCHE</v>
      </c>
      <c r="C32" t="str">
        <f t="shared" si="4"/>
        <v>Nothing ventured</v>
      </c>
      <c r="D32">
        <v>357148</v>
      </c>
      <c r="E32" t="str">
        <f t="shared" si="5"/>
        <v>Archer, Jeffrey</v>
      </c>
      <c r="F32" t="str">
        <f t="shared" si="6"/>
        <v>William Warwick series (1)</v>
      </c>
      <c r="G32" t="str">
        <f t="shared" si="7"/>
        <v>320 pages, 25 cm</v>
      </c>
      <c r="H32" s="1">
        <v>19</v>
      </c>
      <c r="I32">
        <v>2019</v>
      </c>
      <c r="J32" t="str">
        <f t="shared" si="1"/>
        <v>2: Fiction</v>
      </c>
      <c r="L32" t="s">
        <v>2395</v>
      </c>
      <c r="M32" t="s">
        <v>28</v>
      </c>
      <c r="N32" t="s">
        <v>2396</v>
      </c>
      <c r="O32">
        <v>9</v>
      </c>
      <c r="P32" s="2">
        <v>43704</v>
      </c>
      <c r="Q32" s="1">
        <v>34</v>
      </c>
      <c r="R32" t="s">
        <v>2421</v>
      </c>
      <c r="S32">
        <v>1079871041</v>
      </c>
    </row>
    <row r="33" spans="1:19" x14ac:dyDescent="0.2">
      <c r="A33" t="str">
        <f t="shared" si="0"/>
        <v>Adult Fiction</v>
      </c>
      <c r="B33" t="str">
        <f t="shared" si="3"/>
        <v>NEW F ARCHE</v>
      </c>
      <c r="C33" t="str">
        <f t="shared" si="4"/>
        <v>Nothing ventured</v>
      </c>
      <c r="D33">
        <v>357150</v>
      </c>
      <c r="E33" t="str">
        <f t="shared" si="5"/>
        <v>Archer, Jeffrey</v>
      </c>
      <c r="F33" t="str">
        <f t="shared" si="6"/>
        <v>William Warwick series (1)</v>
      </c>
      <c r="G33" t="str">
        <f t="shared" si="7"/>
        <v>320 pages, 25 cm</v>
      </c>
      <c r="H33" s="1">
        <v>19</v>
      </c>
      <c r="I33">
        <v>2019</v>
      </c>
      <c r="J33" t="str">
        <f t="shared" si="1"/>
        <v>2: Fiction</v>
      </c>
      <c r="L33" t="s">
        <v>2403</v>
      </c>
      <c r="M33" t="s">
        <v>28</v>
      </c>
      <c r="N33" t="s">
        <v>2404</v>
      </c>
      <c r="O33">
        <v>9</v>
      </c>
      <c r="P33" s="2">
        <v>43704</v>
      </c>
      <c r="Q33" s="1">
        <v>34</v>
      </c>
      <c r="R33" t="s">
        <v>2421</v>
      </c>
      <c r="S33">
        <v>1079871041</v>
      </c>
    </row>
    <row r="34" spans="1:19" x14ac:dyDescent="0.2">
      <c r="A34" t="str">
        <f t="shared" si="0"/>
        <v>Adult Fiction</v>
      </c>
      <c r="B34" t="str">
        <f t="shared" si="3"/>
        <v>NEW F ARCHE</v>
      </c>
      <c r="C34" t="str">
        <f t="shared" si="4"/>
        <v>Nothing ventured</v>
      </c>
      <c r="D34">
        <v>357151</v>
      </c>
      <c r="E34" t="str">
        <f t="shared" si="5"/>
        <v>Archer, Jeffrey</v>
      </c>
      <c r="F34" t="str">
        <f t="shared" si="6"/>
        <v>William Warwick series (1)</v>
      </c>
      <c r="G34" t="str">
        <f t="shared" si="7"/>
        <v>320 pages, 25 cm</v>
      </c>
      <c r="H34" s="1">
        <v>19</v>
      </c>
      <c r="I34">
        <v>2019</v>
      </c>
      <c r="J34" t="str">
        <f t="shared" si="1"/>
        <v>2: Fiction</v>
      </c>
      <c r="L34" t="s">
        <v>2395</v>
      </c>
      <c r="M34" t="s">
        <v>28</v>
      </c>
      <c r="N34" t="s">
        <v>2404</v>
      </c>
      <c r="O34">
        <v>7</v>
      </c>
      <c r="P34" s="2">
        <v>43704</v>
      </c>
      <c r="Q34" s="1">
        <v>34</v>
      </c>
      <c r="R34" t="s">
        <v>2421</v>
      </c>
      <c r="S34">
        <v>1079871041</v>
      </c>
    </row>
    <row r="35" spans="1:19" x14ac:dyDescent="0.2">
      <c r="A35" t="str">
        <f t="shared" si="0"/>
        <v>Adult Fiction</v>
      </c>
      <c r="B35" t="str">
        <f t="shared" si="3"/>
        <v>NEW F ARCHE</v>
      </c>
      <c r="C35" t="str">
        <f t="shared" si="4"/>
        <v>Nothing ventured</v>
      </c>
      <c r="D35">
        <v>357152</v>
      </c>
      <c r="E35" t="str">
        <f t="shared" si="5"/>
        <v>Archer, Jeffrey</v>
      </c>
      <c r="F35" t="str">
        <f t="shared" si="6"/>
        <v>William Warwick series (1)</v>
      </c>
      <c r="G35" t="str">
        <f t="shared" si="7"/>
        <v>320 pages, 25 cm</v>
      </c>
      <c r="H35" s="1">
        <v>19</v>
      </c>
      <c r="I35">
        <v>2019</v>
      </c>
      <c r="J35" t="str">
        <f t="shared" si="1"/>
        <v>2: Fiction</v>
      </c>
      <c r="L35" t="s">
        <v>2395</v>
      </c>
      <c r="M35" t="s">
        <v>28</v>
      </c>
      <c r="N35" t="s">
        <v>2404</v>
      </c>
      <c r="O35">
        <v>7</v>
      </c>
      <c r="P35" s="2">
        <v>43704</v>
      </c>
      <c r="Q35" s="1">
        <v>34</v>
      </c>
      <c r="R35" t="s">
        <v>2421</v>
      </c>
      <c r="S35">
        <v>1079871041</v>
      </c>
    </row>
    <row r="36" spans="1:19" x14ac:dyDescent="0.2">
      <c r="A36" t="str">
        <f t="shared" si="0"/>
        <v>Adult Fiction</v>
      </c>
      <c r="B36" t="str">
        <f t="shared" si="3"/>
        <v>NEW F ARCHE</v>
      </c>
      <c r="C36" t="str">
        <f t="shared" si="4"/>
        <v>Nothing ventured</v>
      </c>
      <c r="D36">
        <v>357153</v>
      </c>
      <c r="E36" t="str">
        <f t="shared" si="5"/>
        <v>Archer, Jeffrey</v>
      </c>
      <c r="F36" t="str">
        <f t="shared" si="6"/>
        <v>William Warwick series (1)</v>
      </c>
      <c r="G36" t="str">
        <f t="shared" si="7"/>
        <v>320 pages, 25 cm</v>
      </c>
      <c r="H36" s="1">
        <v>19</v>
      </c>
      <c r="I36">
        <v>2019</v>
      </c>
      <c r="J36" t="str">
        <f t="shared" si="1"/>
        <v>2: Fiction</v>
      </c>
      <c r="L36" t="s">
        <v>2395</v>
      </c>
      <c r="M36" t="s">
        <v>28</v>
      </c>
      <c r="N36" t="s">
        <v>2396</v>
      </c>
      <c r="O36">
        <v>9</v>
      </c>
      <c r="P36" s="2">
        <v>43704</v>
      </c>
      <c r="Q36" s="1">
        <v>34</v>
      </c>
      <c r="R36" t="s">
        <v>2421</v>
      </c>
      <c r="S36">
        <v>1079871041</v>
      </c>
    </row>
    <row r="37" spans="1:19" x14ac:dyDescent="0.2">
      <c r="A37" t="str">
        <f t="shared" si="0"/>
        <v>Adult Fiction</v>
      </c>
      <c r="B37" t="str">
        <f>"NEW F ARLEN"</f>
        <v>NEW F ARLEN</v>
      </c>
      <c r="C37" t="str">
        <f>"Poppy Redfern and the midnight murders"</f>
        <v>Poppy Redfern and the midnight murders</v>
      </c>
      <c r="D37">
        <v>359208</v>
      </c>
      <c r="E37" t="str">
        <f>"Arlen, Tessa"</f>
        <v>Arlen, Tessa</v>
      </c>
      <c r="F37" t="str">
        <f>"Women of World War II mystery series (1)"</f>
        <v>Women of World War II mystery series (1)</v>
      </c>
      <c r="G37" t="str">
        <f>"viii, 311 pages, 21 cm"</f>
        <v>viii, 311 pages, 21 cm</v>
      </c>
      <c r="H37" s="1">
        <v>19</v>
      </c>
      <c r="I37">
        <v>2019</v>
      </c>
      <c r="J37" t="str">
        <f t="shared" si="1"/>
        <v>2: Fiction</v>
      </c>
      <c r="L37" t="s">
        <v>2395</v>
      </c>
      <c r="M37" t="s">
        <v>28</v>
      </c>
      <c r="N37" t="s">
        <v>2404</v>
      </c>
      <c r="O37">
        <v>2</v>
      </c>
      <c r="P37" s="2">
        <v>43782</v>
      </c>
      <c r="Q37" s="1">
        <v>21</v>
      </c>
      <c r="R37" t="s">
        <v>2422</v>
      </c>
      <c r="S37">
        <v>1085630248</v>
      </c>
    </row>
    <row r="38" spans="1:19" x14ac:dyDescent="0.2">
      <c r="A38" t="str">
        <f t="shared" si="0"/>
        <v>Adult Fiction</v>
      </c>
      <c r="B38" t="str">
        <f>"NEW F ATKIN"</f>
        <v>NEW F ATKIN</v>
      </c>
      <c r="C38" t="str">
        <f>"The shameless"</f>
        <v>The shameless</v>
      </c>
      <c r="D38">
        <v>356074</v>
      </c>
      <c r="E38" t="str">
        <f>"Atkins, Ace"</f>
        <v>Atkins, Ace</v>
      </c>
      <c r="F38" t="str">
        <f>"Quinn Colson series (9)"</f>
        <v>Quinn Colson series (9)</v>
      </c>
      <c r="G38" t="str">
        <f>"446 pages, 24 cm"</f>
        <v>446 pages, 24 cm</v>
      </c>
      <c r="H38" s="1">
        <v>19</v>
      </c>
      <c r="I38">
        <v>2019</v>
      </c>
      <c r="J38" t="str">
        <f t="shared" si="1"/>
        <v>2: Fiction</v>
      </c>
      <c r="L38" t="s">
        <v>2395</v>
      </c>
      <c r="M38" t="s">
        <v>28</v>
      </c>
      <c r="N38" t="s">
        <v>2404</v>
      </c>
      <c r="O38">
        <v>13</v>
      </c>
      <c r="P38" s="2">
        <v>43655</v>
      </c>
      <c r="Q38" s="1">
        <v>32</v>
      </c>
      <c r="R38" t="s">
        <v>2423</v>
      </c>
      <c r="S38">
        <v>1057853415</v>
      </c>
    </row>
    <row r="39" spans="1:19" x14ac:dyDescent="0.2">
      <c r="A39" t="str">
        <f t="shared" si="0"/>
        <v>Adult Fiction</v>
      </c>
      <c r="B39" t="str">
        <f>"NEW F ATKIN"</f>
        <v>NEW F ATKIN</v>
      </c>
      <c r="C39" t="str">
        <f>"Big sky"</f>
        <v>Big sky</v>
      </c>
      <c r="D39">
        <v>356106</v>
      </c>
      <c r="E39" t="str">
        <f>"Atkinson, Kate"</f>
        <v>Atkinson, Kate</v>
      </c>
      <c r="F39" t="str">
        <f>"Jackson Brodie series (5)"</f>
        <v>Jackson Brodie series (5)</v>
      </c>
      <c r="G39" t="str">
        <f>"391 pages, 25 cm"</f>
        <v>391 pages, 25 cm</v>
      </c>
      <c r="H39" s="1">
        <v>19</v>
      </c>
      <c r="I39">
        <v>2019</v>
      </c>
      <c r="J39" t="str">
        <f t="shared" si="1"/>
        <v>2: Fiction</v>
      </c>
      <c r="L39" t="s">
        <v>2395</v>
      </c>
      <c r="M39" t="s">
        <v>28</v>
      </c>
      <c r="N39" t="s">
        <v>2401</v>
      </c>
      <c r="O39">
        <v>2</v>
      </c>
      <c r="P39" s="2">
        <v>43655</v>
      </c>
      <c r="Q39" s="1">
        <v>33</v>
      </c>
      <c r="R39" t="s">
        <v>2424</v>
      </c>
      <c r="S39">
        <v>1078879702</v>
      </c>
    </row>
    <row r="40" spans="1:19" x14ac:dyDescent="0.2">
      <c r="A40" t="str">
        <f t="shared" si="0"/>
        <v>Adult Fiction</v>
      </c>
      <c r="B40" t="str">
        <f>"NEW F ATKIN"</f>
        <v>NEW F ATKIN</v>
      </c>
      <c r="C40" t="str">
        <f>"Big sky"</f>
        <v>Big sky</v>
      </c>
      <c r="D40">
        <v>356107</v>
      </c>
      <c r="E40" t="str">
        <f>"Atkinson, Kate"</f>
        <v>Atkinson, Kate</v>
      </c>
      <c r="F40" t="str">
        <f>"Jackson Brodie series (5)"</f>
        <v>Jackson Brodie series (5)</v>
      </c>
      <c r="G40" t="str">
        <f>"391 pages, 25 cm"</f>
        <v>391 pages, 25 cm</v>
      </c>
      <c r="H40" s="1">
        <v>19</v>
      </c>
      <c r="I40">
        <v>2019</v>
      </c>
      <c r="J40" t="str">
        <f t="shared" si="1"/>
        <v>2: Fiction</v>
      </c>
      <c r="L40" t="s">
        <v>2395</v>
      </c>
      <c r="M40" t="s">
        <v>28</v>
      </c>
      <c r="N40" t="s">
        <v>2404</v>
      </c>
      <c r="O40">
        <v>14</v>
      </c>
      <c r="P40" s="2">
        <v>43655</v>
      </c>
      <c r="Q40" s="1">
        <v>33</v>
      </c>
      <c r="R40" t="s">
        <v>2424</v>
      </c>
      <c r="S40">
        <v>1078879702</v>
      </c>
    </row>
    <row r="41" spans="1:19" x14ac:dyDescent="0.2">
      <c r="A41" t="str">
        <f t="shared" si="0"/>
        <v>Adult Fiction</v>
      </c>
      <c r="B41" t="str">
        <f>"NEW F ATTEN"</f>
        <v>NEW F ATTEN</v>
      </c>
      <c r="C41" t="str">
        <f>"All this could be yours"</f>
        <v>All this could be yours</v>
      </c>
      <c r="D41">
        <v>358468</v>
      </c>
      <c r="E41" t="str">
        <f>"Attenberg, Jami"</f>
        <v>Attenberg, Jami</v>
      </c>
      <c r="G41" t="str">
        <f>"294 p."</f>
        <v>294 p.</v>
      </c>
      <c r="H41" s="1">
        <v>19</v>
      </c>
      <c r="I41">
        <v>2019</v>
      </c>
      <c r="J41" t="str">
        <f t="shared" si="1"/>
        <v>2: Fiction</v>
      </c>
      <c r="L41" t="s">
        <v>2403</v>
      </c>
      <c r="M41" t="s">
        <v>28</v>
      </c>
      <c r="N41" t="s">
        <v>2404</v>
      </c>
      <c r="O41">
        <v>7</v>
      </c>
      <c r="P41" s="2">
        <v>43753</v>
      </c>
      <c r="Q41" s="1">
        <v>31</v>
      </c>
      <c r="R41" t="s">
        <v>2425</v>
      </c>
    </row>
    <row r="42" spans="1:19" x14ac:dyDescent="0.2">
      <c r="A42" t="str">
        <f t="shared" si="0"/>
        <v>Adult Fiction</v>
      </c>
      <c r="B42" t="str">
        <f t="shared" ref="B42:B47" si="8">"NEW F ATWOO"</f>
        <v>NEW F ATWOO</v>
      </c>
      <c r="C42" t="str">
        <f t="shared" ref="C42:C47" si="9">"The Testaments: the sequel to the Handmaid's Tale"</f>
        <v>The Testaments: the sequel to the Handmaid's Tale</v>
      </c>
      <c r="D42">
        <v>357430</v>
      </c>
      <c r="E42" t="str">
        <f t="shared" ref="E42:E47" si="10">"Atwood, Margaret Eleanor"</f>
        <v>Atwood, Margaret Eleanor</v>
      </c>
      <c r="G42" t="str">
        <f t="shared" ref="G42:G47" si="11">"432 p."</f>
        <v>432 p.</v>
      </c>
      <c r="H42" s="1">
        <v>19</v>
      </c>
      <c r="I42">
        <v>2019</v>
      </c>
      <c r="J42" t="str">
        <f t="shared" si="1"/>
        <v>2: Fiction</v>
      </c>
      <c r="L42" t="s">
        <v>2395</v>
      </c>
      <c r="M42" t="s">
        <v>28</v>
      </c>
      <c r="N42" t="s">
        <v>2404</v>
      </c>
      <c r="O42">
        <v>7</v>
      </c>
      <c r="P42" s="2">
        <v>43718</v>
      </c>
      <c r="Q42" s="1">
        <v>34</v>
      </c>
      <c r="R42" t="s">
        <v>2426</v>
      </c>
    </row>
    <row r="43" spans="1:19" x14ac:dyDescent="0.2">
      <c r="A43" t="str">
        <f t="shared" si="0"/>
        <v>Adult Fiction</v>
      </c>
      <c r="B43" t="str">
        <f t="shared" si="8"/>
        <v>NEW F ATWOO</v>
      </c>
      <c r="C43" t="str">
        <f t="shared" si="9"/>
        <v>The Testaments: the sequel to the Handmaid's Tale</v>
      </c>
      <c r="D43">
        <v>357431</v>
      </c>
      <c r="E43" t="str">
        <f t="shared" si="10"/>
        <v>Atwood, Margaret Eleanor</v>
      </c>
      <c r="G43" t="str">
        <f t="shared" si="11"/>
        <v>432 p.</v>
      </c>
      <c r="H43" s="1">
        <v>19</v>
      </c>
      <c r="I43">
        <v>2019</v>
      </c>
      <c r="J43" t="str">
        <f t="shared" si="1"/>
        <v>2: Fiction</v>
      </c>
      <c r="L43" t="s">
        <v>2395</v>
      </c>
      <c r="M43" t="s">
        <v>28</v>
      </c>
      <c r="N43" t="s">
        <v>2396</v>
      </c>
      <c r="O43">
        <v>8</v>
      </c>
      <c r="P43" s="2">
        <v>43718</v>
      </c>
      <c r="Q43" s="1">
        <v>34</v>
      </c>
      <c r="R43" t="s">
        <v>2426</v>
      </c>
    </row>
    <row r="44" spans="1:19" x14ac:dyDescent="0.2">
      <c r="A44" t="str">
        <f t="shared" si="0"/>
        <v>Adult Fiction</v>
      </c>
      <c r="B44" t="str">
        <f t="shared" si="8"/>
        <v>NEW F ATWOO</v>
      </c>
      <c r="C44" t="str">
        <f t="shared" si="9"/>
        <v>The Testaments: the sequel to the Handmaid's Tale</v>
      </c>
      <c r="D44">
        <v>357929</v>
      </c>
      <c r="E44" t="str">
        <f t="shared" si="10"/>
        <v>Atwood, Margaret Eleanor</v>
      </c>
      <c r="G44" t="str">
        <f t="shared" si="11"/>
        <v>432 p.</v>
      </c>
      <c r="H44" s="1">
        <v>19</v>
      </c>
      <c r="I44">
        <v>2019</v>
      </c>
      <c r="J44" t="str">
        <f t="shared" si="1"/>
        <v>2: Fiction</v>
      </c>
      <c r="L44" t="s">
        <v>2403</v>
      </c>
      <c r="M44" t="s">
        <v>28</v>
      </c>
      <c r="N44" t="s">
        <v>2396</v>
      </c>
      <c r="O44">
        <v>9</v>
      </c>
      <c r="P44" s="2">
        <v>43733</v>
      </c>
      <c r="Q44" s="1">
        <v>34</v>
      </c>
      <c r="R44" t="s">
        <v>2426</v>
      </c>
    </row>
    <row r="45" spans="1:19" x14ac:dyDescent="0.2">
      <c r="A45" t="str">
        <f t="shared" si="0"/>
        <v>Adult Fiction</v>
      </c>
      <c r="B45" t="str">
        <f t="shared" si="8"/>
        <v>NEW F ATWOO</v>
      </c>
      <c r="C45" t="str">
        <f t="shared" si="9"/>
        <v>The Testaments: the sequel to the Handmaid's Tale</v>
      </c>
      <c r="D45">
        <v>357930</v>
      </c>
      <c r="E45" t="str">
        <f t="shared" si="10"/>
        <v>Atwood, Margaret Eleanor</v>
      </c>
      <c r="G45" t="str">
        <f t="shared" si="11"/>
        <v>432 p.</v>
      </c>
      <c r="H45" s="1">
        <v>19</v>
      </c>
      <c r="I45">
        <v>2019</v>
      </c>
      <c r="J45" t="str">
        <f t="shared" si="1"/>
        <v>2: Fiction</v>
      </c>
      <c r="L45" t="s">
        <v>2403</v>
      </c>
      <c r="M45" t="s">
        <v>28</v>
      </c>
      <c r="N45" t="s">
        <v>2404</v>
      </c>
      <c r="O45">
        <v>11</v>
      </c>
      <c r="P45" s="2">
        <v>43733</v>
      </c>
      <c r="Q45" s="1">
        <v>34</v>
      </c>
      <c r="R45" t="s">
        <v>2426</v>
      </c>
    </row>
    <row r="46" spans="1:19" x14ac:dyDescent="0.2">
      <c r="A46" t="str">
        <f t="shared" si="0"/>
        <v>Adult Fiction</v>
      </c>
      <c r="B46" t="str">
        <f t="shared" si="8"/>
        <v>NEW F ATWOO</v>
      </c>
      <c r="C46" t="str">
        <f t="shared" si="9"/>
        <v>The Testaments: the sequel to the Handmaid's Tale</v>
      </c>
      <c r="D46">
        <v>358722</v>
      </c>
      <c r="E46" t="str">
        <f t="shared" si="10"/>
        <v>Atwood, Margaret Eleanor</v>
      </c>
      <c r="G46" t="str">
        <f t="shared" si="11"/>
        <v>432 p.</v>
      </c>
      <c r="H46" s="1">
        <v>19</v>
      </c>
      <c r="I46">
        <v>2019</v>
      </c>
      <c r="J46" t="str">
        <f t="shared" si="1"/>
        <v>2: Fiction</v>
      </c>
      <c r="L46" t="s">
        <v>2395</v>
      </c>
      <c r="M46" t="s">
        <v>28</v>
      </c>
      <c r="N46" t="s">
        <v>2396</v>
      </c>
      <c r="O46">
        <v>6</v>
      </c>
      <c r="P46" s="2">
        <v>43762</v>
      </c>
      <c r="Q46" s="1">
        <v>34</v>
      </c>
      <c r="R46" t="s">
        <v>2426</v>
      </c>
    </row>
    <row r="47" spans="1:19" x14ac:dyDescent="0.2">
      <c r="A47" t="str">
        <f t="shared" si="0"/>
        <v>Adult Fiction</v>
      </c>
      <c r="B47" t="str">
        <f t="shared" si="8"/>
        <v>NEW F ATWOO</v>
      </c>
      <c r="C47" t="str">
        <f t="shared" si="9"/>
        <v>The Testaments: the sequel to the Handmaid's Tale</v>
      </c>
      <c r="D47">
        <v>358723</v>
      </c>
      <c r="E47" t="str">
        <f t="shared" si="10"/>
        <v>Atwood, Margaret Eleanor</v>
      </c>
      <c r="G47" t="str">
        <f t="shared" si="11"/>
        <v>432 p.</v>
      </c>
      <c r="H47" s="1">
        <v>19</v>
      </c>
      <c r="I47">
        <v>2019</v>
      </c>
      <c r="J47" t="str">
        <f t="shared" si="1"/>
        <v>2: Fiction</v>
      </c>
      <c r="L47" t="s">
        <v>2395</v>
      </c>
      <c r="M47" t="s">
        <v>28</v>
      </c>
      <c r="N47" t="s">
        <v>2404</v>
      </c>
      <c r="O47">
        <v>9</v>
      </c>
      <c r="P47" s="2">
        <v>43762</v>
      </c>
      <c r="Q47" s="1">
        <v>34</v>
      </c>
      <c r="R47" t="s">
        <v>2426</v>
      </c>
    </row>
    <row r="48" spans="1:19" x14ac:dyDescent="0.2">
      <c r="A48" t="str">
        <f t="shared" si="0"/>
        <v>Adult Fiction</v>
      </c>
      <c r="B48" t="str">
        <f>"NEW F AUSTE"</f>
        <v>NEW F AUSTE</v>
      </c>
      <c r="C48" t="s">
        <v>2427</v>
      </c>
      <c r="D48">
        <v>360452</v>
      </c>
      <c r="E48" t="str">
        <f>"Austen, Jane"</f>
        <v>Austen, Jane</v>
      </c>
      <c r="H48" s="1">
        <v>20</v>
      </c>
      <c r="I48">
        <v>2019</v>
      </c>
      <c r="J48" t="str">
        <f t="shared" si="1"/>
        <v>2: Fiction</v>
      </c>
      <c r="L48" t="s">
        <v>2395</v>
      </c>
      <c r="M48" t="s">
        <v>28</v>
      </c>
      <c r="N48" t="s">
        <v>2396</v>
      </c>
      <c r="O48">
        <v>0</v>
      </c>
      <c r="P48" s="2">
        <v>43851</v>
      </c>
      <c r="Q48" s="1">
        <v>22</v>
      </c>
      <c r="R48" t="s">
        <v>2428</v>
      </c>
      <c r="S48">
        <v>1120150161</v>
      </c>
    </row>
    <row r="49" spans="1:19" x14ac:dyDescent="0.2">
      <c r="A49" t="str">
        <f t="shared" si="0"/>
        <v>Adult Fiction</v>
      </c>
      <c r="B49" t="str">
        <f>"NEW F AUSTE"</f>
        <v>NEW F AUSTE</v>
      </c>
      <c r="C49" t="s">
        <v>2427</v>
      </c>
      <c r="D49">
        <v>360453</v>
      </c>
      <c r="E49" t="str">
        <f>"Austen, Jane"</f>
        <v>Austen, Jane</v>
      </c>
      <c r="H49" s="1">
        <v>20</v>
      </c>
      <c r="I49">
        <v>2019</v>
      </c>
      <c r="J49" t="str">
        <f t="shared" si="1"/>
        <v>2: Fiction</v>
      </c>
      <c r="L49" t="s">
        <v>2403</v>
      </c>
      <c r="M49" t="s">
        <v>28</v>
      </c>
      <c r="N49" t="s">
        <v>2415</v>
      </c>
      <c r="O49">
        <v>0</v>
      </c>
      <c r="P49" s="2">
        <v>43851</v>
      </c>
      <c r="Q49" s="1">
        <v>22</v>
      </c>
      <c r="R49" t="s">
        <v>2428</v>
      </c>
      <c r="S49">
        <v>1120150161</v>
      </c>
    </row>
    <row r="50" spans="1:19" x14ac:dyDescent="0.2">
      <c r="A50" t="str">
        <f t="shared" si="0"/>
        <v>Adult Fiction</v>
      </c>
      <c r="B50" t="str">
        <f>"NEW F BACHM"</f>
        <v>NEW F BACHM</v>
      </c>
      <c r="C50" t="s">
        <v>2429</v>
      </c>
      <c r="D50">
        <v>357904</v>
      </c>
      <c r="E50" t="str">
        <f>"Bachmann, Ingeborg"</f>
        <v>Bachmann, Ingeborg</v>
      </c>
      <c r="G50" t="str">
        <f>"xiv, 283 pages, 22 cm"</f>
        <v>xiv, 283 pages, 22 cm</v>
      </c>
      <c r="H50" s="1">
        <v>19</v>
      </c>
      <c r="I50">
        <v>2019</v>
      </c>
      <c r="J50" t="str">
        <f t="shared" si="1"/>
        <v>2: Fiction</v>
      </c>
      <c r="L50" t="s">
        <v>2395</v>
      </c>
      <c r="M50" t="s">
        <v>28</v>
      </c>
      <c r="N50" t="s">
        <v>2396</v>
      </c>
      <c r="O50">
        <v>0</v>
      </c>
      <c r="P50" s="2">
        <v>43733</v>
      </c>
      <c r="Q50" s="1">
        <v>22</v>
      </c>
      <c r="R50" t="s">
        <v>2430</v>
      </c>
      <c r="S50">
        <v>1057375319</v>
      </c>
    </row>
    <row r="51" spans="1:19" x14ac:dyDescent="0.2">
      <c r="A51" t="str">
        <f t="shared" si="0"/>
        <v>Adult Fiction</v>
      </c>
      <c r="B51" t="str">
        <f t="shared" ref="B51:B63" si="12">"NEW F BALDA"</f>
        <v>NEW F BALDA</v>
      </c>
      <c r="C51" t="str">
        <f t="shared" ref="C51:C60" si="13">"A minute to midnight"</f>
        <v>A minute to midnight</v>
      </c>
      <c r="D51">
        <v>359232</v>
      </c>
      <c r="E51" t="str">
        <f t="shared" ref="E51:E63" si="14">"Baldacci, David"</f>
        <v>Baldacci, David</v>
      </c>
      <c r="F51" t="str">
        <f t="shared" ref="F51:F60" si="15">"Atlee Pine series (2)"</f>
        <v>Atlee Pine series (2)</v>
      </c>
      <c r="G51" t="str">
        <f t="shared" ref="G51:G60" si="16">"415 p."</f>
        <v>415 p.</v>
      </c>
      <c r="H51" s="1">
        <v>19</v>
      </c>
      <c r="I51">
        <v>2019</v>
      </c>
      <c r="J51" t="str">
        <f t="shared" si="1"/>
        <v>2: Fiction</v>
      </c>
      <c r="L51" t="s">
        <v>2403</v>
      </c>
      <c r="M51" t="s">
        <v>28</v>
      </c>
      <c r="N51" t="s">
        <v>2404</v>
      </c>
      <c r="O51">
        <v>7</v>
      </c>
      <c r="P51" s="2">
        <v>43782</v>
      </c>
      <c r="Q51" s="1">
        <v>34</v>
      </c>
      <c r="R51" t="s">
        <v>2431</v>
      </c>
      <c r="S51">
        <v>1126278726</v>
      </c>
    </row>
    <row r="52" spans="1:19" x14ac:dyDescent="0.2">
      <c r="A52" t="str">
        <f t="shared" si="0"/>
        <v>Adult Fiction</v>
      </c>
      <c r="B52" t="str">
        <f t="shared" si="12"/>
        <v>NEW F BALDA</v>
      </c>
      <c r="C52" t="str">
        <f t="shared" si="13"/>
        <v>A minute to midnight</v>
      </c>
      <c r="D52">
        <v>359233</v>
      </c>
      <c r="E52" t="str">
        <f t="shared" si="14"/>
        <v>Baldacci, David</v>
      </c>
      <c r="F52" t="str">
        <f t="shared" si="15"/>
        <v>Atlee Pine series (2)</v>
      </c>
      <c r="G52" t="str">
        <f t="shared" si="16"/>
        <v>415 p.</v>
      </c>
      <c r="H52" s="1">
        <v>19</v>
      </c>
      <c r="I52">
        <v>2019</v>
      </c>
      <c r="J52" t="str">
        <f t="shared" si="1"/>
        <v>2: Fiction</v>
      </c>
      <c r="L52" t="s">
        <v>2395</v>
      </c>
      <c r="M52" t="s">
        <v>28</v>
      </c>
      <c r="N52" t="s">
        <v>2404</v>
      </c>
      <c r="O52">
        <v>4</v>
      </c>
      <c r="P52" s="2">
        <v>43782</v>
      </c>
      <c r="Q52" s="1">
        <v>34</v>
      </c>
      <c r="R52" t="s">
        <v>2431</v>
      </c>
      <c r="S52">
        <v>1126278726</v>
      </c>
    </row>
    <row r="53" spans="1:19" x14ac:dyDescent="0.2">
      <c r="A53" t="str">
        <f t="shared" si="0"/>
        <v>Adult Fiction</v>
      </c>
      <c r="B53" t="str">
        <f t="shared" si="12"/>
        <v>NEW F BALDA</v>
      </c>
      <c r="C53" t="str">
        <f t="shared" si="13"/>
        <v>A minute to midnight</v>
      </c>
      <c r="D53">
        <v>359234</v>
      </c>
      <c r="E53" t="str">
        <f t="shared" si="14"/>
        <v>Baldacci, David</v>
      </c>
      <c r="F53" t="str">
        <f t="shared" si="15"/>
        <v>Atlee Pine series (2)</v>
      </c>
      <c r="G53" t="str">
        <f t="shared" si="16"/>
        <v>415 p.</v>
      </c>
      <c r="H53" s="1">
        <v>19</v>
      </c>
      <c r="I53">
        <v>2019</v>
      </c>
      <c r="J53" t="str">
        <f t="shared" si="1"/>
        <v>2: Fiction</v>
      </c>
      <c r="L53" t="s">
        <v>2395</v>
      </c>
      <c r="M53" t="s">
        <v>28</v>
      </c>
      <c r="N53" t="s">
        <v>2404</v>
      </c>
      <c r="O53">
        <v>6</v>
      </c>
      <c r="P53" s="2">
        <v>43782</v>
      </c>
      <c r="Q53" s="1">
        <v>34</v>
      </c>
      <c r="R53" t="s">
        <v>2431</v>
      </c>
      <c r="S53">
        <v>1126278726</v>
      </c>
    </row>
    <row r="54" spans="1:19" x14ac:dyDescent="0.2">
      <c r="A54" t="str">
        <f t="shared" si="0"/>
        <v>Adult Fiction</v>
      </c>
      <c r="B54" t="str">
        <f t="shared" si="12"/>
        <v>NEW F BALDA</v>
      </c>
      <c r="C54" t="str">
        <f t="shared" si="13"/>
        <v>A minute to midnight</v>
      </c>
      <c r="D54">
        <v>359235</v>
      </c>
      <c r="E54" t="str">
        <f t="shared" si="14"/>
        <v>Baldacci, David</v>
      </c>
      <c r="F54" t="str">
        <f t="shared" si="15"/>
        <v>Atlee Pine series (2)</v>
      </c>
      <c r="G54" t="str">
        <f t="shared" si="16"/>
        <v>415 p.</v>
      </c>
      <c r="H54" s="1">
        <v>19</v>
      </c>
      <c r="I54">
        <v>2019</v>
      </c>
      <c r="J54" t="str">
        <f t="shared" si="1"/>
        <v>2: Fiction</v>
      </c>
      <c r="L54" t="s">
        <v>2403</v>
      </c>
      <c r="M54" t="s">
        <v>28</v>
      </c>
      <c r="N54" t="s">
        <v>2404</v>
      </c>
      <c r="O54">
        <v>6</v>
      </c>
      <c r="P54" s="2">
        <v>43782</v>
      </c>
      <c r="Q54" s="1">
        <v>34</v>
      </c>
      <c r="R54" t="s">
        <v>2431</v>
      </c>
      <c r="S54">
        <v>1126278726</v>
      </c>
    </row>
    <row r="55" spans="1:19" x14ac:dyDescent="0.2">
      <c r="A55" t="str">
        <f t="shared" si="0"/>
        <v>Adult Fiction</v>
      </c>
      <c r="B55" t="str">
        <f t="shared" si="12"/>
        <v>NEW F BALDA</v>
      </c>
      <c r="C55" t="str">
        <f t="shared" si="13"/>
        <v>A minute to midnight</v>
      </c>
      <c r="D55">
        <v>359236</v>
      </c>
      <c r="E55" t="str">
        <f t="shared" si="14"/>
        <v>Baldacci, David</v>
      </c>
      <c r="F55" t="str">
        <f t="shared" si="15"/>
        <v>Atlee Pine series (2)</v>
      </c>
      <c r="G55" t="str">
        <f t="shared" si="16"/>
        <v>415 p.</v>
      </c>
      <c r="H55" s="1">
        <v>19</v>
      </c>
      <c r="I55">
        <v>2019</v>
      </c>
      <c r="J55" t="str">
        <f t="shared" si="1"/>
        <v>2: Fiction</v>
      </c>
      <c r="L55" t="s">
        <v>2395</v>
      </c>
      <c r="M55" t="s">
        <v>28</v>
      </c>
      <c r="N55" t="s">
        <v>2404</v>
      </c>
      <c r="O55">
        <v>6</v>
      </c>
      <c r="P55" s="2">
        <v>43782</v>
      </c>
      <c r="Q55" s="1">
        <v>34</v>
      </c>
      <c r="R55" t="s">
        <v>2431</v>
      </c>
      <c r="S55">
        <v>1126278726</v>
      </c>
    </row>
    <row r="56" spans="1:19" x14ac:dyDescent="0.2">
      <c r="A56" t="str">
        <f t="shared" si="0"/>
        <v>Adult Fiction</v>
      </c>
      <c r="B56" t="str">
        <f t="shared" si="12"/>
        <v>NEW F BALDA</v>
      </c>
      <c r="C56" t="str">
        <f t="shared" si="13"/>
        <v>A minute to midnight</v>
      </c>
      <c r="D56">
        <v>359237</v>
      </c>
      <c r="E56" t="str">
        <f t="shared" si="14"/>
        <v>Baldacci, David</v>
      </c>
      <c r="F56" t="str">
        <f t="shared" si="15"/>
        <v>Atlee Pine series (2)</v>
      </c>
      <c r="G56" t="str">
        <f t="shared" si="16"/>
        <v>415 p.</v>
      </c>
      <c r="H56" s="1">
        <v>19</v>
      </c>
      <c r="I56">
        <v>2019</v>
      </c>
      <c r="J56" t="str">
        <f t="shared" si="1"/>
        <v>2: Fiction</v>
      </c>
      <c r="L56" t="s">
        <v>2395</v>
      </c>
      <c r="M56" t="s">
        <v>28</v>
      </c>
      <c r="N56" t="s">
        <v>2404</v>
      </c>
      <c r="O56">
        <v>5</v>
      </c>
      <c r="P56" s="2">
        <v>43782</v>
      </c>
      <c r="Q56" s="1">
        <v>34</v>
      </c>
      <c r="R56" t="s">
        <v>2431</v>
      </c>
      <c r="S56">
        <v>1126278726</v>
      </c>
    </row>
    <row r="57" spans="1:19" x14ac:dyDescent="0.2">
      <c r="A57" t="str">
        <f t="shared" si="0"/>
        <v>Adult Fiction</v>
      </c>
      <c r="B57" t="str">
        <f t="shared" si="12"/>
        <v>NEW F BALDA</v>
      </c>
      <c r="C57" t="str">
        <f t="shared" si="13"/>
        <v>A minute to midnight</v>
      </c>
      <c r="D57">
        <v>359238</v>
      </c>
      <c r="E57" t="str">
        <f t="shared" si="14"/>
        <v>Baldacci, David</v>
      </c>
      <c r="F57" t="str">
        <f t="shared" si="15"/>
        <v>Atlee Pine series (2)</v>
      </c>
      <c r="G57" t="str">
        <f t="shared" si="16"/>
        <v>415 p.</v>
      </c>
      <c r="H57" s="1">
        <v>19</v>
      </c>
      <c r="I57">
        <v>2019</v>
      </c>
      <c r="J57" t="str">
        <f t="shared" si="1"/>
        <v>2: Fiction</v>
      </c>
      <c r="L57" t="s">
        <v>2395</v>
      </c>
      <c r="M57" t="s">
        <v>28</v>
      </c>
      <c r="N57" t="s">
        <v>2404</v>
      </c>
      <c r="O57">
        <v>6</v>
      </c>
      <c r="P57" s="2">
        <v>43782</v>
      </c>
      <c r="Q57" s="1">
        <v>34</v>
      </c>
      <c r="R57" t="s">
        <v>2431</v>
      </c>
      <c r="S57">
        <v>1126278726</v>
      </c>
    </row>
    <row r="58" spans="1:19" x14ac:dyDescent="0.2">
      <c r="A58" t="str">
        <f t="shared" si="0"/>
        <v>Adult Fiction</v>
      </c>
      <c r="B58" t="str">
        <f t="shared" si="12"/>
        <v>NEW F BALDA</v>
      </c>
      <c r="C58" t="str">
        <f t="shared" si="13"/>
        <v>A minute to midnight</v>
      </c>
      <c r="D58">
        <v>359239</v>
      </c>
      <c r="E58" t="str">
        <f t="shared" si="14"/>
        <v>Baldacci, David</v>
      </c>
      <c r="F58" t="str">
        <f t="shared" si="15"/>
        <v>Atlee Pine series (2)</v>
      </c>
      <c r="G58" t="str">
        <f t="shared" si="16"/>
        <v>415 p.</v>
      </c>
      <c r="H58" s="1">
        <v>19</v>
      </c>
      <c r="I58">
        <v>2019</v>
      </c>
      <c r="J58" t="str">
        <f t="shared" si="1"/>
        <v>2: Fiction</v>
      </c>
      <c r="L58" t="s">
        <v>2395</v>
      </c>
      <c r="M58" t="s">
        <v>28</v>
      </c>
      <c r="N58" t="s">
        <v>2404</v>
      </c>
      <c r="O58">
        <v>6</v>
      </c>
      <c r="P58" s="2">
        <v>43782</v>
      </c>
      <c r="Q58" s="1">
        <v>34</v>
      </c>
      <c r="R58" t="s">
        <v>2431</v>
      </c>
      <c r="S58">
        <v>1126278726</v>
      </c>
    </row>
    <row r="59" spans="1:19" x14ac:dyDescent="0.2">
      <c r="A59" t="str">
        <f t="shared" si="0"/>
        <v>Adult Fiction</v>
      </c>
      <c r="B59" t="str">
        <f t="shared" si="12"/>
        <v>NEW F BALDA</v>
      </c>
      <c r="C59" t="str">
        <f t="shared" si="13"/>
        <v>A minute to midnight</v>
      </c>
      <c r="D59">
        <v>359240</v>
      </c>
      <c r="E59" t="str">
        <f t="shared" si="14"/>
        <v>Baldacci, David</v>
      </c>
      <c r="F59" t="str">
        <f t="shared" si="15"/>
        <v>Atlee Pine series (2)</v>
      </c>
      <c r="G59" t="str">
        <f t="shared" si="16"/>
        <v>415 p.</v>
      </c>
      <c r="H59" s="1">
        <v>19</v>
      </c>
      <c r="I59">
        <v>2019</v>
      </c>
      <c r="J59" t="str">
        <f t="shared" si="1"/>
        <v>2: Fiction</v>
      </c>
      <c r="L59" t="s">
        <v>2395</v>
      </c>
      <c r="M59" t="s">
        <v>28</v>
      </c>
      <c r="N59" t="str">
        <f>"Reserve Cart"</f>
        <v>Reserve Cart</v>
      </c>
      <c r="O59">
        <v>3</v>
      </c>
      <c r="P59" s="2">
        <v>43782</v>
      </c>
      <c r="Q59" s="1">
        <v>34</v>
      </c>
      <c r="R59" t="s">
        <v>2431</v>
      </c>
      <c r="S59">
        <v>1126278726</v>
      </c>
    </row>
    <row r="60" spans="1:19" x14ac:dyDescent="0.2">
      <c r="A60" t="str">
        <f t="shared" si="0"/>
        <v>Adult Fiction</v>
      </c>
      <c r="B60" t="str">
        <f t="shared" si="12"/>
        <v>NEW F BALDA</v>
      </c>
      <c r="C60" t="str">
        <f t="shared" si="13"/>
        <v>A minute to midnight</v>
      </c>
      <c r="D60">
        <v>359241</v>
      </c>
      <c r="E60" t="str">
        <f t="shared" si="14"/>
        <v>Baldacci, David</v>
      </c>
      <c r="F60" t="str">
        <f t="shared" si="15"/>
        <v>Atlee Pine series (2)</v>
      </c>
      <c r="G60" t="str">
        <f t="shared" si="16"/>
        <v>415 p.</v>
      </c>
      <c r="H60" s="1">
        <v>19</v>
      </c>
      <c r="I60">
        <v>2019</v>
      </c>
      <c r="J60" t="str">
        <f t="shared" si="1"/>
        <v>2: Fiction</v>
      </c>
      <c r="L60" t="s">
        <v>2395</v>
      </c>
      <c r="M60" t="s">
        <v>28</v>
      </c>
      <c r="N60" t="s">
        <v>2404</v>
      </c>
      <c r="O60">
        <v>6</v>
      </c>
      <c r="P60" s="2">
        <v>43782</v>
      </c>
      <c r="Q60" s="1">
        <v>34</v>
      </c>
      <c r="R60" t="s">
        <v>2431</v>
      </c>
      <c r="S60">
        <v>1126278726</v>
      </c>
    </row>
    <row r="61" spans="1:19" x14ac:dyDescent="0.2">
      <c r="A61" t="str">
        <f t="shared" si="0"/>
        <v>Adult Fiction</v>
      </c>
      <c r="B61" t="str">
        <f t="shared" si="12"/>
        <v>NEW F BALDA</v>
      </c>
      <c r="C61" t="str">
        <f>"One good deed"</f>
        <v>One good deed</v>
      </c>
      <c r="D61">
        <v>356304</v>
      </c>
      <c r="E61" t="str">
        <f t="shared" si="14"/>
        <v>Baldacci, David</v>
      </c>
      <c r="G61" t="str">
        <f>"422 pages, 24 cm"</f>
        <v>422 pages, 24 cm</v>
      </c>
      <c r="H61" s="1">
        <v>19</v>
      </c>
      <c r="I61">
        <v>2019</v>
      </c>
      <c r="J61" t="str">
        <f t="shared" si="1"/>
        <v>2: Fiction</v>
      </c>
      <c r="L61" t="s">
        <v>2395</v>
      </c>
      <c r="M61" t="s">
        <v>28</v>
      </c>
      <c r="N61" t="s">
        <v>2396</v>
      </c>
      <c r="O61">
        <v>10</v>
      </c>
      <c r="P61" s="2">
        <v>43668</v>
      </c>
      <c r="Q61" s="1">
        <v>34</v>
      </c>
      <c r="R61" t="s">
        <v>2432</v>
      </c>
      <c r="S61">
        <v>1098292900</v>
      </c>
    </row>
    <row r="62" spans="1:19" x14ac:dyDescent="0.2">
      <c r="A62" t="str">
        <f t="shared" si="0"/>
        <v>Adult Fiction</v>
      </c>
      <c r="B62" t="str">
        <f t="shared" si="12"/>
        <v>NEW F BALDA</v>
      </c>
      <c r="C62" t="str">
        <f>"One good deed"</f>
        <v>One good deed</v>
      </c>
      <c r="D62">
        <v>356311</v>
      </c>
      <c r="E62" t="str">
        <f t="shared" si="14"/>
        <v>Baldacci, David</v>
      </c>
      <c r="G62" t="str">
        <f>"422 pages, 24 cm"</f>
        <v>422 pages, 24 cm</v>
      </c>
      <c r="H62" s="1">
        <v>19</v>
      </c>
      <c r="I62">
        <v>2019</v>
      </c>
      <c r="J62" t="str">
        <f t="shared" si="1"/>
        <v>2: Fiction</v>
      </c>
      <c r="L62" t="s">
        <v>2395</v>
      </c>
      <c r="M62" t="s">
        <v>28</v>
      </c>
      <c r="N62" t="s">
        <v>2404</v>
      </c>
      <c r="O62">
        <v>10</v>
      </c>
      <c r="P62" s="2">
        <v>43668</v>
      </c>
      <c r="Q62" s="1">
        <v>34</v>
      </c>
      <c r="R62" t="s">
        <v>2432</v>
      </c>
      <c r="S62">
        <v>1098292900</v>
      </c>
    </row>
    <row r="63" spans="1:19" x14ac:dyDescent="0.2">
      <c r="A63" t="str">
        <f t="shared" si="0"/>
        <v>Adult Fiction</v>
      </c>
      <c r="B63" t="str">
        <f t="shared" si="12"/>
        <v>NEW F BALDA</v>
      </c>
      <c r="C63" t="str">
        <f>"One good deed"</f>
        <v>One good deed</v>
      </c>
      <c r="D63">
        <v>356312</v>
      </c>
      <c r="E63" t="str">
        <f t="shared" si="14"/>
        <v>Baldacci, David</v>
      </c>
      <c r="G63" t="str">
        <f>"422 pages, 24 cm"</f>
        <v>422 pages, 24 cm</v>
      </c>
      <c r="H63" s="1">
        <v>19</v>
      </c>
      <c r="I63">
        <v>2019</v>
      </c>
      <c r="J63" t="str">
        <f t="shared" si="1"/>
        <v>2: Fiction</v>
      </c>
      <c r="L63" t="s">
        <v>2395</v>
      </c>
      <c r="M63" t="s">
        <v>28</v>
      </c>
      <c r="N63" t="s">
        <v>2404</v>
      </c>
      <c r="O63">
        <v>10</v>
      </c>
      <c r="P63" s="2">
        <v>43668</v>
      </c>
      <c r="Q63" s="1">
        <v>34</v>
      </c>
      <c r="R63" t="s">
        <v>2432</v>
      </c>
      <c r="S63">
        <v>1098292900</v>
      </c>
    </row>
    <row r="64" spans="1:19" x14ac:dyDescent="0.2">
      <c r="A64" t="str">
        <f t="shared" si="0"/>
        <v>Adult Fiction</v>
      </c>
      <c r="B64" t="str">
        <f>"NEW F BALOG"</f>
        <v>NEW F BALOG</v>
      </c>
      <c r="C64" t="str">
        <f>"Someone to remember"</f>
        <v>Someone to remember</v>
      </c>
      <c r="D64">
        <v>359075</v>
      </c>
      <c r="E64" t="str">
        <f>"Balogh, Mary"</f>
        <v>Balogh, Mary</v>
      </c>
      <c r="F64" t="str">
        <f>"Westcott Family series (7)"</f>
        <v>Westcott Family series (7)</v>
      </c>
      <c r="G64" t="str">
        <f>"256 p., 24 cm, genealogical table"</f>
        <v>256 p., 24 cm, genealogical table</v>
      </c>
      <c r="H64" s="1">
        <v>19</v>
      </c>
      <c r="I64">
        <v>2019</v>
      </c>
      <c r="J64" t="str">
        <f t="shared" si="1"/>
        <v>2: Fiction</v>
      </c>
      <c r="L64" t="s">
        <v>2403</v>
      </c>
      <c r="M64" t="s">
        <v>28</v>
      </c>
      <c r="N64" t="s">
        <v>2404</v>
      </c>
      <c r="O64">
        <v>7</v>
      </c>
      <c r="P64" s="2">
        <v>43776</v>
      </c>
      <c r="Q64" s="1">
        <v>28</v>
      </c>
      <c r="R64" t="s">
        <v>2433</v>
      </c>
      <c r="S64">
        <v>1107841684</v>
      </c>
    </row>
    <row r="65" spans="1:19" x14ac:dyDescent="0.2">
      <c r="A65" t="str">
        <f t="shared" si="0"/>
        <v>Adult Fiction</v>
      </c>
      <c r="B65" t="str">
        <f>"NEW F BALOG"</f>
        <v>NEW F BALOG</v>
      </c>
      <c r="C65" t="str">
        <f>"Someone to remember"</f>
        <v>Someone to remember</v>
      </c>
      <c r="D65">
        <v>359076</v>
      </c>
      <c r="E65" t="str">
        <f>"Balogh, Mary"</f>
        <v>Balogh, Mary</v>
      </c>
      <c r="F65" t="str">
        <f>"Westcott Family series (7)"</f>
        <v>Westcott Family series (7)</v>
      </c>
      <c r="G65" t="str">
        <f>"256 p., 24 cm, genealogical table"</f>
        <v>256 p., 24 cm, genealogical table</v>
      </c>
      <c r="H65" s="1">
        <v>19</v>
      </c>
      <c r="I65">
        <v>2019</v>
      </c>
      <c r="J65" t="str">
        <f t="shared" si="1"/>
        <v>2: Fiction</v>
      </c>
      <c r="L65" t="s">
        <v>2395</v>
      </c>
      <c r="M65" t="s">
        <v>28</v>
      </c>
      <c r="N65" t="s">
        <v>2404</v>
      </c>
      <c r="O65">
        <v>3</v>
      </c>
      <c r="P65" s="2">
        <v>43776</v>
      </c>
      <c r="Q65" s="1">
        <v>28</v>
      </c>
      <c r="R65" t="s">
        <v>2433</v>
      </c>
      <c r="S65">
        <v>1107841684</v>
      </c>
    </row>
    <row r="66" spans="1:19" x14ac:dyDescent="0.2">
      <c r="A66" t="str">
        <f t="shared" si="0"/>
        <v>Adult Fiction</v>
      </c>
      <c r="B66" t="str">
        <f>"NEW F BALOG"</f>
        <v>NEW F BALOG</v>
      </c>
      <c r="C66" t="str">
        <f>"Someone to remember"</f>
        <v>Someone to remember</v>
      </c>
      <c r="D66">
        <v>359880</v>
      </c>
      <c r="E66" t="str">
        <f>"Balogh, Mary"</f>
        <v>Balogh, Mary</v>
      </c>
      <c r="F66" t="str">
        <f>"Westcott Family series (7)"</f>
        <v>Westcott Family series (7)</v>
      </c>
      <c r="G66" t="str">
        <f>"256 p., 24 cm, genealogical table"</f>
        <v>256 p., 24 cm, genealogical table</v>
      </c>
      <c r="H66" s="1">
        <v>19</v>
      </c>
      <c r="I66">
        <v>2019</v>
      </c>
      <c r="J66" t="str">
        <f t="shared" si="1"/>
        <v>2: Fiction</v>
      </c>
      <c r="L66" t="s">
        <v>2395</v>
      </c>
      <c r="M66" t="s">
        <v>28</v>
      </c>
      <c r="N66" t="s">
        <v>2404</v>
      </c>
      <c r="O66">
        <v>3</v>
      </c>
      <c r="P66" s="2">
        <v>43815</v>
      </c>
      <c r="Q66" s="1">
        <v>11</v>
      </c>
      <c r="R66" t="s">
        <v>2433</v>
      </c>
      <c r="S66">
        <v>1107841684</v>
      </c>
    </row>
    <row r="67" spans="1:19" x14ac:dyDescent="0.2">
      <c r="A67" t="str">
        <f t="shared" si="0"/>
        <v>Adult Fiction</v>
      </c>
      <c r="B67" t="str">
        <f>"NEW F BANER"</f>
        <v>NEW F BANER</v>
      </c>
      <c r="C67" t="str">
        <f>"The curse of Gandhari"</f>
        <v>The curse of Gandhari</v>
      </c>
      <c r="D67">
        <v>407201</v>
      </c>
      <c r="E67" t="str">
        <f>"Banerjee, Aditi"</f>
        <v>Banerjee, Aditi</v>
      </c>
      <c r="G67" t="str">
        <f>"317 p."</f>
        <v>317 p.</v>
      </c>
      <c r="H67" s="1">
        <v>19</v>
      </c>
      <c r="I67">
        <v>2019</v>
      </c>
      <c r="J67" t="str">
        <f t="shared" si="1"/>
        <v>2: Fiction</v>
      </c>
      <c r="L67" t="s">
        <v>2403</v>
      </c>
      <c r="M67" t="s">
        <v>28</v>
      </c>
      <c r="N67" t="s">
        <v>2404</v>
      </c>
      <c r="O67">
        <v>2</v>
      </c>
      <c r="P67" s="2">
        <v>43738</v>
      </c>
      <c r="Q67" s="1">
        <v>21</v>
      </c>
      <c r="R67" t="s">
        <v>2434</v>
      </c>
    </row>
    <row r="68" spans="1:19" x14ac:dyDescent="0.2">
      <c r="A68" t="str">
        <f t="shared" si="0"/>
        <v>Adult Fiction</v>
      </c>
      <c r="B68" t="str">
        <f>"NEW F BARDU"</f>
        <v>NEW F BARDU</v>
      </c>
      <c r="C68" t="str">
        <f>"Ninth house"</f>
        <v>Ninth house</v>
      </c>
      <c r="D68">
        <v>358254</v>
      </c>
      <c r="E68" t="str">
        <f>"Bardugo, Leigh."</f>
        <v>Bardugo, Leigh.</v>
      </c>
      <c r="G68" t="str">
        <f>"458 pages, 25 cm, map"</f>
        <v>458 pages, 25 cm, map</v>
      </c>
      <c r="H68" s="1">
        <v>19</v>
      </c>
      <c r="I68">
        <v>2019</v>
      </c>
      <c r="J68" t="str">
        <f t="shared" si="1"/>
        <v>2: Fiction</v>
      </c>
      <c r="L68" t="s">
        <v>2395</v>
      </c>
      <c r="M68" t="s">
        <v>28</v>
      </c>
      <c r="N68" t="s">
        <v>2396</v>
      </c>
      <c r="O68">
        <v>6</v>
      </c>
      <c r="P68" s="2">
        <v>43745</v>
      </c>
      <c r="Q68" s="1">
        <v>33</v>
      </c>
      <c r="R68" t="s">
        <v>2435</v>
      </c>
      <c r="S68">
        <v>1079848575</v>
      </c>
    </row>
    <row r="69" spans="1:19" x14ac:dyDescent="0.2">
      <c r="A69" t="str">
        <f t="shared" si="0"/>
        <v>Adult Fiction</v>
      </c>
      <c r="B69" t="str">
        <f>"NEW F BARR"</f>
        <v>NEW F BARR</v>
      </c>
      <c r="C69" t="str">
        <f>"What Rose forgot"</f>
        <v>What Rose forgot</v>
      </c>
      <c r="D69">
        <v>357424</v>
      </c>
      <c r="E69" t="str">
        <f>"Barr, Nevada"</f>
        <v>Barr, Nevada</v>
      </c>
      <c r="G69" t="str">
        <f>"291 p."</f>
        <v>291 p.</v>
      </c>
      <c r="H69" s="1">
        <v>19</v>
      </c>
      <c r="I69">
        <v>2019</v>
      </c>
      <c r="J69" t="str">
        <f t="shared" si="1"/>
        <v>2: Fiction</v>
      </c>
      <c r="L69" t="s">
        <v>2395</v>
      </c>
      <c r="M69" t="s">
        <v>28</v>
      </c>
      <c r="N69" t="s">
        <v>2404</v>
      </c>
      <c r="O69">
        <v>8</v>
      </c>
      <c r="P69" s="2">
        <v>43718</v>
      </c>
      <c r="Q69" s="1">
        <v>34</v>
      </c>
      <c r="R69" t="s">
        <v>2436</v>
      </c>
      <c r="S69">
        <v>1091237399</v>
      </c>
    </row>
    <row r="70" spans="1:19" x14ac:dyDescent="0.2">
      <c r="A70" t="str">
        <f t="shared" si="0"/>
        <v>Adult Fiction</v>
      </c>
      <c r="B70" t="str">
        <f>"NEW F BARR"</f>
        <v>NEW F BARR</v>
      </c>
      <c r="C70" t="str">
        <f>"What Rose forgot"</f>
        <v>What Rose forgot</v>
      </c>
      <c r="D70">
        <v>357425</v>
      </c>
      <c r="E70" t="str">
        <f>"Barr, Nevada"</f>
        <v>Barr, Nevada</v>
      </c>
      <c r="G70" t="str">
        <f>"291 p."</f>
        <v>291 p.</v>
      </c>
      <c r="H70" s="1">
        <v>19</v>
      </c>
      <c r="I70">
        <v>2019</v>
      </c>
      <c r="J70" t="str">
        <f t="shared" si="1"/>
        <v>2: Fiction</v>
      </c>
      <c r="L70" t="s">
        <v>2395</v>
      </c>
      <c r="M70" t="s">
        <v>28</v>
      </c>
      <c r="N70" t="s">
        <v>2396</v>
      </c>
      <c r="O70">
        <v>11</v>
      </c>
      <c r="P70" s="2">
        <v>43718</v>
      </c>
      <c r="Q70" s="1">
        <v>34</v>
      </c>
      <c r="R70" t="s">
        <v>2436</v>
      </c>
      <c r="S70">
        <v>1091237399</v>
      </c>
    </row>
    <row r="71" spans="1:19" x14ac:dyDescent="0.2">
      <c r="A71" t="str">
        <f t="shared" ref="A71:A134" si="17">"Adult Fiction"</f>
        <v>Adult Fiction</v>
      </c>
      <c r="B71" t="str">
        <f>"NEW F BARR"</f>
        <v>NEW F BARR</v>
      </c>
      <c r="C71" t="str">
        <f>"What Rose forgot"</f>
        <v>What Rose forgot</v>
      </c>
      <c r="D71">
        <v>357426</v>
      </c>
      <c r="E71" t="str">
        <f>"Barr, Nevada"</f>
        <v>Barr, Nevada</v>
      </c>
      <c r="G71" t="str">
        <f>"291 p."</f>
        <v>291 p.</v>
      </c>
      <c r="H71" s="1">
        <v>19</v>
      </c>
      <c r="I71">
        <v>2019</v>
      </c>
      <c r="J71" t="str">
        <f t="shared" si="1"/>
        <v>2: Fiction</v>
      </c>
      <c r="L71" t="s">
        <v>2395</v>
      </c>
      <c r="M71" t="s">
        <v>28</v>
      </c>
      <c r="N71" t="s">
        <v>2404</v>
      </c>
      <c r="O71">
        <v>10</v>
      </c>
      <c r="P71" s="2">
        <v>43718</v>
      </c>
      <c r="Q71" s="1">
        <v>34</v>
      </c>
      <c r="R71" t="s">
        <v>2436</v>
      </c>
      <c r="S71">
        <v>1091237399</v>
      </c>
    </row>
    <row r="72" spans="1:19" x14ac:dyDescent="0.2">
      <c r="A72" t="str">
        <f t="shared" si="17"/>
        <v>Adult Fiction</v>
      </c>
      <c r="B72" t="str">
        <f>"NEW F BARRY"</f>
        <v>NEW F BARRY</v>
      </c>
      <c r="C72" t="str">
        <f>"Night boat to Tangier: a novel"</f>
        <v>Night boat to Tangier: a novel</v>
      </c>
      <c r="D72">
        <v>357624</v>
      </c>
      <c r="E72" t="str">
        <f>"Barry, Kevin,"</f>
        <v>Barry, Kevin,</v>
      </c>
      <c r="G72" t="str">
        <f>"255 p."</f>
        <v>255 p.</v>
      </c>
      <c r="H72" s="1">
        <v>19</v>
      </c>
      <c r="I72">
        <v>2019</v>
      </c>
      <c r="J72" t="str">
        <f t="shared" si="1"/>
        <v>2: Fiction</v>
      </c>
      <c r="L72" t="s">
        <v>2395</v>
      </c>
      <c r="M72" t="s">
        <v>28</v>
      </c>
      <c r="N72" t="s">
        <v>2404</v>
      </c>
      <c r="O72">
        <v>6</v>
      </c>
      <c r="P72" s="2">
        <v>43725</v>
      </c>
      <c r="Q72" s="1">
        <v>31</v>
      </c>
      <c r="R72" t="s">
        <v>2437</v>
      </c>
    </row>
    <row r="73" spans="1:19" x14ac:dyDescent="0.2">
      <c r="A73" t="str">
        <f t="shared" si="17"/>
        <v>Adult Fiction</v>
      </c>
      <c r="B73" t="str">
        <f>"NEW F BEATO"</f>
        <v>NEW F BEATO</v>
      </c>
      <c r="C73" t="str">
        <f>"Beating about the bush"</f>
        <v>Beating about the bush</v>
      </c>
      <c r="D73">
        <v>359627</v>
      </c>
      <c r="E73" t="str">
        <f>"Beaton, M. C."</f>
        <v>Beaton, M. C.</v>
      </c>
      <c r="F73" t="str">
        <f>"Agatha Raisin Mystery series (30)"</f>
        <v>Agatha Raisin Mystery series (30)</v>
      </c>
      <c r="G73" t="str">
        <f>"236 pages, 22 cm"</f>
        <v>236 pages, 22 cm</v>
      </c>
      <c r="H73" s="1">
        <v>19</v>
      </c>
      <c r="I73">
        <v>2019</v>
      </c>
      <c r="J73" t="str">
        <f t="shared" si="1"/>
        <v>2: Fiction</v>
      </c>
      <c r="L73" t="s">
        <v>2395</v>
      </c>
      <c r="M73" t="s">
        <v>28</v>
      </c>
      <c r="N73" t="s">
        <v>2404</v>
      </c>
      <c r="O73">
        <v>5</v>
      </c>
      <c r="P73" s="2">
        <v>43803</v>
      </c>
      <c r="Q73" s="1">
        <v>32</v>
      </c>
      <c r="R73" t="s">
        <v>2438</v>
      </c>
      <c r="S73">
        <v>1121426619</v>
      </c>
    </row>
    <row r="74" spans="1:19" x14ac:dyDescent="0.2">
      <c r="A74" t="str">
        <f t="shared" si="17"/>
        <v>Adult Fiction</v>
      </c>
      <c r="B74" t="str">
        <f>"NEW F BEATO"</f>
        <v>NEW F BEATO</v>
      </c>
      <c r="C74" t="str">
        <f>"Beating about the bush"</f>
        <v>Beating about the bush</v>
      </c>
      <c r="D74">
        <v>359628</v>
      </c>
      <c r="E74" t="str">
        <f>"Beaton, M. C."</f>
        <v>Beaton, M. C.</v>
      </c>
      <c r="F74" t="str">
        <f>"Agatha Raisin Mystery series (30)"</f>
        <v>Agatha Raisin Mystery series (30)</v>
      </c>
      <c r="G74" t="str">
        <f>"236 pages, 22 cm"</f>
        <v>236 pages, 22 cm</v>
      </c>
      <c r="H74" s="1">
        <v>19</v>
      </c>
      <c r="I74">
        <v>2019</v>
      </c>
      <c r="J74" t="str">
        <f t="shared" si="1"/>
        <v>2: Fiction</v>
      </c>
      <c r="L74" t="s">
        <v>2395</v>
      </c>
      <c r="M74" t="s">
        <v>28</v>
      </c>
      <c r="N74" t="s">
        <v>2404</v>
      </c>
      <c r="O74">
        <v>4</v>
      </c>
      <c r="P74" s="2">
        <v>43803</v>
      </c>
      <c r="Q74" s="1">
        <v>32</v>
      </c>
      <c r="R74" t="s">
        <v>2438</v>
      </c>
      <c r="S74">
        <v>1121426619</v>
      </c>
    </row>
    <row r="75" spans="1:19" x14ac:dyDescent="0.2">
      <c r="A75" t="str">
        <f t="shared" si="17"/>
        <v>Adult Fiction</v>
      </c>
      <c r="B75" t="str">
        <f>"NEW F BEATO"</f>
        <v>NEW F BEATO</v>
      </c>
      <c r="C75" t="str">
        <f>"Beating about the bush"</f>
        <v>Beating about the bush</v>
      </c>
      <c r="D75">
        <v>359629</v>
      </c>
      <c r="E75" t="str">
        <f>"Beaton, M. C."</f>
        <v>Beaton, M. C.</v>
      </c>
      <c r="F75" t="str">
        <f>"Agatha Raisin Mystery series (30)"</f>
        <v>Agatha Raisin Mystery series (30)</v>
      </c>
      <c r="G75" t="str">
        <f>"236 pages, 22 cm"</f>
        <v>236 pages, 22 cm</v>
      </c>
      <c r="H75" s="1">
        <v>19</v>
      </c>
      <c r="I75">
        <v>2019</v>
      </c>
      <c r="J75" t="str">
        <f t="shared" si="1"/>
        <v>2: Fiction</v>
      </c>
      <c r="L75" t="s">
        <v>2403</v>
      </c>
      <c r="M75" t="s">
        <v>28</v>
      </c>
      <c r="N75" t="s">
        <v>2396</v>
      </c>
      <c r="O75">
        <v>2</v>
      </c>
      <c r="P75" s="2">
        <v>43803</v>
      </c>
      <c r="Q75" s="1">
        <v>32</v>
      </c>
      <c r="R75" t="s">
        <v>2438</v>
      </c>
      <c r="S75">
        <v>1121426619</v>
      </c>
    </row>
    <row r="76" spans="1:19" x14ac:dyDescent="0.2">
      <c r="A76" t="str">
        <f t="shared" si="17"/>
        <v>Adult Fiction</v>
      </c>
      <c r="B76" t="str">
        <f>"NEW F BEATO"</f>
        <v>NEW F BEATO</v>
      </c>
      <c r="C76" t="str">
        <f>"Beating about the bush"</f>
        <v>Beating about the bush</v>
      </c>
      <c r="D76">
        <v>359630</v>
      </c>
      <c r="E76" t="str">
        <f>"Beaton, M. C."</f>
        <v>Beaton, M. C.</v>
      </c>
      <c r="F76" t="str">
        <f>"Agatha Raisin Mystery series (30)"</f>
        <v>Agatha Raisin Mystery series (30)</v>
      </c>
      <c r="G76" t="str">
        <f>"236 pages, 22 cm"</f>
        <v>236 pages, 22 cm</v>
      </c>
      <c r="H76" s="1">
        <v>19</v>
      </c>
      <c r="I76">
        <v>2019</v>
      </c>
      <c r="J76" t="str">
        <f t="shared" si="1"/>
        <v>2: Fiction</v>
      </c>
      <c r="L76" t="s">
        <v>2395</v>
      </c>
      <c r="M76" t="s">
        <v>28</v>
      </c>
      <c r="N76" t="s">
        <v>2404</v>
      </c>
      <c r="O76">
        <v>4</v>
      </c>
      <c r="P76" s="2">
        <v>43803</v>
      </c>
      <c r="Q76" s="1">
        <v>32</v>
      </c>
      <c r="R76" t="s">
        <v>2438</v>
      </c>
      <c r="S76">
        <v>1121426619</v>
      </c>
    </row>
    <row r="77" spans="1:19" x14ac:dyDescent="0.2">
      <c r="A77" t="str">
        <f t="shared" si="17"/>
        <v>Adult Fiction</v>
      </c>
      <c r="B77" t="str">
        <f>"NEW F BECK"</f>
        <v>NEW F BECK</v>
      </c>
      <c r="C77" t="str">
        <f>"Lost you: a novel"</f>
        <v>Lost you: a novel</v>
      </c>
      <c r="D77">
        <v>357300</v>
      </c>
      <c r="E77" t="str">
        <f>"Beck, Haylen"</f>
        <v>Beck, Haylen</v>
      </c>
      <c r="G77" t="str">
        <f>"306 pages, 24 cm"</f>
        <v>306 pages, 24 cm</v>
      </c>
      <c r="H77" s="1">
        <v>19</v>
      </c>
      <c r="I77">
        <v>2019</v>
      </c>
      <c r="J77" t="str">
        <f t="shared" ref="J77:J125" si="18">"2: Fiction"</f>
        <v>2: Fiction</v>
      </c>
      <c r="L77" t="s">
        <v>2395</v>
      </c>
      <c r="M77" t="s">
        <v>28</v>
      </c>
      <c r="N77" t="s">
        <v>2404</v>
      </c>
      <c r="O77">
        <v>4</v>
      </c>
      <c r="P77" s="2">
        <v>43711</v>
      </c>
      <c r="Q77" s="1">
        <v>31</v>
      </c>
      <c r="R77" t="s">
        <v>2439</v>
      </c>
      <c r="S77">
        <v>1061866230</v>
      </c>
    </row>
    <row r="78" spans="1:19" x14ac:dyDescent="0.2">
      <c r="A78" t="str">
        <f t="shared" si="17"/>
        <v>Adult Fiction</v>
      </c>
      <c r="B78" t="str">
        <f>"NEW F BELDE"</f>
        <v>NEW F BELDE</v>
      </c>
      <c r="C78" t="str">
        <f>"Husband material"</f>
        <v>Husband material</v>
      </c>
      <c r="D78">
        <v>360113</v>
      </c>
      <c r="E78" t="str">
        <f>"Belden, Emily"</f>
        <v>Belden, Emily</v>
      </c>
      <c r="G78" t="str">
        <f>"300 pages, 21 cm"</f>
        <v>300 pages, 21 cm</v>
      </c>
      <c r="H78" s="1">
        <v>19</v>
      </c>
      <c r="I78">
        <v>2019</v>
      </c>
      <c r="J78" t="str">
        <f t="shared" si="18"/>
        <v>2: Fiction</v>
      </c>
      <c r="L78" t="s">
        <v>2403</v>
      </c>
      <c r="M78" t="s">
        <v>28</v>
      </c>
      <c r="N78" t="s">
        <v>2404</v>
      </c>
      <c r="O78">
        <v>2</v>
      </c>
      <c r="P78" s="2">
        <v>43829</v>
      </c>
      <c r="Q78" s="1">
        <v>21</v>
      </c>
      <c r="R78" t="s">
        <v>2440</v>
      </c>
      <c r="S78">
        <v>1111234348</v>
      </c>
    </row>
    <row r="79" spans="1:19" x14ac:dyDescent="0.2">
      <c r="A79" t="str">
        <f t="shared" si="17"/>
        <v>Adult Fiction</v>
      </c>
      <c r="B79" t="str">
        <f>"NEW F BENED"</f>
        <v>NEW F BENED</v>
      </c>
      <c r="C79" t="str">
        <f>"Lady Clementine"</f>
        <v>Lady Clementine</v>
      </c>
      <c r="D79">
        <v>360109</v>
      </c>
      <c r="E79" t="str">
        <f>"Benedict, Marie"</f>
        <v>Benedict, Marie</v>
      </c>
      <c r="G79" t="str">
        <f>"336 p."</f>
        <v>336 p.</v>
      </c>
      <c r="H79" s="1">
        <v>19</v>
      </c>
      <c r="I79">
        <v>2020</v>
      </c>
      <c r="J79" t="str">
        <f t="shared" si="18"/>
        <v>2: Fiction</v>
      </c>
      <c r="L79" t="s">
        <v>2403</v>
      </c>
      <c r="M79" t="s">
        <v>28</v>
      </c>
      <c r="N79" t="s">
        <v>2404</v>
      </c>
      <c r="O79">
        <v>2</v>
      </c>
      <c r="P79" s="2">
        <v>43829</v>
      </c>
      <c r="Q79" s="1">
        <v>32</v>
      </c>
      <c r="R79" t="s">
        <v>2441</v>
      </c>
      <c r="S79">
        <v>1134983392</v>
      </c>
    </row>
    <row r="80" spans="1:19" x14ac:dyDescent="0.2">
      <c r="A80" t="str">
        <f t="shared" si="17"/>
        <v>Adult Fiction</v>
      </c>
      <c r="B80" t="str">
        <f>"NEW F BENED"</f>
        <v>NEW F BENED</v>
      </c>
      <c r="C80" t="str">
        <f>"Lady Clementine"</f>
        <v>Lady Clementine</v>
      </c>
      <c r="D80">
        <v>360110</v>
      </c>
      <c r="E80" t="str">
        <f>"Benedict, Marie"</f>
        <v>Benedict, Marie</v>
      </c>
      <c r="G80" t="str">
        <f>"336 p."</f>
        <v>336 p.</v>
      </c>
      <c r="H80" s="1">
        <v>19</v>
      </c>
      <c r="I80">
        <v>2020</v>
      </c>
      <c r="J80" t="str">
        <f t="shared" si="18"/>
        <v>2: Fiction</v>
      </c>
      <c r="L80" t="s">
        <v>2395</v>
      </c>
      <c r="M80" t="s">
        <v>28</v>
      </c>
      <c r="N80" t="s">
        <v>2404</v>
      </c>
      <c r="O80">
        <v>2</v>
      </c>
      <c r="P80" s="2">
        <v>43829</v>
      </c>
      <c r="Q80" s="1">
        <v>32</v>
      </c>
      <c r="R80" t="s">
        <v>2441</v>
      </c>
      <c r="S80">
        <v>1134983392</v>
      </c>
    </row>
    <row r="81" spans="1:19" x14ac:dyDescent="0.2">
      <c r="A81" t="str">
        <f t="shared" si="17"/>
        <v>Adult Fiction</v>
      </c>
      <c r="B81" t="str">
        <f>"NEW F BENN"</f>
        <v>NEW F BENN</v>
      </c>
      <c r="C81" t="str">
        <f>"When hell struck twelve"</f>
        <v>When hell struck twelve</v>
      </c>
      <c r="D81">
        <v>357942</v>
      </c>
      <c r="E81" t="str">
        <f>"Benn, James"</f>
        <v>Benn, James</v>
      </c>
      <c r="F81" t="str">
        <f>"Billy Boyle World War II mystery (14)"</f>
        <v>Billy Boyle World War II mystery (14)</v>
      </c>
      <c r="G81" t="str">
        <f>"341 pages, 24 cm"</f>
        <v>341 pages, 24 cm</v>
      </c>
      <c r="H81" s="1">
        <v>19</v>
      </c>
      <c r="I81">
        <v>2019</v>
      </c>
      <c r="J81" t="str">
        <f t="shared" si="18"/>
        <v>2: Fiction</v>
      </c>
      <c r="L81" t="s">
        <v>2395</v>
      </c>
      <c r="M81" t="s">
        <v>28</v>
      </c>
      <c r="N81" t="s">
        <v>2396</v>
      </c>
      <c r="O81">
        <v>3</v>
      </c>
      <c r="P81" s="2">
        <v>43733</v>
      </c>
      <c r="Q81" s="1">
        <v>33</v>
      </c>
      <c r="R81" t="s">
        <v>2442</v>
      </c>
      <c r="S81">
        <v>1078892336</v>
      </c>
    </row>
    <row r="82" spans="1:19" x14ac:dyDescent="0.2">
      <c r="A82" t="str">
        <f t="shared" si="17"/>
        <v>Adult Fiction</v>
      </c>
      <c r="B82" t="str">
        <f>"NEW F BENN"</f>
        <v>NEW F BENN</v>
      </c>
      <c r="C82" t="str">
        <f>"Relative fortunes: a Julia Kydd novel"</f>
        <v>Relative fortunes: a Julia Kydd novel</v>
      </c>
      <c r="D82">
        <v>357529</v>
      </c>
      <c r="E82" t="str">
        <f>"Benn, Marlowe,"</f>
        <v>Benn, Marlowe,</v>
      </c>
      <c r="F82" t="str">
        <f>"Julia Kydd (1)"</f>
        <v>Julia Kydd (1)</v>
      </c>
      <c r="G82" t="str">
        <f>"306 p., 21 cm"</f>
        <v>306 p., 21 cm</v>
      </c>
      <c r="H82" s="1">
        <v>19</v>
      </c>
      <c r="I82">
        <v>2019</v>
      </c>
      <c r="J82" t="str">
        <f t="shared" si="18"/>
        <v>2: Fiction</v>
      </c>
      <c r="L82" t="s">
        <v>2403</v>
      </c>
      <c r="M82" t="s">
        <v>28</v>
      </c>
      <c r="N82" t="s">
        <v>2404</v>
      </c>
      <c r="O82">
        <v>6</v>
      </c>
      <c r="P82" s="2">
        <v>43719</v>
      </c>
      <c r="Q82" s="1">
        <v>30</v>
      </c>
      <c r="R82" t="s">
        <v>2443</v>
      </c>
      <c r="S82">
        <v>1109843973</v>
      </c>
    </row>
    <row r="83" spans="1:19" x14ac:dyDescent="0.2">
      <c r="A83" t="str">
        <f t="shared" si="17"/>
        <v>Adult Fiction</v>
      </c>
      <c r="B83" t="str">
        <f>"NEW F BENNE"</f>
        <v>NEW F BENNE</v>
      </c>
      <c r="C83" t="str">
        <f>"How to catch a wicked viscount"</f>
        <v>How to catch a wicked viscount</v>
      </c>
      <c r="D83">
        <v>357506</v>
      </c>
      <c r="E83" t="str">
        <f>"Bennett, Amy Rose,"</f>
        <v>Bennett, Amy Rose,</v>
      </c>
      <c r="F83" t="str">
        <f>"Disreputable debutantes (1)"</f>
        <v>Disreputable debutantes (1)</v>
      </c>
      <c r="G83" t="str">
        <f>"310 p., 18 cm"</f>
        <v>310 p., 18 cm</v>
      </c>
      <c r="H83" s="1">
        <v>19</v>
      </c>
      <c r="I83">
        <v>2019</v>
      </c>
      <c r="J83" t="str">
        <f t="shared" si="18"/>
        <v>2: Fiction</v>
      </c>
      <c r="L83" t="s">
        <v>2395</v>
      </c>
      <c r="M83" t="s">
        <v>28</v>
      </c>
      <c r="N83" t="s">
        <v>2396</v>
      </c>
      <c r="O83">
        <v>7</v>
      </c>
      <c r="P83" s="2">
        <v>43719</v>
      </c>
      <c r="Q83" s="1">
        <v>13</v>
      </c>
      <c r="R83" t="s">
        <v>2444</v>
      </c>
      <c r="S83">
        <v>1111774614</v>
      </c>
    </row>
    <row r="84" spans="1:19" x14ac:dyDescent="0.2">
      <c r="A84" t="str">
        <f t="shared" si="17"/>
        <v>Adult Fiction</v>
      </c>
      <c r="B84" t="str">
        <f t="shared" ref="B84:B89" si="19">"NEW F BERG"</f>
        <v>NEW F BERG</v>
      </c>
      <c r="C84" t="str">
        <f t="shared" ref="C84:C89" si="20">"The confession club: a novel"</f>
        <v>The confession club: a novel</v>
      </c>
      <c r="D84">
        <v>359325</v>
      </c>
      <c r="E84" t="str">
        <f t="shared" ref="E84:E89" si="21">"Berg, Elizabeth"</f>
        <v>Berg, Elizabeth</v>
      </c>
      <c r="G84" t="str">
        <f t="shared" ref="G84:G89" si="22">"286 p."</f>
        <v>286 p.</v>
      </c>
      <c r="H84" s="1">
        <v>19</v>
      </c>
      <c r="I84">
        <v>2019</v>
      </c>
      <c r="J84" t="str">
        <f t="shared" si="18"/>
        <v>2: Fiction</v>
      </c>
      <c r="L84" t="s">
        <v>2395</v>
      </c>
      <c r="M84" t="s">
        <v>28</v>
      </c>
      <c r="N84" t="s">
        <v>2404</v>
      </c>
      <c r="O84">
        <v>3</v>
      </c>
      <c r="P84" s="2">
        <v>43788</v>
      </c>
      <c r="Q84" s="1">
        <v>31</v>
      </c>
      <c r="R84" t="s">
        <v>2445</v>
      </c>
    </row>
    <row r="85" spans="1:19" x14ac:dyDescent="0.2">
      <c r="A85" t="str">
        <f t="shared" si="17"/>
        <v>Adult Fiction</v>
      </c>
      <c r="B85" t="str">
        <f t="shared" si="19"/>
        <v>NEW F BERG</v>
      </c>
      <c r="C85" t="str">
        <f t="shared" si="20"/>
        <v>The confession club: a novel</v>
      </c>
      <c r="D85">
        <v>359326</v>
      </c>
      <c r="E85" t="str">
        <f t="shared" si="21"/>
        <v>Berg, Elizabeth</v>
      </c>
      <c r="G85" t="str">
        <f t="shared" si="22"/>
        <v>286 p.</v>
      </c>
      <c r="H85" s="1">
        <v>19</v>
      </c>
      <c r="I85">
        <v>2019</v>
      </c>
      <c r="J85" t="str">
        <f t="shared" si="18"/>
        <v>2: Fiction</v>
      </c>
      <c r="L85" t="s">
        <v>2395</v>
      </c>
      <c r="M85" t="s">
        <v>28</v>
      </c>
      <c r="N85" t="s">
        <v>2404</v>
      </c>
      <c r="O85">
        <v>6</v>
      </c>
      <c r="P85" s="2">
        <v>43788</v>
      </c>
      <c r="Q85" s="1">
        <v>31</v>
      </c>
      <c r="R85" t="s">
        <v>2445</v>
      </c>
    </row>
    <row r="86" spans="1:19" x14ac:dyDescent="0.2">
      <c r="A86" t="str">
        <f t="shared" si="17"/>
        <v>Adult Fiction</v>
      </c>
      <c r="B86" t="str">
        <f t="shared" si="19"/>
        <v>NEW F BERG</v>
      </c>
      <c r="C86" t="str">
        <f t="shared" si="20"/>
        <v>The confession club: a novel</v>
      </c>
      <c r="D86">
        <v>359327</v>
      </c>
      <c r="E86" t="str">
        <f t="shared" si="21"/>
        <v>Berg, Elizabeth</v>
      </c>
      <c r="G86" t="str">
        <f t="shared" si="22"/>
        <v>286 p.</v>
      </c>
      <c r="H86" s="1">
        <v>19</v>
      </c>
      <c r="I86">
        <v>2019</v>
      </c>
      <c r="J86" t="str">
        <f t="shared" si="18"/>
        <v>2: Fiction</v>
      </c>
      <c r="L86" t="s">
        <v>2403</v>
      </c>
      <c r="M86" t="s">
        <v>28</v>
      </c>
      <c r="N86" t="s">
        <v>2404</v>
      </c>
      <c r="O86">
        <v>5</v>
      </c>
      <c r="P86" s="2">
        <v>43788</v>
      </c>
      <c r="Q86" s="1">
        <v>31</v>
      </c>
      <c r="R86" t="s">
        <v>2445</v>
      </c>
    </row>
    <row r="87" spans="1:19" x14ac:dyDescent="0.2">
      <c r="A87" t="str">
        <f t="shared" si="17"/>
        <v>Adult Fiction</v>
      </c>
      <c r="B87" t="str">
        <f t="shared" si="19"/>
        <v>NEW F BERG</v>
      </c>
      <c r="C87" t="str">
        <f t="shared" si="20"/>
        <v>The confession club: a novel</v>
      </c>
      <c r="D87">
        <v>359328</v>
      </c>
      <c r="E87" t="str">
        <f t="shared" si="21"/>
        <v>Berg, Elizabeth</v>
      </c>
      <c r="G87" t="str">
        <f t="shared" si="22"/>
        <v>286 p.</v>
      </c>
      <c r="H87" s="1">
        <v>19</v>
      </c>
      <c r="I87">
        <v>2019</v>
      </c>
      <c r="J87" t="str">
        <f t="shared" si="18"/>
        <v>2: Fiction</v>
      </c>
      <c r="L87" t="s">
        <v>2395</v>
      </c>
      <c r="M87" t="s">
        <v>28</v>
      </c>
      <c r="N87" t="s">
        <v>2404</v>
      </c>
      <c r="O87">
        <v>4</v>
      </c>
      <c r="P87" s="2">
        <v>43788</v>
      </c>
      <c r="Q87" s="1">
        <v>31</v>
      </c>
      <c r="R87" t="s">
        <v>2445</v>
      </c>
    </row>
    <row r="88" spans="1:19" x14ac:dyDescent="0.2">
      <c r="A88" t="str">
        <f t="shared" si="17"/>
        <v>Adult Fiction</v>
      </c>
      <c r="B88" t="str">
        <f t="shared" si="19"/>
        <v>NEW F BERG</v>
      </c>
      <c r="C88" t="str">
        <f t="shared" si="20"/>
        <v>The confession club: a novel</v>
      </c>
      <c r="D88">
        <v>359329</v>
      </c>
      <c r="E88" t="str">
        <f t="shared" si="21"/>
        <v>Berg, Elizabeth</v>
      </c>
      <c r="G88" t="str">
        <f t="shared" si="22"/>
        <v>286 p.</v>
      </c>
      <c r="H88" s="1">
        <v>19</v>
      </c>
      <c r="I88">
        <v>2019</v>
      </c>
      <c r="J88" t="str">
        <f t="shared" si="18"/>
        <v>2: Fiction</v>
      </c>
      <c r="L88" t="s">
        <v>2395</v>
      </c>
      <c r="M88" t="s">
        <v>28</v>
      </c>
      <c r="N88" t="s">
        <v>2396</v>
      </c>
      <c r="O88">
        <v>5</v>
      </c>
      <c r="P88" s="2">
        <v>43788</v>
      </c>
      <c r="Q88" s="1">
        <v>31</v>
      </c>
      <c r="R88" t="s">
        <v>2445</v>
      </c>
    </row>
    <row r="89" spans="1:19" x14ac:dyDescent="0.2">
      <c r="A89" t="str">
        <f t="shared" si="17"/>
        <v>Adult Fiction</v>
      </c>
      <c r="B89" t="str">
        <f t="shared" si="19"/>
        <v>NEW F BERG</v>
      </c>
      <c r="C89" t="str">
        <f t="shared" si="20"/>
        <v>The confession club: a novel</v>
      </c>
      <c r="D89">
        <v>359330</v>
      </c>
      <c r="E89" t="str">
        <f t="shared" si="21"/>
        <v>Berg, Elizabeth</v>
      </c>
      <c r="G89" t="str">
        <f t="shared" si="22"/>
        <v>286 p.</v>
      </c>
      <c r="H89" s="1">
        <v>19</v>
      </c>
      <c r="I89">
        <v>2019</v>
      </c>
      <c r="J89" t="str">
        <f t="shared" si="18"/>
        <v>2: Fiction</v>
      </c>
      <c r="L89" t="s">
        <v>2395</v>
      </c>
      <c r="M89" t="s">
        <v>28</v>
      </c>
      <c r="N89" t="s">
        <v>2404</v>
      </c>
      <c r="O89">
        <v>6</v>
      </c>
      <c r="P89" s="2">
        <v>43788</v>
      </c>
      <c r="Q89" s="1">
        <v>31</v>
      </c>
      <c r="R89" t="s">
        <v>2445</v>
      </c>
    </row>
    <row r="90" spans="1:19" x14ac:dyDescent="0.2">
      <c r="A90" t="str">
        <f t="shared" si="17"/>
        <v>Adult Fiction</v>
      </c>
      <c r="B90" t="str">
        <f>"NEW F BILLE"</f>
        <v>NEW F BILLE</v>
      </c>
      <c r="C90" t="str">
        <f>"The widow of Rose House"</f>
        <v>The widow of Rose House</v>
      </c>
      <c r="D90">
        <v>359229</v>
      </c>
      <c r="E90" t="str">
        <f>"Biller, Diana"</f>
        <v>Biller, Diana</v>
      </c>
      <c r="G90" t="str">
        <f>"ix, 339 pages, 21 cm"</f>
        <v>ix, 339 pages, 21 cm</v>
      </c>
      <c r="H90" s="1">
        <v>19</v>
      </c>
      <c r="I90">
        <v>2019</v>
      </c>
      <c r="J90" t="str">
        <f t="shared" si="18"/>
        <v>2: Fiction</v>
      </c>
      <c r="L90" t="s">
        <v>2395</v>
      </c>
      <c r="M90" t="s">
        <v>28</v>
      </c>
      <c r="N90" t="s">
        <v>2404</v>
      </c>
      <c r="O90">
        <v>5</v>
      </c>
      <c r="P90" s="2">
        <v>43782</v>
      </c>
      <c r="Q90" s="1">
        <v>22</v>
      </c>
      <c r="R90" t="s">
        <v>2446</v>
      </c>
      <c r="S90">
        <v>1079873755</v>
      </c>
    </row>
    <row r="91" spans="1:19" x14ac:dyDescent="0.2">
      <c r="A91" t="str">
        <f t="shared" si="17"/>
        <v>Adult Fiction</v>
      </c>
      <c r="B91" t="str">
        <f>"NEW F BILLH"</f>
        <v>NEW F BILLH</v>
      </c>
      <c r="C91" t="str">
        <f>"Primary target: an Owen Allison mystery"</f>
        <v>Primary target: an Owen Allison mystery</v>
      </c>
      <c r="D91">
        <v>358385</v>
      </c>
      <c r="E91" t="str">
        <f>"Billheimer, John."</f>
        <v>Billheimer, John.</v>
      </c>
      <c r="G91" t="str">
        <f>"344 p."</f>
        <v>344 p.</v>
      </c>
      <c r="H91" s="1">
        <v>19</v>
      </c>
      <c r="I91">
        <v>2019</v>
      </c>
      <c r="J91" t="str">
        <f t="shared" si="18"/>
        <v>2: Fiction</v>
      </c>
      <c r="L91" t="s">
        <v>2403</v>
      </c>
      <c r="M91" t="s">
        <v>28</v>
      </c>
      <c r="N91" t="s">
        <v>2396</v>
      </c>
      <c r="O91">
        <v>1</v>
      </c>
      <c r="P91" s="2">
        <v>43749</v>
      </c>
      <c r="Q91" s="1">
        <v>23</v>
      </c>
      <c r="R91" t="s">
        <v>2447</v>
      </c>
      <c r="S91">
        <v>1123053551</v>
      </c>
    </row>
    <row r="92" spans="1:19" x14ac:dyDescent="0.2">
      <c r="A92" t="str">
        <f t="shared" si="17"/>
        <v>Adult Fiction</v>
      </c>
      <c r="B92" t="str">
        <f>"NEW F BLACK"</f>
        <v>NEW F BLACK</v>
      </c>
      <c r="C92" t="str">
        <f>"The secret guests"</f>
        <v>The secret guests</v>
      </c>
      <c r="D92">
        <v>360267</v>
      </c>
      <c r="E92" t="str">
        <f>"Black, Benjamin"</f>
        <v>Black, Benjamin</v>
      </c>
      <c r="G92" t="str">
        <f>"291 pages"</f>
        <v>291 pages</v>
      </c>
      <c r="H92" s="1">
        <v>19</v>
      </c>
      <c r="I92">
        <v>2020</v>
      </c>
      <c r="J92" t="str">
        <f t="shared" si="18"/>
        <v>2: Fiction</v>
      </c>
      <c r="L92" t="s">
        <v>2395</v>
      </c>
      <c r="M92" t="s">
        <v>28</v>
      </c>
      <c r="N92" t="s">
        <v>2404</v>
      </c>
      <c r="O92">
        <v>1</v>
      </c>
      <c r="P92" s="2">
        <v>43844</v>
      </c>
      <c r="Q92" s="1">
        <v>32</v>
      </c>
      <c r="R92" t="s">
        <v>2448</v>
      </c>
      <c r="S92">
        <v>1099196513</v>
      </c>
    </row>
    <row r="93" spans="1:19" x14ac:dyDescent="0.2">
      <c r="A93" t="str">
        <f t="shared" si="17"/>
        <v>Adult Fiction</v>
      </c>
      <c r="B93" t="str">
        <f>"NEW F BLACK"</f>
        <v>NEW F BLACK</v>
      </c>
      <c r="C93" t="str">
        <f>"Smoke screen"</f>
        <v>Smoke screen</v>
      </c>
      <c r="D93">
        <v>359218</v>
      </c>
      <c r="E93" t="str">
        <f>"Blackstock, Terri"</f>
        <v>Blackstock, Terri</v>
      </c>
      <c r="G93" t="str">
        <f>"338 p."</f>
        <v>338 p.</v>
      </c>
      <c r="H93" s="1">
        <v>19</v>
      </c>
      <c r="I93">
        <v>2019</v>
      </c>
      <c r="J93" t="str">
        <f t="shared" si="18"/>
        <v>2: Fiction</v>
      </c>
      <c r="L93" t="s">
        <v>2403</v>
      </c>
      <c r="M93" t="s">
        <v>28</v>
      </c>
      <c r="N93" t="s">
        <v>2404</v>
      </c>
      <c r="O93">
        <v>3</v>
      </c>
      <c r="P93" s="2">
        <v>43782</v>
      </c>
      <c r="Q93" s="1">
        <v>22</v>
      </c>
      <c r="R93" t="s">
        <v>2449</v>
      </c>
      <c r="S93">
        <v>1096218461</v>
      </c>
    </row>
    <row r="94" spans="1:19" x14ac:dyDescent="0.2">
      <c r="A94" t="str">
        <f t="shared" si="17"/>
        <v>Adult Fiction</v>
      </c>
      <c r="B94" t="str">
        <f>"NEW F BLAKE"</f>
        <v>NEW F BLAKE</v>
      </c>
      <c r="C94" t="str">
        <f>"The guest book"</f>
        <v>The guest book</v>
      </c>
      <c r="D94">
        <v>355975</v>
      </c>
      <c r="E94" t="str">
        <f>"Blake, Sarah,"</f>
        <v>Blake, Sarah,</v>
      </c>
      <c r="G94" t="str">
        <f>"486 pages, 25 cm"</f>
        <v>486 pages, 25 cm</v>
      </c>
      <c r="H94" s="1">
        <v>19</v>
      </c>
      <c r="I94">
        <v>2019</v>
      </c>
      <c r="J94" t="str">
        <f t="shared" si="18"/>
        <v>2: Fiction</v>
      </c>
      <c r="L94" t="s">
        <v>2395</v>
      </c>
      <c r="M94" t="s">
        <v>28</v>
      </c>
      <c r="N94" t="s">
        <v>2404</v>
      </c>
      <c r="O94">
        <v>13</v>
      </c>
      <c r="P94" s="2">
        <v>43647</v>
      </c>
      <c r="Q94" s="1">
        <v>33</v>
      </c>
      <c r="R94" t="s">
        <v>2450</v>
      </c>
      <c r="S94">
        <v>1048937390</v>
      </c>
    </row>
    <row r="95" spans="1:19" x14ac:dyDescent="0.2">
      <c r="A95" t="str">
        <f t="shared" si="17"/>
        <v>Adult Fiction</v>
      </c>
      <c r="B95" t="str">
        <f>"NEW F BLAKE"</f>
        <v>NEW F BLAKE</v>
      </c>
      <c r="C95" t="str">
        <f>"The guest book"</f>
        <v>The guest book</v>
      </c>
      <c r="D95">
        <v>355976</v>
      </c>
      <c r="E95" t="str">
        <f>"Blake, Sarah,"</f>
        <v>Blake, Sarah,</v>
      </c>
      <c r="G95" t="str">
        <f>"486 pages, 25 cm"</f>
        <v>486 pages, 25 cm</v>
      </c>
      <c r="H95" s="1">
        <v>19</v>
      </c>
      <c r="I95">
        <v>2019</v>
      </c>
      <c r="J95" t="str">
        <f t="shared" si="18"/>
        <v>2: Fiction</v>
      </c>
      <c r="L95" t="s">
        <v>2395</v>
      </c>
      <c r="M95" t="s">
        <v>28</v>
      </c>
      <c r="N95" t="s">
        <v>2404</v>
      </c>
      <c r="O95">
        <v>9</v>
      </c>
      <c r="P95" s="2">
        <v>43647</v>
      </c>
      <c r="Q95" s="1">
        <v>33</v>
      </c>
      <c r="R95" t="s">
        <v>2450</v>
      </c>
      <c r="S95">
        <v>1048937390</v>
      </c>
    </row>
    <row r="96" spans="1:19" x14ac:dyDescent="0.2">
      <c r="A96" t="str">
        <f t="shared" si="17"/>
        <v>Adult Fiction</v>
      </c>
      <c r="B96" t="str">
        <f>"NEW F BLALO"</f>
        <v>NEW F BLALO</v>
      </c>
      <c r="C96" t="str">
        <f>"The other Windsor girl: a novel of Princess Margaret, royal rebel"</f>
        <v>The other Windsor girl: a novel of Princess Margaret, royal rebel</v>
      </c>
      <c r="D96">
        <v>359650</v>
      </c>
      <c r="E96" t="str">
        <f>"Blalock, Georgie"</f>
        <v>Blalock, Georgie</v>
      </c>
      <c r="G96" t="str">
        <f>"337, 11 pages, 21 cm"</f>
        <v>337, 11 pages, 21 cm</v>
      </c>
      <c r="H96" s="1">
        <v>19</v>
      </c>
      <c r="I96">
        <v>2019</v>
      </c>
      <c r="J96" t="str">
        <f t="shared" si="18"/>
        <v>2: Fiction</v>
      </c>
      <c r="L96" t="s">
        <v>2395</v>
      </c>
      <c r="M96" t="s">
        <v>28</v>
      </c>
      <c r="N96" t="s">
        <v>2404</v>
      </c>
      <c r="O96">
        <v>1</v>
      </c>
      <c r="P96" s="2">
        <v>43802</v>
      </c>
      <c r="Q96" s="1">
        <v>22</v>
      </c>
      <c r="R96" t="s">
        <v>2451</v>
      </c>
      <c r="S96">
        <v>1081338448</v>
      </c>
    </row>
    <row r="97" spans="1:19" x14ac:dyDescent="0.2">
      <c r="A97" t="str">
        <f t="shared" si="17"/>
        <v>Adult Fiction</v>
      </c>
      <c r="B97" t="str">
        <f>"NEW F BLASB"</f>
        <v>NEW F BLASB</v>
      </c>
      <c r="C97" t="str">
        <f>"The nine: a novel"</f>
        <v>The nine: a novel</v>
      </c>
      <c r="D97">
        <v>407451</v>
      </c>
      <c r="E97" t="str">
        <f>"Blasberg, Jeanne McWilliams"</f>
        <v>Blasberg, Jeanne McWilliams</v>
      </c>
      <c r="G97" t="str">
        <f>"325 pages, 23 cm"</f>
        <v>325 pages, 23 cm</v>
      </c>
      <c r="H97" s="1">
        <v>19</v>
      </c>
      <c r="I97">
        <v>2019</v>
      </c>
      <c r="J97" t="str">
        <f t="shared" si="18"/>
        <v>2: Fiction</v>
      </c>
      <c r="L97" t="s">
        <v>2403</v>
      </c>
      <c r="M97" t="s">
        <v>28</v>
      </c>
      <c r="N97" t="s">
        <v>2404</v>
      </c>
      <c r="O97">
        <v>7</v>
      </c>
      <c r="P97" s="2">
        <v>43719</v>
      </c>
      <c r="Q97" s="1">
        <v>30</v>
      </c>
      <c r="R97" t="s">
        <v>2452</v>
      </c>
      <c r="S97">
        <v>1112703297</v>
      </c>
    </row>
    <row r="98" spans="1:19" x14ac:dyDescent="0.2">
      <c r="A98" t="str">
        <f t="shared" si="17"/>
        <v>Adult Fiction</v>
      </c>
      <c r="B98" t="str">
        <f>"NEW F BLOND"</f>
        <v>NEW F BLOND</v>
      </c>
      <c r="C98" t="s">
        <v>2453</v>
      </c>
      <c r="D98">
        <v>359187</v>
      </c>
      <c r="E98" t="str">
        <f>"Blondel, Jean-Philippe,"</f>
        <v>Blondel, Jean-Philippe,</v>
      </c>
      <c r="G98" t="str">
        <f>"v, 169 pages, 21 cm"</f>
        <v>v, 169 pages, 21 cm</v>
      </c>
      <c r="H98" s="1">
        <v>19</v>
      </c>
      <c r="I98">
        <v>2019</v>
      </c>
      <c r="J98" t="str">
        <f t="shared" si="18"/>
        <v>2: Fiction</v>
      </c>
      <c r="L98" t="s">
        <v>2395</v>
      </c>
      <c r="M98" t="s">
        <v>28</v>
      </c>
      <c r="N98" t="s">
        <v>2404</v>
      </c>
      <c r="O98">
        <v>2</v>
      </c>
      <c r="P98" s="2">
        <v>43782</v>
      </c>
      <c r="Q98" s="1">
        <v>22</v>
      </c>
      <c r="R98" t="s">
        <v>2454</v>
      </c>
      <c r="S98">
        <v>1102810900</v>
      </c>
    </row>
    <row r="99" spans="1:19" x14ac:dyDescent="0.2">
      <c r="A99" t="str">
        <f t="shared" si="17"/>
        <v>Adult Fiction</v>
      </c>
      <c r="B99" t="str">
        <f>"NEW F BOBOT"</f>
        <v>NEW F BOBOT</v>
      </c>
      <c r="C99" t="str">
        <f>"The last list of Miss Judith Kratt"</f>
        <v>The last list of Miss Judith Kratt</v>
      </c>
      <c r="D99">
        <v>356512</v>
      </c>
      <c r="E99" t="str">
        <f>"Bobotis, Andrea"</f>
        <v>Bobotis, Andrea</v>
      </c>
      <c r="G99" t="str">
        <f>"311 pages, 21 cm"</f>
        <v>311 pages, 21 cm</v>
      </c>
      <c r="H99" s="1">
        <v>19</v>
      </c>
      <c r="I99">
        <v>2019</v>
      </c>
      <c r="J99" t="str">
        <f t="shared" si="18"/>
        <v>2: Fiction</v>
      </c>
      <c r="L99" t="s">
        <v>2403</v>
      </c>
      <c r="M99" t="s">
        <v>28</v>
      </c>
      <c r="N99" t="s">
        <v>2404</v>
      </c>
      <c r="O99">
        <v>10</v>
      </c>
      <c r="P99" s="2">
        <v>43678</v>
      </c>
      <c r="Q99" s="1">
        <v>21</v>
      </c>
      <c r="R99" t="s">
        <v>2455</v>
      </c>
      <c r="S99">
        <v>1055684011</v>
      </c>
    </row>
    <row r="100" spans="1:19" x14ac:dyDescent="0.2">
      <c r="A100" t="str">
        <f t="shared" si="17"/>
        <v>Adult Fiction</v>
      </c>
      <c r="B100" t="str">
        <f>"NEW F BOBWA"</f>
        <v>NEW F BOBWA</v>
      </c>
      <c r="C100" t="str">
        <f>"Someone who will love you in all your damaged glory: stories"</f>
        <v>Someone who will love you in all your damaged glory: stories</v>
      </c>
      <c r="D100">
        <v>358349</v>
      </c>
      <c r="E100" t="str">
        <f>"Bob-Waksberg, Raphael"</f>
        <v>Bob-Waksberg, Raphael</v>
      </c>
      <c r="G100" t="str">
        <f>"viii, 244 pages, 22 cm, illustrations"</f>
        <v>viii, 244 pages, 22 cm, illustrations</v>
      </c>
      <c r="H100" s="1">
        <v>19</v>
      </c>
      <c r="I100">
        <v>2019</v>
      </c>
      <c r="J100" t="str">
        <f t="shared" si="18"/>
        <v>2: Fiction</v>
      </c>
      <c r="L100" t="s">
        <v>2403</v>
      </c>
      <c r="M100" t="s">
        <v>28</v>
      </c>
      <c r="N100" t="s">
        <v>2396</v>
      </c>
      <c r="O100">
        <v>3</v>
      </c>
      <c r="P100" s="2">
        <v>43749</v>
      </c>
      <c r="Q100" s="1">
        <v>31</v>
      </c>
      <c r="R100" t="s">
        <v>2456</v>
      </c>
      <c r="S100">
        <v>1053577964</v>
      </c>
    </row>
    <row r="101" spans="1:19" x14ac:dyDescent="0.2">
      <c r="A101" t="str">
        <f t="shared" si="17"/>
        <v>Adult Fiction</v>
      </c>
      <c r="B101" t="str">
        <f>"NEW F BOWEN"</f>
        <v>NEW F BOWEN</v>
      </c>
      <c r="C101" t="str">
        <f>"Love and death among the cheetahs"</f>
        <v>Love and death among the cheetahs</v>
      </c>
      <c r="D101">
        <v>356719</v>
      </c>
      <c r="E101" t="str">
        <f>"Bowen, Rhys"</f>
        <v>Bowen, Rhys</v>
      </c>
      <c r="F101" t="str">
        <f>"Royal Spyness Mystery series (13)"</f>
        <v>Royal Spyness Mystery series (13)</v>
      </c>
      <c r="G101" t="str">
        <f>"290 pages, 24 cm"</f>
        <v>290 pages, 24 cm</v>
      </c>
      <c r="H101" s="1">
        <v>19</v>
      </c>
      <c r="I101">
        <v>2019</v>
      </c>
      <c r="J101" t="str">
        <f t="shared" si="18"/>
        <v>2: Fiction</v>
      </c>
      <c r="L101" t="s">
        <v>2403</v>
      </c>
      <c r="M101" t="s">
        <v>28</v>
      </c>
      <c r="N101" t="s">
        <v>2404</v>
      </c>
      <c r="O101">
        <v>9</v>
      </c>
      <c r="P101" s="2">
        <v>43689</v>
      </c>
      <c r="Q101" s="1">
        <v>31</v>
      </c>
      <c r="R101" t="s">
        <v>2457</v>
      </c>
      <c r="S101">
        <v>1065947188</v>
      </c>
    </row>
    <row r="102" spans="1:19" x14ac:dyDescent="0.2">
      <c r="A102" t="str">
        <f t="shared" si="17"/>
        <v>Adult Fiction</v>
      </c>
      <c r="B102" t="str">
        <f>"NEW F BOX"</f>
        <v>NEW F BOX</v>
      </c>
      <c r="C102" t="str">
        <f>"The bitterroots: a novel"</f>
        <v>The bitterroots: a novel</v>
      </c>
      <c r="D102">
        <v>356693</v>
      </c>
      <c r="E102" t="str">
        <f>"Box, C. J."</f>
        <v>Box, C. J.</v>
      </c>
      <c r="G102" t="str">
        <f>"310 p.cm"</f>
        <v>310 p.cm</v>
      </c>
      <c r="H102" s="1">
        <v>19</v>
      </c>
      <c r="I102">
        <v>2019</v>
      </c>
      <c r="J102" t="str">
        <f t="shared" si="18"/>
        <v>2: Fiction</v>
      </c>
      <c r="L102" t="s">
        <v>2395</v>
      </c>
      <c r="M102" t="s">
        <v>28</v>
      </c>
      <c r="N102" t="s">
        <v>2404</v>
      </c>
      <c r="O102">
        <v>13</v>
      </c>
      <c r="P102" s="2">
        <v>43689</v>
      </c>
      <c r="Q102" s="1">
        <v>33</v>
      </c>
      <c r="R102" t="s">
        <v>2458</v>
      </c>
      <c r="S102">
        <v>1088671895</v>
      </c>
    </row>
    <row r="103" spans="1:19" x14ac:dyDescent="0.2">
      <c r="A103" t="str">
        <f t="shared" si="17"/>
        <v>Adult Fiction</v>
      </c>
      <c r="B103" t="str">
        <f>"NEW F BOX"</f>
        <v>NEW F BOX</v>
      </c>
      <c r="C103" t="str">
        <f>"The bitterroots: a novel"</f>
        <v>The bitterroots: a novel</v>
      </c>
      <c r="D103">
        <v>356694</v>
      </c>
      <c r="E103" t="str">
        <f>"Box, C. J."</f>
        <v>Box, C. J.</v>
      </c>
      <c r="G103" t="str">
        <f>"310 p.cm"</f>
        <v>310 p.cm</v>
      </c>
      <c r="H103" s="1">
        <v>19</v>
      </c>
      <c r="I103">
        <v>2019</v>
      </c>
      <c r="J103" t="str">
        <f t="shared" si="18"/>
        <v>2: Fiction</v>
      </c>
      <c r="L103" t="s">
        <v>2395</v>
      </c>
      <c r="M103" t="s">
        <v>28</v>
      </c>
      <c r="N103" t="s">
        <v>2404</v>
      </c>
      <c r="O103">
        <v>12</v>
      </c>
      <c r="P103" s="2">
        <v>43689</v>
      </c>
      <c r="Q103" s="1">
        <v>33</v>
      </c>
      <c r="R103" t="s">
        <v>2458</v>
      </c>
      <c r="S103">
        <v>1088671895</v>
      </c>
    </row>
    <row r="104" spans="1:19" x14ac:dyDescent="0.2">
      <c r="A104" t="str">
        <f t="shared" si="17"/>
        <v>Adult Fiction</v>
      </c>
      <c r="B104" t="str">
        <f>"NEW F BOX"</f>
        <v>NEW F BOX</v>
      </c>
      <c r="C104" t="str">
        <f>"The bitterroots: a novel"</f>
        <v>The bitterroots: a novel</v>
      </c>
      <c r="D104">
        <v>356695</v>
      </c>
      <c r="E104" t="str">
        <f>"Box, C. J."</f>
        <v>Box, C. J.</v>
      </c>
      <c r="G104" t="str">
        <f>"310 p.cm"</f>
        <v>310 p.cm</v>
      </c>
      <c r="H104" s="1">
        <v>19</v>
      </c>
      <c r="I104">
        <v>2019</v>
      </c>
      <c r="J104" t="str">
        <f t="shared" si="18"/>
        <v>2: Fiction</v>
      </c>
      <c r="L104" t="s">
        <v>2395</v>
      </c>
      <c r="M104" t="s">
        <v>28</v>
      </c>
      <c r="N104" t="s">
        <v>2404</v>
      </c>
      <c r="O104">
        <v>11</v>
      </c>
      <c r="P104" s="2">
        <v>43689</v>
      </c>
      <c r="Q104" s="1">
        <v>33</v>
      </c>
      <c r="R104" t="s">
        <v>2458</v>
      </c>
      <c r="S104">
        <v>1088671895</v>
      </c>
    </row>
    <row r="105" spans="1:19" x14ac:dyDescent="0.2">
      <c r="A105" t="str">
        <f t="shared" si="17"/>
        <v>Adult Fiction</v>
      </c>
      <c r="B105" t="str">
        <f>"NEW F BOX"</f>
        <v>NEW F BOX</v>
      </c>
      <c r="C105" t="str">
        <f>"The bitterroots: a novel"</f>
        <v>The bitterroots: a novel</v>
      </c>
      <c r="D105">
        <v>356696</v>
      </c>
      <c r="E105" t="str">
        <f>"Box, C. J."</f>
        <v>Box, C. J.</v>
      </c>
      <c r="G105" t="str">
        <f>"310 p.cm"</f>
        <v>310 p.cm</v>
      </c>
      <c r="H105" s="1">
        <v>19</v>
      </c>
      <c r="I105">
        <v>2019</v>
      </c>
      <c r="J105" t="str">
        <f t="shared" si="18"/>
        <v>2: Fiction</v>
      </c>
      <c r="L105" t="s">
        <v>2395</v>
      </c>
      <c r="M105" t="s">
        <v>28</v>
      </c>
      <c r="N105" t="s">
        <v>2404</v>
      </c>
      <c r="O105">
        <v>9</v>
      </c>
      <c r="P105" s="2">
        <v>43689</v>
      </c>
      <c r="Q105" s="1">
        <v>33</v>
      </c>
      <c r="R105" t="s">
        <v>2458</v>
      </c>
      <c r="S105">
        <v>1088671895</v>
      </c>
    </row>
    <row r="106" spans="1:19" x14ac:dyDescent="0.2">
      <c r="A106" t="str">
        <f t="shared" si="17"/>
        <v>Adult Fiction</v>
      </c>
      <c r="B106" t="str">
        <f>"NEW F BOX"</f>
        <v>NEW F BOX</v>
      </c>
      <c r="C106" t="str">
        <f>"The bitterroots: a novel"</f>
        <v>The bitterroots: a novel</v>
      </c>
      <c r="D106">
        <v>356697</v>
      </c>
      <c r="E106" t="str">
        <f>"Box, C. J."</f>
        <v>Box, C. J.</v>
      </c>
      <c r="G106" t="str">
        <f>"310 p.cm"</f>
        <v>310 p.cm</v>
      </c>
      <c r="H106" s="1">
        <v>19</v>
      </c>
      <c r="I106">
        <v>2019</v>
      </c>
      <c r="J106" t="str">
        <f t="shared" si="18"/>
        <v>2: Fiction</v>
      </c>
      <c r="L106" t="s">
        <v>2403</v>
      </c>
      <c r="M106" t="s">
        <v>28</v>
      </c>
      <c r="N106" t="s">
        <v>2404</v>
      </c>
      <c r="O106">
        <v>8</v>
      </c>
      <c r="P106" s="2">
        <v>43689</v>
      </c>
      <c r="Q106" s="1">
        <v>33</v>
      </c>
      <c r="R106" t="s">
        <v>2458</v>
      </c>
      <c r="S106">
        <v>1088671895</v>
      </c>
    </row>
    <row r="107" spans="1:19" x14ac:dyDescent="0.2">
      <c r="A107" t="str">
        <f t="shared" si="17"/>
        <v>Adult Fiction</v>
      </c>
      <c r="B107" t="str">
        <f>"NEW F BRACK"</f>
        <v>NEW F BRACK</v>
      </c>
      <c r="C107" t="str">
        <f>"Without her: a novel"</f>
        <v>Without her: a novel</v>
      </c>
      <c r="D107">
        <v>360459</v>
      </c>
      <c r="E107" t="str">
        <f>"Brackenbury, Rosalind"</f>
        <v>Brackenbury, Rosalind</v>
      </c>
      <c r="G107" t="str">
        <f>"270 pages, 22 cm"</f>
        <v>270 pages, 22 cm</v>
      </c>
      <c r="H107" s="1">
        <v>20</v>
      </c>
      <c r="I107">
        <v>2019</v>
      </c>
      <c r="J107" t="str">
        <f t="shared" si="18"/>
        <v>2: Fiction</v>
      </c>
      <c r="L107" t="s">
        <v>2395</v>
      </c>
      <c r="M107" t="s">
        <v>28</v>
      </c>
      <c r="N107" t="s">
        <v>2396</v>
      </c>
      <c r="O107">
        <v>0</v>
      </c>
      <c r="P107" s="2">
        <v>43851</v>
      </c>
      <c r="Q107" s="1">
        <v>31</v>
      </c>
      <c r="R107" t="s">
        <v>2459</v>
      </c>
      <c r="S107">
        <v>1091119860</v>
      </c>
    </row>
    <row r="108" spans="1:19" x14ac:dyDescent="0.2">
      <c r="A108" t="str">
        <f t="shared" si="17"/>
        <v>Adult Fiction</v>
      </c>
      <c r="B108" t="str">
        <f>"NEW F BRIGG"</f>
        <v>NEW F BRIGG</v>
      </c>
      <c r="C108" t="str">
        <f>"Storm cursed"</f>
        <v>Storm cursed</v>
      </c>
      <c r="D108">
        <v>359687</v>
      </c>
      <c r="E108" t="str">
        <f>"Briggs, Patricia."</f>
        <v>Briggs, Patricia.</v>
      </c>
      <c r="F108" t="str">
        <f>"Mercy Thompson series (11)"</f>
        <v>Mercy Thompson series (11)</v>
      </c>
      <c r="G108" t="str">
        <f>"358 pages, 24 cm"</f>
        <v>358 pages, 24 cm</v>
      </c>
      <c r="H108" s="1">
        <v>19</v>
      </c>
      <c r="I108">
        <v>2019</v>
      </c>
      <c r="J108" t="str">
        <f t="shared" si="18"/>
        <v>2: Fiction</v>
      </c>
      <c r="L108" t="s">
        <v>2403</v>
      </c>
      <c r="M108" t="s">
        <v>28</v>
      </c>
      <c r="N108" t="s">
        <v>2396</v>
      </c>
      <c r="O108">
        <v>1</v>
      </c>
      <c r="P108" s="2">
        <v>43804</v>
      </c>
      <c r="Q108" s="1">
        <v>32</v>
      </c>
      <c r="R108" t="s">
        <v>2460</v>
      </c>
      <c r="S108">
        <v>1040225468</v>
      </c>
    </row>
    <row r="109" spans="1:19" x14ac:dyDescent="0.2">
      <c r="A109" t="str">
        <f t="shared" si="17"/>
        <v>Adult Fiction</v>
      </c>
      <c r="B109" t="str">
        <f>"NEW F BRODE"</f>
        <v>NEW F BRODE</v>
      </c>
      <c r="C109" t="str">
        <f>"Fleishman is in trouble: a novel"</f>
        <v>Fleishman is in trouble: a novel</v>
      </c>
      <c r="D109">
        <v>355717</v>
      </c>
      <c r="E109" t="str">
        <f>"Brodesser-Akner, Taffy"</f>
        <v>Brodesser-Akner, Taffy</v>
      </c>
      <c r="G109" t="str">
        <f>"373 pages, 25 cm"</f>
        <v>373 pages, 25 cm</v>
      </c>
      <c r="H109" s="1">
        <v>19</v>
      </c>
      <c r="I109">
        <v>2019</v>
      </c>
      <c r="J109" t="str">
        <f t="shared" si="18"/>
        <v>2: Fiction</v>
      </c>
      <c r="L109" t="s">
        <v>2395</v>
      </c>
      <c r="M109" t="s">
        <v>28</v>
      </c>
      <c r="N109" t="s">
        <v>2404</v>
      </c>
      <c r="O109">
        <v>13</v>
      </c>
      <c r="P109" s="2">
        <v>43640</v>
      </c>
      <c r="Q109" s="1">
        <v>32</v>
      </c>
      <c r="R109" t="s">
        <v>2461</v>
      </c>
      <c r="S109">
        <v>1052463742</v>
      </c>
    </row>
    <row r="110" spans="1:19" x14ac:dyDescent="0.2">
      <c r="A110" t="str">
        <f t="shared" si="17"/>
        <v>Adult Fiction</v>
      </c>
      <c r="B110" t="str">
        <f>"NEW F BRODE"</f>
        <v>NEW F BRODE</v>
      </c>
      <c r="C110" t="str">
        <f>"Fleishman is in trouble: a novel"</f>
        <v>Fleishman is in trouble: a novel</v>
      </c>
      <c r="D110">
        <v>356292</v>
      </c>
      <c r="E110" t="str">
        <f>"Brodesser-Akner, Taffy"</f>
        <v>Brodesser-Akner, Taffy</v>
      </c>
      <c r="G110" t="str">
        <f>"373 pages, 25 cm"</f>
        <v>373 pages, 25 cm</v>
      </c>
      <c r="H110" s="1">
        <v>19</v>
      </c>
      <c r="I110">
        <v>2019</v>
      </c>
      <c r="J110" t="str">
        <f t="shared" si="18"/>
        <v>2: Fiction</v>
      </c>
      <c r="L110" t="s">
        <v>2395</v>
      </c>
      <c r="M110" t="s">
        <v>28</v>
      </c>
      <c r="N110" t="s">
        <v>2404</v>
      </c>
      <c r="O110">
        <v>10</v>
      </c>
      <c r="P110" s="2">
        <v>43668</v>
      </c>
      <c r="Q110" s="1">
        <v>32</v>
      </c>
      <c r="R110" t="s">
        <v>2461</v>
      </c>
      <c r="S110">
        <v>1052463742</v>
      </c>
    </row>
    <row r="111" spans="1:19" x14ac:dyDescent="0.2">
      <c r="A111" t="str">
        <f t="shared" si="17"/>
        <v>Adult Fiction</v>
      </c>
      <c r="B111" t="str">
        <f t="shared" ref="B111:B120" si="23">"NEW F BROWN"</f>
        <v>NEW F BROWN</v>
      </c>
      <c r="C111" t="str">
        <f>"Recipe for a perfect wife: a novel"</f>
        <v>Recipe for a perfect wife: a novel</v>
      </c>
      <c r="D111">
        <v>360448</v>
      </c>
      <c r="G111" t="str">
        <f>"322 pages, 24 cm"</f>
        <v>322 pages, 24 cm</v>
      </c>
      <c r="H111" s="1">
        <v>20</v>
      </c>
      <c r="I111">
        <v>2020</v>
      </c>
      <c r="J111" t="str">
        <f t="shared" si="18"/>
        <v>2: Fiction</v>
      </c>
      <c r="L111" t="s">
        <v>2395</v>
      </c>
      <c r="M111" t="s">
        <v>28</v>
      </c>
      <c r="N111" t="s">
        <v>2396</v>
      </c>
      <c r="O111">
        <v>0</v>
      </c>
      <c r="P111" s="2">
        <v>43851</v>
      </c>
      <c r="Q111" s="1">
        <v>31</v>
      </c>
      <c r="R111" t="s">
        <v>2462</v>
      </c>
      <c r="S111">
        <v>1091293574</v>
      </c>
    </row>
    <row r="112" spans="1:19" x14ac:dyDescent="0.2">
      <c r="A112" t="str">
        <f t="shared" si="17"/>
        <v>Adult Fiction</v>
      </c>
      <c r="B112" t="str">
        <f t="shared" si="23"/>
        <v>NEW F BROWN</v>
      </c>
      <c r="C112" t="str">
        <f>"Tiny love: the complete stories of Larry Brown"</f>
        <v>Tiny love: the complete stories of Larry Brown</v>
      </c>
      <c r="D112">
        <v>408762</v>
      </c>
      <c r="E112" t="str">
        <f>"Brown, Larry,"</f>
        <v>Brown, Larry,</v>
      </c>
      <c r="G112" t="str">
        <f>"xxiii, 443 pages, 21 cm"</f>
        <v>xxiii, 443 pages, 21 cm</v>
      </c>
      <c r="H112" s="1">
        <v>20</v>
      </c>
      <c r="I112">
        <v>2019</v>
      </c>
      <c r="J112" t="str">
        <f t="shared" si="18"/>
        <v>2: Fiction</v>
      </c>
      <c r="L112" t="s">
        <v>2395</v>
      </c>
      <c r="M112" t="s">
        <v>28</v>
      </c>
      <c r="N112" t="s">
        <v>2396</v>
      </c>
      <c r="O112">
        <v>0</v>
      </c>
      <c r="P112" s="2">
        <v>43857</v>
      </c>
      <c r="Q112" s="1">
        <v>24</v>
      </c>
      <c r="R112" t="s">
        <v>2463</v>
      </c>
      <c r="S112">
        <v>1096234258</v>
      </c>
    </row>
    <row r="113" spans="1:19" x14ac:dyDescent="0.2">
      <c r="A113" t="str">
        <f t="shared" si="17"/>
        <v>Adult Fiction</v>
      </c>
      <c r="B113" t="str">
        <f t="shared" si="23"/>
        <v>NEW F BROWN</v>
      </c>
      <c r="C113" t="str">
        <f>"Dark age"</f>
        <v>Dark age</v>
      </c>
      <c r="D113">
        <v>357099</v>
      </c>
      <c r="E113" t="str">
        <f>"Brown, Pierce,"</f>
        <v>Brown, Pierce,</v>
      </c>
      <c r="F113" t="str">
        <f>"Red Rising Trilogy (5)"</f>
        <v>Red Rising Trilogy (5)</v>
      </c>
      <c r="G113" t="str">
        <f>"xxxv, 757 pages, 25 cm, map"</f>
        <v>xxxv, 757 pages, 25 cm, map</v>
      </c>
      <c r="H113" s="1">
        <v>19</v>
      </c>
      <c r="I113">
        <v>2019</v>
      </c>
      <c r="J113" t="str">
        <f t="shared" si="18"/>
        <v>2: Fiction</v>
      </c>
      <c r="L113" t="s">
        <v>2403</v>
      </c>
      <c r="M113" t="s">
        <v>28</v>
      </c>
      <c r="N113" t="s">
        <v>2404</v>
      </c>
      <c r="O113">
        <v>4</v>
      </c>
      <c r="P113" s="2">
        <v>43704</v>
      </c>
      <c r="Q113" s="1">
        <v>34</v>
      </c>
      <c r="R113" t="s">
        <v>2464</v>
      </c>
      <c r="S113">
        <v>1044650090</v>
      </c>
    </row>
    <row r="114" spans="1:19" x14ac:dyDescent="0.2">
      <c r="A114" t="str">
        <f t="shared" si="17"/>
        <v>Adult Fiction</v>
      </c>
      <c r="B114" t="str">
        <f t="shared" si="23"/>
        <v>NEW F BROWN</v>
      </c>
      <c r="C114" t="str">
        <f>"Dark age"</f>
        <v>Dark age</v>
      </c>
      <c r="D114">
        <v>357100</v>
      </c>
      <c r="E114" t="str">
        <f>"Brown, Pierce,"</f>
        <v>Brown, Pierce,</v>
      </c>
      <c r="F114" t="str">
        <f>"Red Rising Trilogy (5)"</f>
        <v>Red Rising Trilogy (5)</v>
      </c>
      <c r="G114" t="str">
        <f>"xxxv, 757 pages, 25 cm, map"</f>
        <v>xxxv, 757 pages, 25 cm, map</v>
      </c>
      <c r="H114" s="1">
        <v>19</v>
      </c>
      <c r="I114">
        <v>2019</v>
      </c>
      <c r="J114" t="str">
        <f t="shared" si="18"/>
        <v>2: Fiction</v>
      </c>
      <c r="L114" t="s">
        <v>2395</v>
      </c>
      <c r="M114" t="s">
        <v>28</v>
      </c>
      <c r="N114" t="s">
        <v>2396</v>
      </c>
      <c r="O114">
        <v>2</v>
      </c>
      <c r="P114" s="2">
        <v>43704</v>
      </c>
      <c r="Q114" s="1">
        <v>34</v>
      </c>
      <c r="R114" t="s">
        <v>2464</v>
      </c>
      <c r="S114">
        <v>1044650090</v>
      </c>
    </row>
    <row r="115" spans="1:19" x14ac:dyDescent="0.2">
      <c r="A115" t="str">
        <f t="shared" si="17"/>
        <v>Adult Fiction</v>
      </c>
      <c r="B115" t="str">
        <f t="shared" si="23"/>
        <v>NEW F BROWN</v>
      </c>
      <c r="C115" t="str">
        <f>"Scarlet fever: a novel"</f>
        <v>Scarlet fever: a novel</v>
      </c>
      <c r="D115">
        <v>359582</v>
      </c>
      <c r="E115" t="str">
        <f>"Brown, Rita Mae"</f>
        <v>Brown, Rita Mae</v>
      </c>
      <c r="G115" t="str">
        <f>"xxiv, 274 pages, 24 cm"</f>
        <v>xxiv, 274 pages, 24 cm</v>
      </c>
      <c r="H115" s="1">
        <v>19</v>
      </c>
      <c r="I115">
        <v>2019</v>
      </c>
      <c r="J115" t="str">
        <f t="shared" si="18"/>
        <v>2: Fiction</v>
      </c>
      <c r="L115" t="s">
        <v>2395</v>
      </c>
      <c r="M115" t="s">
        <v>28</v>
      </c>
      <c r="N115" t="s">
        <v>2404</v>
      </c>
      <c r="O115">
        <v>2</v>
      </c>
      <c r="P115" s="2">
        <v>43802</v>
      </c>
      <c r="Q115" s="1">
        <v>33</v>
      </c>
      <c r="R115" t="s">
        <v>2465</v>
      </c>
      <c r="S115">
        <v>1089286322</v>
      </c>
    </row>
    <row r="116" spans="1:19" x14ac:dyDescent="0.2">
      <c r="A116" t="str">
        <f t="shared" si="17"/>
        <v>Adult Fiction</v>
      </c>
      <c r="B116" t="str">
        <f t="shared" si="23"/>
        <v>NEW F BROWN</v>
      </c>
      <c r="C116" t="s">
        <v>2466</v>
      </c>
      <c r="D116">
        <v>356526</v>
      </c>
      <c r="E116" t="str">
        <f>"Brown, Sandra"</f>
        <v>Brown, Sandra</v>
      </c>
      <c r="G116" t="str">
        <f>"448 p."</f>
        <v>448 p.</v>
      </c>
      <c r="H116" s="1">
        <v>19</v>
      </c>
      <c r="I116">
        <v>2019</v>
      </c>
      <c r="J116" t="str">
        <f t="shared" si="18"/>
        <v>2: Fiction</v>
      </c>
      <c r="L116" t="s">
        <v>2395</v>
      </c>
      <c r="M116" t="s">
        <v>28</v>
      </c>
      <c r="N116" t="s">
        <v>2404</v>
      </c>
      <c r="O116">
        <v>9</v>
      </c>
      <c r="P116" s="2">
        <v>43678</v>
      </c>
      <c r="Q116" s="1">
        <v>33</v>
      </c>
      <c r="R116" t="s">
        <v>2467</v>
      </c>
      <c r="S116">
        <v>1097177154</v>
      </c>
    </row>
    <row r="117" spans="1:19" x14ac:dyDescent="0.2">
      <c r="A117" t="str">
        <f t="shared" si="17"/>
        <v>Adult Fiction</v>
      </c>
      <c r="B117" t="str">
        <f t="shared" si="23"/>
        <v>NEW F BROWN</v>
      </c>
      <c r="C117" t="s">
        <v>2466</v>
      </c>
      <c r="D117">
        <v>356528</v>
      </c>
      <c r="E117" t="str">
        <f>"Brown, Sandra"</f>
        <v>Brown, Sandra</v>
      </c>
      <c r="G117" t="str">
        <f>"448 p."</f>
        <v>448 p.</v>
      </c>
      <c r="H117" s="1">
        <v>19</v>
      </c>
      <c r="I117">
        <v>2019</v>
      </c>
      <c r="J117" t="str">
        <f t="shared" si="18"/>
        <v>2: Fiction</v>
      </c>
      <c r="L117" t="s">
        <v>2403</v>
      </c>
      <c r="M117" t="s">
        <v>28</v>
      </c>
      <c r="N117" t="s">
        <v>2396</v>
      </c>
      <c r="O117">
        <v>12</v>
      </c>
      <c r="P117" s="2">
        <v>43678</v>
      </c>
      <c r="Q117" s="1">
        <v>33</v>
      </c>
      <c r="R117" t="s">
        <v>2467</v>
      </c>
      <c r="S117">
        <v>1097177154</v>
      </c>
    </row>
    <row r="118" spans="1:19" x14ac:dyDescent="0.2">
      <c r="A118" t="str">
        <f t="shared" si="17"/>
        <v>Adult Fiction</v>
      </c>
      <c r="B118" t="str">
        <f t="shared" si="23"/>
        <v>NEW F BROWN</v>
      </c>
      <c r="C118" t="s">
        <v>2466</v>
      </c>
      <c r="D118">
        <v>356529</v>
      </c>
      <c r="E118" t="str">
        <f>"Brown, Sandra"</f>
        <v>Brown, Sandra</v>
      </c>
      <c r="G118" t="str">
        <f>"448 p."</f>
        <v>448 p.</v>
      </c>
      <c r="H118" s="1">
        <v>19</v>
      </c>
      <c r="I118">
        <v>2019</v>
      </c>
      <c r="J118" t="str">
        <f t="shared" si="18"/>
        <v>2: Fiction</v>
      </c>
      <c r="L118" t="s">
        <v>2403</v>
      </c>
      <c r="M118" t="s">
        <v>28</v>
      </c>
      <c r="N118" t="s">
        <v>2404</v>
      </c>
      <c r="O118">
        <v>10</v>
      </c>
      <c r="P118" s="2">
        <v>43678</v>
      </c>
      <c r="Q118" s="1">
        <v>33</v>
      </c>
      <c r="R118" t="s">
        <v>2467</v>
      </c>
      <c r="S118">
        <v>1097177154</v>
      </c>
    </row>
    <row r="119" spans="1:19" x14ac:dyDescent="0.2">
      <c r="A119" t="str">
        <f t="shared" si="17"/>
        <v>Adult Fiction</v>
      </c>
      <c r="B119" t="str">
        <f t="shared" si="23"/>
        <v>NEW F BROWN</v>
      </c>
      <c r="C119" t="s">
        <v>2466</v>
      </c>
      <c r="D119">
        <v>356531</v>
      </c>
      <c r="E119" t="str">
        <f>"Brown, Sandra"</f>
        <v>Brown, Sandra</v>
      </c>
      <c r="G119" t="str">
        <f>"448 p."</f>
        <v>448 p.</v>
      </c>
      <c r="H119" s="1">
        <v>19</v>
      </c>
      <c r="I119">
        <v>2019</v>
      </c>
      <c r="J119" t="str">
        <f t="shared" si="18"/>
        <v>2: Fiction</v>
      </c>
      <c r="L119" t="s">
        <v>2403</v>
      </c>
      <c r="M119" t="s">
        <v>28</v>
      </c>
      <c r="N119" t="s">
        <v>2404</v>
      </c>
      <c r="O119">
        <v>9</v>
      </c>
      <c r="P119" s="2">
        <v>43678</v>
      </c>
      <c r="Q119" s="1">
        <v>33</v>
      </c>
      <c r="R119" t="s">
        <v>2467</v>
      </c>
      <c r="S119">
        <v>1097177154</v>
      </c>
    </row>
    <row r="120" spans="1:19" x14ac:dyDescent="0.2">
      <c r="A120" t="str">
        <f t="shared" si="17"/>
        <v>Adult Fiction</v>
      </c>
      <c r="B120" t="str">
        <f t="shared" si="23"/>
        <v>NEW F BROWN</v>
      </c>
      <c r="C120" t="s">
        <v>2466</v>
      </c>
      <c r="D120">
        <v>356532</v>
      </c>
      <c r="E120" t="str">
        <f>"Brown, Sandra"</f>
        <v>Brown, Sandra</v>
      </c>
      <c r="G120" t="str">
        <f>"448 p."</f>
        <v>448 p.</v>
      </c>
      <c r="H120" s="1">
        <v>19</v>
      </c>
      <c r="I120">
        <v>2019</v>
      </c>
      <c r="J120" t="str">
        <f t="shared" si="18"/>
        <v>2: Fiction</v>
      </c>
      <c r="L120" t="s">
        <v>2395</v>
      </c>
      <c r="M120" t="s">
        <v>28</v>
      </c>
      <c r="N120" t="s">
        <v>2404</v>
      </c>
      <c r="O120">
        <v>9</v>
      </c>
      <c r="P120" s="2">
        <v>43678</v>
      </c>
      <c r="Q120" s="1">
        <v>33</v>
      </c>
      <c r="R120" t="s">
        <v>2467</v>
      </c>
      <c r="S120">
        <v>1097177154</v>
      </c>
    </row>
    <row r="121" spans="1:19" x14ac:dyDescent="0.2">
      <c r="A121" t="str">
        <f t="shared" si="17"/>
        <v>Adult Fiction</v>
      </c>
      <c r="B121" t="str">
        <f>"NEW F BRUEN"</f>
        <v>NEW F BRUEN</v>
      </c>
      <c r="C121" t="str">
        <f>"Galway girl"</f>
        <v>Galway girl</v>
      </c>
      <c r="D121">
        <v>359553</v>
      </c>
      <c r="E121" t="str">
        <f>"Bruen, Ken"</f>
        <v>Bruen, Ken</v>
      </c>
      <c r="F121" t="str">
        <f>"Jack Taylor Mystery series (15)"</f>
        <v>Jack Taylor Mystery series (15)</v>
      </c>
      <c r="G121" t="str">
        <f>"354 pages, 22 cm"</f>
        <v>354 pages, 22 cm</v>
      </c>
      <c r="H121" s="1">
        <v>19</v>
      </c>
      <c r="I121">
        <v>2019</v>
      </c>
      <c r="J121" t="str">
        <f t="shared" si="18"/>
        <v>2: Fiction</v>
      </c>
      <c r="L121" t="s">
        <v>2395</v>
      </c>
      <c r="M121" t="s">
        <v>28</v>
      </c>
      <c r="N121" t="s">
        <v>2404</v>
      </c>
      <c r="O121">
        <v>4</v>
      </c>
      <c r="P121" s="2">
        <v>43802</v>
      </c>
      <c r="Q121" s="1">
        <v>31</v>
      </c>
      <c r="R121" t="s">
        <v>2468</v>
      </c>
      <c r="S121">
        <v>1110878796</v>
      </c>
    </row>
    <row r="122" spans="1:19" x14ac:dyDescent="0.2">
      <c r="A122" t="str">
        <f t="shared" si="17"/>
        <v>Adult Fiction</v>
      </c>
      <c r="B122" t="str">
        <f>"NEW F BUJOL"</f>
        <v>NEW F BUJOL</v>
      </c>
      <c r="C122" t="str">
        <f>"The flowers of Vashnoi"</f>
        <v>The flowers of Vashnoi</v>
      </c>
      <c r="D122">
        <v>408245</v>
      </c>
      <c r="E122" t="str">
        <f>"Bujold, Lois McMaster"</f>
        <v>Bujold, Lois McMaster</v>
      </c>
      <c r="G122" t="str">
        <f>"93 pages, 20 cm"</f>
        <v>93 pages, 20 cm</v>
      </c>
      <c r="H122" s="1">
        <v>19</v>
      </c>
      <c r="I122">
        <v>2019</v>
      </c>
      <c r="J122" t="str">
        <f t="shared" si="18"/>
        <v>2: Fiction</v>
      </c>
      <c r="L122" t="s">
        <v>2395</v>
      </c>
      <c r="M122" t="s">
        <v>28</v>
      </c>
      <c r="N122" t="s">
        <v>2396</v>
      </c>
      <c r="O122">
        <v>1</v>
      </c>
      <c r="P122" s="2">
        <v>43761</v>
      </c>
      <c r="Q122" s="1">
        <v>25</v>
      </c>
      <c r="R122" t="s">
        <v>2469</v>
      </c>
      <c r="S122">
        <v>1090983494</v>
      </c>
    </row>
    <row r="123" spans="1:19" x14ac:dyDescent="0.2">
      <c r="A123" t="str">
        <f t="shared" si="17"/>
        <v>Adult Fiction</v>
      </c>
      <c r="B123" t="str">
        <f>"NEW F BUXTO"</f>
        <v>NEW F BUXTO</v>
      </c>
      <c r="C123" t="str">
        <f>"Hollow kingdom: a novel"</f>
        <v>Hollow kingdom: a novel</v>
      </c>
      <c r="D123">
        <v>357105</v>
      </c>
      <c r="E123" t="str">
        <f>"Buxton, Kira Jane"</f>
        <v>Buxton, Kira Jane</v>
      </c>
      <c r="G123" t="str">
        <f>"308 pages, 24 cm"</f>
        <v>308 pages, 24 cm</v>
      </c>
      <c r="H123" s="1">
        <v>19</v>
      </c>
      <c r="I123">
        <v>2019</v>
      </c>
      <c r="J123" t="str">
        <f t="shared" si="18"/>
        <v>2: Fiction</v>
      </c>
      <c r="L123" t="s">
        <v>2395</v>
      </c>
      <c r="M123" t="s">
        <v>28</v>
      </c>
      <c r="N123" t="s">
        <v>2404</v>
      </c>
      <c r="O123">
        <v>3</v>
      </c>
      <c r="P123" s="2">
        <v>43704</v>
      </c>
      <c r="Q123" s="1">
        <v>32</v>
      </c>
      <c r="R123" t="s">
        <v>2470</v>
      </c>
      <c r="S123">
        <v>1051778939</v>
      </c>
    </row>
    <row r="124" spans="1:19" x14ac:dyDescent="0.2">
      <c r="A124" t="str">
        <f t="shared" si="17"/>
        <v>Adult Fiction</v>
      </c>
      <c r="B124" t="str">
        <f>"NEW F BYRD"</f>
        <v>NEW F BYRD</v>
      </c>
      <c r="C124" t="str">
        <f>"The sixth conspirator: a novel"</f>
        <v>The sixth conspirator: a novel</v>
      </c>
      <c r="D124">
        <v>408236</v>
      </c>
      <c r="E124" t="str">
        <f>"Byrd, Max"</f>
        <v>Byrd, Max</v>
      </c>
      <c r="G124" t="str">
        <f>"359 pages, 22 cm"</f>
        <v>359 pages, 22 cm</v>
      </c>
      <c r="H124" s="1">
        <v>19</v>
      </c>
      <c r="I124">
        <v>2019</v>
      </c>
      <c r="J124" t="str">
        <f t="shared" si="18"/>
        <v>2: Fiction</v>
      </c>
      <c r="L124" t="s">
        <v>2395</v>
      </c>
      <c r="M124" t="s">
        <v>28</v>
      </c>
      <c r="N124" t="s">
        <v>2404</v>
      </c>
      <c r="O124">
        <v>3</v>
      </c>
      <c r="P124" s="2">
        <v>43760</v>
      </c>
      <c r="Q124" s="1">
        <v>26</v>
      </c>
      <c r="R124" t="s">
        <v>2471</v>
      </c>
      <c r="S124">
        <v>1112249361</v>
      </c>
    </row>
    <row r="125" spans="1:19" x14ac:dyDescent="0.2">
      <c r="A125" t="str">
        <f t="shared" si="17"/>
        <v>Adult Fiction</v>
      </c>
      <c r="B125" t="str">
        <f>"NEW F BYRNE"</f>
        <v>NEW F BYRNE</v>
      </c>
      <c r="C125" t="str">
        <f>"How to love a duke in ten days"</f>
        <v>How to love a duke in ten days</v>
      </c>
      <c r="D125">
        <v>358318</v>
      </c>
      <c r="E125" t="str">
        <f>"Byrne, Kerrigan"</f>
        <v>Byrne, Kerrigan</v>
      </c>
      <c r="G125" t="str">
        <f>"vi, 440 pages, 18 cm"</f>
        <v>vi, 440 pages, 18 cm</v>
      </c>
      <c r="H125" s="1">
        <v>19</v>
      </c>
      <c r="I125">
        <v>2019</v>
      </c>
      <c r="J125" t="str">
        <f t="shared" si="18"/>
        <v>2: Fiction</v>
      </c>
      <c r="L125" t="s">
        <v>2395</v>
      </c>
      <c r="M125" t="s">
        <v>28</v>
      </c>
      <c r="N125" t="s">
        <v>2396</v>
      </c>
      <c r="O125">
        <v>5</v>
      </c>
      <c r="P125" s="2">
        <v>43749</v>
      </c>
      <c r="Q125" s="1">
        <v>13</v>
      </c>
      <c r="R125" t="s">
        <v>2472</v>
      </c>
      <c r="S125">
        <v>1112672449</v>
      </c>
    </row>
    <row r="126" spans="1:19" x14ac:dyDescent="0.2">
      <c r="A126" t="str">
        <f t="shared" si="17"/>
        <v>Adult Fiction</v>
      </c>
      <c r="B126" t="str">
        <f>"NEW F CABOT"</f>
        <v>NEW F CABOT</v>
      </c>
      <c r="C126" t="str">
        <f>"No judgments: a novel"</f>
        <v>No judgments: a novel</v>
      </c>
      <c r="D126">
        <v>358068</v>
      </c>
      <c r="E126" t="str">
        <f>"Cabot, Meg"</f>
        <v>Cabot, Meg</v>
      </c>
      <c r="G126" t="str">
        <f>"358, 8 pages, 24 cm"</f>
        <v>358, 8 pages, 24 cm</v>
      </c>
      <c r="H126" s="1">
        <v>19</v>
      </c>
      <c r="I126">
        <v>2019</v>
      </c>
      <c r="J126" t="str">
        <f>"27: J 700 - J 799"</f>
        <v>27: J 700 - J 799</v>
      </c>
      <c r="L126" t="s">
        <v>2395</v>
      </c>
      <c r="M126" t="s">
        <v>28</v>
      </c>
      <c r="N126" t="s">
        <v>2404</v>
      </c>
      <c r="O126">
        <v>6</v>
      </c>
      <c r="P126" s="2">
        <v>43740</v>
      </c>
      <c r="Q126" s="1">
        <v>24</v>
      </c>
      <c r="R126" t="s">
        <v>2473</v>
      </c>
      <c r="S126">
        <v>1080429213</v>
      </c>
    </row>
    <row r="127" spans="1:19" x14ac:dyDescent="0.2">
      <c r="A127" t="str">
        <f t="shared" si="17"/>
        <v>Adult Fiction</v>
      </c>
      <c r="B127" t="str">
        <f>"NEW F CABOT"</f>
        <v>NEW F CABOT</v>
      </c>
      <c r="C127" t="str">
        <f>"No judgments: a novel"</f>
        <v>No judgments: a novel</v>
      </c>
      <c r="D127">
        <v>358069</v>
      </c>
      <c r="E127" t="str">
        <f>"Cabot, Meg"</f>
        <v>Cabot, Meg</v>
      </c>
      <c r="G127" t="str">
        <f>"358, 8 pages, 24 cm"</f>
        <v>358, 8 pages, 24 cm</v>
      </c>
      <c r="H127" s="1">
        <v>19</v>
      </c>
      <c r="I127">
        <v>2019</v>
      </c>
      <c r="J127" t="str">
        <f t="shared" ref="J127:J190" si="24">"2: Fiction"</f>
        <v>2: Fiction</v>
      </c>
      <c r="L127" t="s">
        <v>2403</v>
      </c>
      <c r="M127" t="s">
        <v>28</v>
      </c>
      <c r="N127" t="s">
        <v>2404</v>
      </c>
      <c r="O127">
        <v>7</v>
      </c>
      <c r="P127" s="2">
        <v>43740</v>
      </c>
      <c r="Q127" s="1">
        <v>13</v>
      </c>
      <c r="R127" t="s">
        <v>2473</v>
      </c>
      <c r="S127">
        <v>1080429213</v>
      </c>
    </row>
    <row r="128" spans="1:19" x14ac:dyDescent="0.2">
      <c r="A128" t="str">
        <f t="shared" si="17"/>
        <v>Adult Fiction</v>
      </c>
      <c r="B128" t="str">
        <f>"NEW F CAHN"</f>
        <v>NEW F CAHN</v>
      </c>
      <c r="C128" t="str">
        <f>"The oracle"</f>
        <v>The oracle</v>
      </c>
      <c r="D128">
        <v>357908</v>
      </c>
      <c r="E128" t="str">
        <f>"Cahn, Jonathan."</f>
        <v>Cahn, Jonathan.</v>
      </c>
      <c r="G128" t="str">
        <f>"ix, 291 pages, 25 cm"</f>
        <v>ix, 291 pages, 25 cm</v>
      </c>
      <c r="H128" s="1">
        <v>19</v>
      </c>
      <c r="I128">
        <v>2019</v>
      </c>
      <c r="J128" t="str">
        <f t="shared" si="24"/>
        <v>2: Fiction</v>
      </c>
      <c r="L128" t="s">
        <v>2395</v>
      </c>
      <c r="M128" t="s">
        <v>28</v>
      </c>
      <c r="N128" t="s">
        <v>2396</v>
      </c>
      <c r="O128">
        <v>3</v>
      </c>
      <c r="P128" s="2">
        <v>43733</v>
      </c>
      <c r="Q128" s="1">
        <v>30</v>
      </c>
      <c r="R128" t="s">
        <v>2474</v>
      </c>
      <c r="S128">
        <v>1110655389</v>
      </c>
    </row>
    <row r="129" spans="1:19" x14ac:dyDescent="0.2">
      <c r="A129" t="str">
        <f t="shared" si="17"/>
        <v>Adult Fiction</v>
      </c>
      <c r="B129" t="str">
        <f>"NEW F CALLE"</f>
        <v>NEW F CALLE</v>
      </c>
      <c r="C129" t="str">
        <f>"Queen of the conquered"</f>
        <v>Queen of the conquered</v>
      </c>
      <c r="D129">
        <v>359151</v>
      </c>
      <c r="E129" t="str">
        <f>"Callender, Kacen,"</f>
        <v>Callender, Kacen,</v>
      </c>
      <c r="G129" t="str">
        <f>"391 p., 21 cm, map"</f>
        <v>391 p., 21 cm, map</v>
      </c>
      <c r="H129" s="1">
        <v>19</v>
      </c>
      <c r="I129">
        <v>2019</v>
      </c>
      <c r="J129" t="str">
        <f t="shared" si="24"/>
        <v>2: Fiction</v>
      </c>
      <c r="L129" t="s">
        <v>2403</v>
      </c>
      <c r="M129" t="s">
        <v>28</v>
      </c>
      <c r="N129" t="s">
        <v>2396</v>
      </c>
      <c r="O129">
        <v>0</v>
      </c>
      <c r="P129" s="2">
        <v>43781</v>
      </c>
      <c r="Q129" s="1">
        <v>21</v>
      </c>
      <c r="R129" t="s">
        <v>2475</v>
      </c>
      <c r="S129">
        <v>1089568321</v>
      </c>
    </row>
    <row r="130" spans="1:19" x14ac:dyDescent="0.2">
      <c r="A130" t="str">
        <f t="shared" si="17"/>
        <v>Adult Fiction</v>
      </c>
      <c r="B130" t="str">
        <f>"NEW F CAPUT"</f>
        <v>NEW F CAPUT</v>
      </c>
      <c r="C130" t="str">
        <f>"Hunter's moon: a novel in stories"</f>
        <v>Hunter's moon: a novel in stories</v>
      </c>
      <c r="D130">
        <v>357442</v>
      </c>
      <c r="E130" t="str">
        <f>"Caputo, Philip"</f>
        <v>Caputo, Philip</v>
      </c>
      <c r="G130" t="str">
        <f>"272 pages, 22 cm"</f>
        <v>272 pages, 22 cm</v>
      </c>
      <c r="H130" s="1">
        <v>19</v>
      </c>
      <c r="I130">
        <v>2019</v>
      </c>
      <c r="J130" t="str">
        <f t="shared" si="24"/>
        <v>2: Fiction</v>
      </c>
      <c r="L130" t="s">
        <v>2395</v>
      </c>
      <c r="M130" t="s">
        <v>28</v>
      </c>
      <c r="N130" t="s">
        <v>2404</v>
      </c>
      <c r="O130">
        <v>7</v>
      </c>
      <c r="P130" s="2">
        <v>43718</v>
      </c>
      <c r="Q130" s="1">
        <v>33</v>
      </c>
      <c r="R130" t="s">
        <v>2476</v>
      </c>
    </row>
    <row r="131" spans="1:19" x14ac:dyDescent="0.2">
      <c r="A131" t="str">
        <f t="shared" si="17"/>
        <v>Adult Fiction</v>
      </c>
      <c r="B131" t="str">
        <f>"NEW F CARR"</f>
        <v>NEW F CARR</v>
      </c>
      <c r="C131" t="str">
        <f>"Opioid, Indiana"</f>
        <v>Opioid, Indiana</v>
      </c>
      <c r="D131">
        <v>357907</v>
      </c>
      <c r="E131" t="str">
        <f>"Carr, Brian Allen"</f>
        <v>Carr, Brian Allen</v>
      </c>
      <c r="G131" t="str">
        <f>"213 pages, 21 cm, illustrations"</f>
        <v>213 pages, 21 cm, illustrations</v>
      </c>
      <c r="H131" s="1">
        <v>19</v>
      </c>
      <c r="I131">
        <v>2019</v>
      </c>
      <c r="J131" t="str">
        <f t="shared" si="24"/>
        <v>2: Fiction</v>
      </c>
      <c r="L131" t="s">
        <v>2395</v>
      </c>
      <c r="M131" t="s">
        <v>28</v>
      </c>
      <c r="N131" t="s">
        <v>2404</v>
      </c>
      <c r="O131">
        <v>4</v>
      </c>
      <c r="P131" s="2">
        <v>43732</v>
      </c>
      <c r="Q131" s="1">
        <v>21</v>
      </c>
      <c r="R131" t="s">
        <v>2477</v>
      </c>
      <c r="S131">
        <v>1080275641</v>
      </c>
    </row>
    <row r="132" spans="1:19" x14ac:dyDescent="0.2">
      <c r="A132" t="str">
        <f t="shared" si="17"/>
        <v>Adult Fiction</v>
      </c>
      <c r="B132" t="str">
        <f>"NEW F CASTI"</f>
        <v>NEW F CASTI</v>
      </c>
      <c r="C132" t="s">
        <v>2478</v>
      </c>
      <c r="D132">
        <v>356990</v>
      </c>
      <c r="E132" t="str">
        <f>"Castillo, Linda."</f>
        <v>Castillo, Linda.</v>
      </c>
      <c r="F132" t="str">
        <f>"Kate Burkholder series (11)"</f>
        <v>Kate Burkholder series (11)</v>
      </c>
      <c r="G132" t="str">
        <f>"294 pages, 25 cm"</f>
        <v>294 pages, 25 cm</v>
      </c>
      <c r="H132" s="1">
        <v>19</v>
      </c>
      <c r="I132">
        <v>2019</v>
      </c>
      <c r="J132" t="str">
        <f t="shared" si="24"/>
        <v>2: Fiction</v>
      </c>
      <c r="L132" t="s">
        <v>2395</v>
      </c>
      <c r="M132" t="s">
        <v>28</v>
      </c>
      <c r="N132" t="s">
        <v>2404</v>
      </c>
      <c r="O132">
        <v>12</v>
      </c>
      <c r="P132" s="2">
        <v>43696</v>
      </c>
      <c r="Q132" s="1">
        <v>32</v>
      </c>
      <c r="R132" t="s">
        <v>2479</v>
      </c>
      <c r="S132">
        <v>1088601619</v>
      </c>
    </row>
    <row r="133" spans="1:19" x14ac:dyDescent="0.2">
      <c r="A133" t="str">
        <f t="shared" si="17"/>
        <v>Adult Fiction</v>
      </c>
      <c r="B133" t="str">
        <f>"NEW F CAVAN"</f>
        <v>NEW F CAVAN</v>
      </c>
      <c r="C133" t="s">
        <v>2480</v>
      </c>
      <c r="D133">
        <v>357439</v>
      </c>
      <c r="E133" t="str">
        <f>"Cavanagh, Steve"</f>
        <v>Cavanagh, Steve</v>
      </c>
      <c r="G133" t="str">
        <f>"323 pages, 24 cm"</f>
        <v>323 pages, 24 cm</v>
      </c>
      <c r="H133" s="1">
        <v>19</v>
      </c>
      <c r="I133">
        <v>2019</v>
      </c>
      <c r="J133" t="str">
        <f t="shared" si="24"/>
        <v>2: Fiction</v>
      </c>
      <c r="L133" t="s">
        <v>2395</v>
      </c>
      <c r="M133" t="s">
        <v>28</v>
      </c>
      <c r="N133" t="s">
        <v>2404</v>
      </c>
      <c r="O133">
        <v>5</v>
      </c>
      <c r="P133" s="2">
        <v>43718</v>
      </c>
      <c r="Q133" s="1">
        <v>32</v>
      </c>
      <c r="R133" t="s">
        <v>2481</v>
      </c>
      <c r="S133">
        <v>1031918663</v>
      </c>
    </row>
    <row r="134" spans="1:19" x14ac:dyDescent="0.2">
      <c r="A134" t="str">
        <f t="shared" si="17"/>
        <v>Adult Fiction</v>
      </c>
      <c r="B134" t="str">
        <f>"NEW F CENTE"</f>
        <v>NEW F CENTE</v>
      </c>
      <c r="C134" t="str">
        <f>"Things you save in a fire"</f>
        <v>Things you save in a fire</v>
      </c>
      <c r="D134">
        <v>356683</v>
      </c>
      <c r="E134" t="str">
        <f>"Center, Katherine."</f>
        <v>Center, Katherine.</v>
      </c>
      <c r="G134" t="str">
        <f>"312 p., 25 cm"</f>
        <v>312 p., 25 cm</v>
      </c>
      <c r="H134" s="1">
        <v>19</v>
      </c>
      <c r="I134">
        <v>2019</v>
      </c>
      <c r="J134" t="str">
        <f t="shared" si="24"/>
        <v>2: Fiction</v>
      </c>
      <c r="L134" t="s">
        <v>2395</v>
      </c>
      <c r="M134" t="s">
        <v>28</v>
      </c>
      <c r="N134" t="s">
        <v>2404</v>
      </c>
      <c r="O134">
        <v>10</v>
      </c>
      <c r="P134" s="2">
        <v>43689</v>
      </c>
      <c r="Q134" s="1">
        <v>32</v>
      </c>
      <c r="R134" t="s">
        <v>2482</v>
      </c>
      <c r="S134">
        <v>1048944641</v>
      </c>
    </row>
    <row r="135" spans="1:19" x14ac:dyDescent="0.2">
      <c r="A135" t="str">
        <f t="shared" ref="A135:A198" si="25">"Adult Fiction"</f>
        <v>Adult Fiction</v>
      </c>
      <c r="B135" t="str">
        <f>"NEW F CENTE"</f>
        <v>NEW F CENTE</v>
      </c>
      <c r="C135" t="str">
        <f>"Things you save in a fire"</f>
        <v>Things you save in a fire</v>
      </c>
      <c r="D135">
        <v>356684</v>
      </c>
      <c r="E135" t="str">
        <f>"Center, Katherine."</f>
        <v>Center, Katherine.</v>
      </c>
      <c r="G135" t="str">
        <f>"312 p., 25 cm"</f>
        <v>312 p., 25 cm</v>
      </c>
      <c r="H135" s="1">
        <v>19</v>
      </c>
      <c r="I135">
        <v>2019</v>
      </c>
      <c r="J135" t="str">
        <f t="shared" si="24"/>
        <v>2: Fiction</v>
      </c>
      <c r="L135" t="s">
        <v>2403</v>
      </c>
      <c r="M135" t="s">
        <v>28</v>
      </c>
      <c r="N135" t="s">
        <v>2404</v>
      </c>
      <c r="O135">
        <v>12</v>
      </c>
      <c r="P135" s="2">
        <v>43689</v>
      </c>
      <c r="Q135" s="1">
        <v>32</v>
      </c>
      <c r="R135" t="s">
        <v>2482</v>
      </c>
      <c r="S135">
        <v>1048944641</v>
      </c>
    </row>
    <row r="136" spans="1:19" x14ac:dyDescent="0.2">
      <c r="A136" t="str">
        <f t="shared" si="25"/>
        <v>Adult Fiction</v>
      </c>
      <c r="B136" t="str">
        <f>"NEW F CENTE"</f>
        <v>NEW F CENTE</v>
      </c>
      <c r="C136" t="str">
        <f>"Things you save in a fire"</f>
        <v>Things you save in a fire</v>
      </c>
      <c r="D136">
        <v>407195</v>
      </c>
      <c r="E136" t="str">
        <f>"Center, Katherine."</f>
        <v>Center, Katherine.</v>
      </c>
      <c r="G136" t="str">
        <f>"312 p., 25 cm"</f>
        <v>312 p., 25 cm</v>
      </c>
      <c r="H136">
        <v>19</v>
      </c>
      <c r="I136">
        <v>2019</v>
      </c>
      <c r="J136" t="str">
        <f t="shared" si="24"/>
        <v>2: Fiction</v>
      </c>
      <c r="L136" t="s">
        <v>2403</v>
      </c>
      <c r="M136" t="s">
        <v>28</v>
      </c>
      <c r="N136" t="s">
        <v>2404</v>
      </c>
      <c r="O136">
        <v>5</v>
      </c>
      <c r="P136" s="2">
        <v>43706</v>
      </c>
      <c r="Q136" s="1">
        <v>32</v>
      </c>
      <c r="R136" t="s">
        <v>2482</v>
      </c>
      <c r="S136">
        <v>1048944641</v>
      </c>
    </row>
    <row r="137" spans="1:19" x14ac:dyDescent="0.2">
      <c r="A137" t="str">
        <f t="shared" si="25"/>
        <v>Adult Fiction</v>
      </c>
      <c r="B137" t="str">
        <f>"NEW F CHA"</f>
        <v>NEW F CHA</v>
      </c>
      <c r="C137" t="str">
        <f>"Your house will pay"</f>
        <v>Your house will pay</v>
      </c>
      <c r="D137">
        <v>358582</v>
      </c>
      <c r="G137" t="str">
        <f>"304 pages, 24 cm"</f>
        <v>304 pages, 24 cm</v>
      </c>
      <c r="H137" s="1">
        <v>19</v>
      </c>
      <c r="I137">
        <v>2019</v>
      </c>
      <c r="J137" t="str">
        <f t="shared" si="24"/>
        <v>2: Fiction</v>
      </c>
      <c r="L137" t="s">
        <v>2403</v>
      </c>
      <c r="M137" t="s">
        <v>28</v>
      </c>
      <c r="N137" t="s">
        <v>2404</v>
      </c>
      <c r="O137">
        <v>4</v>
      </c>
      <c r="P137" s="2">
        <v>43756</v>
      </c>
      <c r="Q137" s="1">
        <v>32</v>
      </c>
      <c r="R137" t="s">
        <v>2483</v>
      </c>
      <c r="S137">
        <v>1111001922</v>
      </c>
    </row>
    <row r="138" spans="1:19" x14ac:dyDescent="0.2">
      <c r="A138" t="str">
        <f t="shared" si="25"/>
        <v>Adult Fiction</v>
      </c>
      <c r="B138" t="str">
        <f>"NEW F CHAMB"</f>
        <v>NEW F CHAMB</v>
      </c>
      <c r="C138" t="str">
        <f>"Big lies in a small town"</f>
        <v>Big lies in a small town</v>
      </c>
      <c r="D138">
        <v>360206</v>
      </c>
      <c r="E138" t="str">
        <f>"Chamberlain, Diane"</f>
        <v>Chamberlain, Diane</v>
      </c>
      <c r="G138" t="str">
        <f>"385 pages"</f>
        <v>385 pages</v>
      </c>
      <c r="H138" s="1">
        <v>19</v>
      </c>
      <c r="I138">
        <v>2020</v>
      </c>
      <c r="J138" t="str">
        <f t="shared" si="24"/>
        <v>2: Fiction</v>
      </c>
      <c r="L138" t="s">
        <v>2395</v>
      </c>
      <c r="M138" t="s">
        <v>28</v>
      </c>
      <c r="N138" t="s">
        <v>2404</v>
      </c>
      <c r="O138">
        <v>2</v>
      </c>
      <c r="P138" s="2">
        <v>43844</v>
      </c>
      <c r="Q138" s="1">
        <v>33</v>
      </c>
      <c r="R138" t="s">
        <v>2484</v>
      </c>
    </row>
    <row r="139" spans="1:19" x14ac:dyDescent="0.2">
      <c r="A139" t="str">
        <f t="shared" si="25"/>
        <v>Adult Fiction</v>
      </c>
      <c r="B139" t="str">
        <f>"NEW F CHBOS"</f>
        <v>NEW F CHBOS</v>
      </c>
      <c r="C139" t="str">
        <f>"Imaginary friend"</f>
        <v>Imaginary friend</v>
      </c>
      <c r="D139">
        <v>359864</v>
      </c>
      <c r="E139" t="str">
        <f>"Chbosky, Stephen."</f>
        <v>Chbosky, Stephen.</v>
      </c>
      <c r="G139" t="str">
        <f>"705 pages, 24 cm"</f>
        <v>705 pages, 24 cm</v>
      </c>
      <c r="H139" s="1">
        <v>19</v>
      </c>
      <c r="I139">
        <v>2019</v>
      </c>
      <c r="J139" t="str">
        <f t="shared" si="24"/>
        <v>2: Fiction</v>
      </c>
      <c r="L139" t="s">
        <v>2395</v>
      </c>
      <c r="M139" t="s">
        <v>28</v>
      </c>
      <c r="N139" t="s">
        <v>2404</v>
      </c>
      <c r="O139">
        <v>2</v>
      </c>
      <c r="P139" s="2">
        <v>43815</v>
      </c>
      <c r="Q139" s="1">
        <v>35</v>
      </c>
      <c r="R139" t="s">
        <v>2485</v>
      </c>
      <c r="S139">
        <v>1082178078</v>
      </c>
    </row>
    <row r="140" spans="1:19" x14ac:dyDescent="0.2">
      <c r="A140" t="str">
        <f t="shared" si="25"/>
        <v>Adult Fiction</v>
      </c>
      <c r="B140" t="str">
        <f>"NEW F CHEVA"</f>
        <v>NEW F CHEVA</v>
      </c>
      <c r="C140" t="str">
        <f>"A single thread"</f>
        <v>A single thread</v>
      </c>
      <c r="D140">
        <v>357627</v>
      </c>
      <c r="E140" t="str">
        <f>"Chevalier, Tracy"</f>
        <v>Chevalier, Tracy</v>
      </c>
      <c r="G140" t="str">
        <f>"318 p."</f>
        <v>318 p.</v>
      </c>
      <c r="H140" s="1">
        <v>19</v>
      </c>
      <c r="I140">
        <v>2019</v>
      </c>
      <c r="J140" t="str">
        <f t="shared" si="24"/>
        <v>2: Fiction</v>
      </c>
      <c r="L140" t="s">
        <v>2395</v>
      </c>
      <c r="M140" t="s">
        <v>28</v>
      </c>
      <c r="N140" t="s">
        <v>2404</v>
      </c>
      <c r="O140">
        <v>8</v>
      </c>
      <c r="P140" s="2">
        <v>43725</v>
      </c>
      <c r="Q140" s="1">
        <v>32</v>
      </c>
      <c r="R140" t="s">
        <v>2486</v>
      </c>
    </row>
    <row r="141" spans="1:19" x14ac:dyDescent="0.2">
      <c r="A141" t="str">
        <f t="shared" si="25"/>
        <v>Adult Fiction</v>
      </c>
      <c r="B141" t="str">
        <f>"NEW F CHEVA"</f>
        <v>NEW F CHEVA</v>
      </c>
      <c r="C141" t="str">
        <f>"A single thread"</f>
        <v>A single thread</v>
      </c>
      <c r="D141">
        <v>357628</v>
      </c>
      <c r="E141" t="str">
        <f>"Chevalier, Tracy"</f>
        <v>Chevalier, Tracy</v>
      </c>
      <c r="G141" t="str">
        <f>"318 p."</f>
        <v>318 p.</v>
      </c>
      <c r="H141" s="1">
        <v>19</v>
      </c>
      <c r="I141">
        <v>2019</v>
      </c>
      <c r="J141" t="str">
        <f t="shared" si="24"/>
        <v>2: Fiction</v>
      </c>
      <c r="L141" t="s">
        <v>2395</v>
      </c>
      <c r="M141" t="s">
        <v>28</v>
      </c>
      <c r="N141" t="s">
        <v>2404</v>
      </c>
      <c r="O141">
        <v>9</v>
      </c>
      <c r="P141" s="2">
        <v>43725</v>
      </c>
      <c r="Q141" s="1">
        <v>32</v>
      </c>
      <c r="R141" t="s">
        <v>2486</v>
      </c>
    </row>
    <row r="142" spans="1:19" x14ac:dyDescent="0.2">
      <c r="A142" t="str">
        <f t="shared" si="25"/>
        <v>Adult Fiction</v>
      </c>
      <c r="B142" t="str">
        <f>"NEW F CHEVA"</f>
        <v>NEW F CHEVA</v>
      </c>
      <c r="C142" t="str">
        <f>"A single thread"</f>
        <v>A single thread</v>
      </c>
      <c r="D142">
        <v>359053</v>
      </c>
      <c r="E142" t="str">
        <f>"Chevalier, Tracy"</f>
        <v>Chevalier, Tracy</v>
      </c>
      <c r="G142" t="str">
        <f>"318 p."</f>
        <v>318 p.</v>
      </c>
      <c r="H142" s="1">
        <v>19</v>
      </c>
      <c r="I142">
        <v>2019</v>
      </c>
      <c r="J142" t="str">
        <f t="shared" si="24"/>
        <v>2: Fiction</v>
      </c>
      <c r="L142" t="s">
        <v>2395</v>
      </c>
      <c r="M142" t="s">
        <v>28</v>
      </c>
      <c r="N142" t="s">
        <v>2404</v>
      </c>
      <c r="O142">
        <v>7</v>
      </c>
      <c r="P142" s="2">
        <v>43776</v>
      </c>
      <c r="Q142" s="1">
        <v>32</v>
      </c>
      <c r="R142" t="s">
        <v>2486</v>
      </c>
    </row>
    <row r="143" spans="1:19" x14ac:dyDescent="0.2">
      <c r="A143" t="str">
        <f t="shared" si="25"/>
        <v>Adult Fiction</v>
      </c>
      <c r="B143" t="str">
        <f>"NEW F CHIAN"</f>
        <v>NEW F CHIAN</v>
      </c>
      <c r="C143" t="s">
        <v>2487</v>
      </c>
      <c r="D143">
        <v>354568</v>
      </c>
      <c r="E143" t="str">
        <f>"Chiang, Ted"</f>
        <v>Chiang, Ted</v>
      </c>
      <c r="G143" t="str">
        <f>"350 p."</f>
        <v>350 p.</v>
      </c>
      <c r="H143" s="1">
        <v>19</v>
      </c>
      <c r="I143">
        <v>2019</v>
      </c>
      <c r="J143" t="str">
        <f t="shared" si="24"/>
        <v>2: Fiction</v>
      </c>
      <c r="L143" t="s">
        <v>2395</v>
      </c>
      <c r="M143" t="s">
        <v>28</v>
      </c>
      <c r="N143" t="s">
        <v>2404</v>
      </c>
      <c r="O143">
        <v>13</v>
      </c>
      <c r="P143" s="2">
        <v>43591</v>
      </c>
      <c r="Q143" s="1">
        <v>31</v>
      </c>
      <c r="R143" t="s">
        <v>2488</v>
      </c>
      <c r="S143">
        <v>1043306168</v>
      </c>
    </row>
    <row r="144" spans="1:19" x14ac:dyDescent="0.2">
      <c r="A144" t="str">
        <f t="shared" si="25"/>
        <v>Adult Fiction</v>
      </c>
      <c r="B144" t="str">
        <f>"NEW F CHIAN"</f>
        <v>NEW F CHIAN</v>
      </c>
      <c r="C144" t="s">
        <v>2487</v>
      </c>
      <c r="D144">
        <v>355532</v>
      </c>
      <c r="E144" t="str">
        <f>"Chiang, Ted"</f>
        <v>Chiang, Ted</v>
      </c>
      <c r="G144" t="str">
        <f>"350 p."</f>
        <v>350 p.</v>
      </c>
      <c r="H144" s="1">
        <v>19</v>
      </c>
      <c r="I144">
        <v>2019</v>
      </c>
      <c r="J144" t="str">
        <f t="shared" si="24"/>
        <v>2: Fiction</v>
      </c>
      <c r="L144" t="s">
        <v>2395</v>
      </c>
      <c r="M144" t="s">
        <v>28</v>
      </c>
      <c r="N144" t="s">
        <v>2404</v>
      </c>
      <c r="O144">
        <v>10</v>
      </c>
      <c r="P144" s="2">
        <v>43634</v>
      </c>
      <c r="Q144" s="1">
        <v>31</v>
      </c>
      <c r="R144" t="s">
        <v>2488</v>
      </c>
      <c r="S144">
        <v>1043306168</v>
      </c>
    </row>
    <row r="145" spans="1:19" x14ac:dyDescent="0.2">
      <c r="A145" t="str">
        <f t="shared" si="25"/>
        <v>Adult Fiction</v>
      </c>
      <c r="B145" t="str">
        <f>"NEW F CHIAV"</f>
        <v>NEW F CHIAV</v>
      </c>
      <c r="C145" t="str">
        <f>"The Christmas boutique: an Elm Creek Quilts novel"</f>
        <v>The Christmas boutique: an Elm Creek Quilts novel</v>
      </c>
      <c r="D145">
        <v>358152</v>
      </c>
      <c r="E145" t="str">
        <f>"Chiaverini, Jennifer"</f>
        <v>Chiaverini, Jennifer</v>
      </c>
      <c r="G145" t="str">
        <f>"290 p."</f>
        <v>290 p.</v>
      </c>
      <c r="H145" s="1">
        <v>19</v>
      </c>
      <c r="I145">
        <v>2019</v>
      </c>
      <c r="J145" t="str">
        <f t="shared" si="24"/>
        <v>2: Fiction</v>
      </c>
      <c r="L145" t="s">
        <v>2403</v>
      </c>
      <c r="M145" t="s">
        <v>28</v>
      </c>
      <c r="N145" t="s">
        <v>2404</v>
      </c>
      <c r="O145">
        <v>8</v>
      </c>
      <c r="P145" s="2">
        <v>43740</v>
      </c>
      <c r="Q145" s="1">
        <v>25</v>
      </c>
      <c r="R145" t="s">
        <v>2489</v>
      </c>
      <c r="S145">
        <v>1121266631</v>
      </c>
    </row>
    <row r="146" spans="1:19" x14ac:dyDescent="0.2">
      <c r="A146" t="str">
        <f t="shared" si="25"/>
        <v>Adult Fiction</v>
      </c>
      <c r="B146" t="str">
        <f>"NEW F CHIAV"</f>
        <v>NEW F CHIAV</v>
      </c>
      <c r="C146" t="str">
        <f>"The Christmas boutique: an Elm Creek Quilts novel"</f>
        <v>The Christmas boutique: an Elm Creek Quilts novel</v>
      </c>
      <c r="D146">
        <v>358153</v>
      </c>
      <c r="E146" t="str">
        <f>"Chiaverini, Jennifer"</f>
        <v>Chiaverini, Jennifer</v>
      </c>
      <c r="G146" t="str">
        <f>"290 p."</f>
        <v>290 p.</v>
      </c>
      <c r="H146" s="1">
        <v>19</v>
      </c>
      <c r="I146">
        <v>2019</v>
      </c>
      <c r="J146" t="str">
        <f t="shared" si="24"/>
        <v>2: Fiction</v>
      </c>
      <c r="L146" t="s">
        <v>2395</v>
      </c>
      <c r="M146" t="s">
        <v>28</v>
      </c>
      <c r="N146" t="s">
        <v>2404</v>
      </c>
      <c r="O146">
        <v>9</v>
      </c>
      <c r="P146" s="2">
        <v>43740</v>
      </c>
      <c r="Q146" s="1">
        <v>25</v>
      </c>
      <c r="R146" t="s">
        <v>2489</v>
      </c>
      <c r="S146">
        <v>1121266631</v>
      </c>
    </row>
    <row r="147" spans="1:19" x14ac:dyDescent="0.2">
      <c r="A147" t="str">
        <f t="shared" si="25"/>
        <v>Adult Fiction</v>
      </c>
      <c r="B147" t="str">
        <f t="shared" ref="B147:B158" si="26">"NEW F CHILD"</f>
        <v>NEW F CHILD</v>
      </c>
      <c r="C147" t="str">
        <f t="shared" ref="C147:C158" si="27">"Blue moon: a Jack Reacher novel"</f>
        <v>Blue moon: a Jack Reacher novel</v>
      </c>
      <c r="D147">
        <v>358837</v>
      </c>
      <c r="E147" t="str">
        <f t="shared" ref="E147:E158" si="28">"Child, Lee"</f>
        <v>Child, Lee</v>
      </c>
      <c r="F147" t="str">
        <f t="shared" ref="F147:F158" si="29">"Jack Reacher series (24)"</f>
        <v>Jack Reacher series (24)</v>
      </c>
      <c r="G147" t="str">
        <f t="shared" ref="G147:G158" si="30">"354 p."</f>
        <v>354 p.</v>
      </c>
      <c r="H147" s="1">
        <v>19</v>
      </c>
      <c r="I147">
        <v>2019</v>
      </c>
      <c r="J147" t="str">
        <f t="shared" si="24"/>
        <v>2: Fiction</v>
      </c>
      <c r="L147" t="s">
        <v>2395</v>
      </c>
      <c r="M147" t="s">
        <v>28</v>
      </c>
      <c r="N147" t="str">
        <f>"Reserve Cart"</f>
        <v>Reserve Cart</v>
      </c>
      <c r="O147">
        <v>4</v>
      </c>
      <c r="P147" s="2">
        <v>43768</v>
      </c>
      <c r="Q147" s="1">
        <v>34</v>
      </c>
      <c r="R147" t="s">
        <v>2490</v>
      </c>
      <c r="S147">
        <v>1108811440</v>
      </c>
    </row>
    <row r="148" spans="1:19" x14ac:dyDescent="0.2">
      <c r="A148" t="str">
        <f t="shared" si="25"/>
        <v>Adult Fiction</v>
      </c>
      <c r="B148" t="str">
        <f t="shared" si="26"/>
        <v>NEW F CHILD</v>
      </c>
      <c r="C148" t="str">
        <f t="shared" si="27"/>
        <v>Blue moon: a Jack Reacher novel</v>
      </c>
      <c r="D148">
        <v>358838</v>
      </c>
      <c r="E148" t="str">
        <f t="shared" si="28"/>
        <v>Child, Lee</v>
      </c>
      <c r="F148" t="str">
        <f t="shared" si="29"/>
        <v>Jack Reacher series (24)</v>
      </c>
      <c r="G148" t="str">
        <f t="shared" si="30"/>
        <v>354 p.</v>
      </c>
      <c r="H148" s="1">
        <v>19</v>
      </c>
      <c r="I148">
        <v>2019</v>
      </c>
      <c r="J148" t="str">
        <f t="shared" si="24"/>
        <v>2: Fiction</v>
      </c>
      <c r="L148" t="s">
        <v>2395</v>
      </c>
      <c r="M148" t="s">
        <v>28</v>
      </c>
      <c r="N148" t="str">
        <f>"Reserve Cart"</f>
        <v>Reserve Cart</v>
      </c>
      <c r="O148">
        <v>9</v>
      </c>
      <c r="P148" s="2">
        <v>43768</v>
      </c>
      <c r="Q148" s="1">
        <v>34</v>
      </c>
      <c r="R148" t="s">
        <v>2490</v>
      </c>
      <c r="S148">
        <v>1108811440</v>
      </c>
    </row>
    <row r="149" spans="1:19" x14ac:dyDescent="0.2">
      <c r="A149" t="str">
        <f t="shared" si="25"/>
        <v>Adult Fiction</v>
      </c>
      <c r="B149" t="str">
        <f t="shared" si="26"/>
        <v>NEW F CHILD</v>
      </c>
      <c r="C149" t="str">
        <f t="shared" si="27"/>
        <v>Blue moon: a Jack Reacher novel</v>
      </c>
      <c r="D149">
        <v>358839</v>
      </c>
      <c r="E149" t="str">
        <f t="shared" si="28"/>
        <v>Child, Lee</v>
      </c>
      <c r="F149" t="str">
        <f t="shared" si="29"/>
        <v>Jack Reacher series (24)</v>
      </c>
      <c r="G149" t="str">
        <f t="shared" si="30"/>
        <v>354 p.</v>
      </c>
      <c r="H149" s="1">
        <v>19</v>
      </c>
      <c r="I149">
        <v>2019</v>
      </c>
      <c r="J149" t="str">
        <f t="shared" si="24"/>
        <v>2: Fiction</v>
      </c>
      <c r="L149" t="s">
        <v>2395</v>
      </c>
      <c r="M149" t="s">
        <v>28</v>
      </c>
      <c r="N149" t="s">
        <v>2404</v>
      </c>
      <c r="O149">
        <v>6</v>
      </c>
      <c r="P149" s="2">
        <v>43768</v>
      </c>
      <c r="Q149" s="1">
        <v>34</v>
      </c>
      <c r="R149" t="s">
        <v>2490</v>
      </c>
      <c r="S149">
        <v>1108811440</v>
      </c>
    </row>
    <row r="150" spans="1:19" x14ac:dyDescent="0.2">
      <c r="A150" t="str">
        <f t="shared" si="25"/>
        <v>Adult Fiction</v>
      </c>
      <c r="B150" t="str">
        <f t="shared" si="26"/>
        <v>NEW F CHILD</v>
      </c>
      <c r="C150" t="str">
        <f t="shared" si="27"/>
        <v>Blue moon: a Jack Reacher novel</v>
      </c>
      <c r="D150">
        <v>358840</v>
      </c>
      <c r="E150" t="str">
        <f t="shared" si="28"/>
        <v>Child, Lee</v>
      </c>
      <c r="F150" t="str">
        <f t="shared" si="29"/>
        <v>Jack Reacher series (24)</v>
      </c>
      <c r="G150" t="str">
        <f t="shared" si="30"/>
        <v>354 p.</v>
      </c>
      <c r="H150" s="1">
        <v>19</v>
      </c>
      <c r="I150">
        <v>2019</v>
      </c>
      <c r="J150" t="str">
        <f t="shared" si="24"/>
        <v>2: Fiction</v>
      </c>
      <c r="L150" t="s">
        <v>2395</v>
      </c>
      <c r="M150" t="s">
        <v>28</v>
      </c>
      <c r="N150" t="s">
        <v>2404</v>
      </c>
      <c r="O150">
        <v>8</v>
      </c>
      <c r="P150" s="2">
        <v>43768</v>
      </c>
      <c r="Q150" s="1">
        <v>34</v>
      </c>
      <c r="R150" t="s">
        <v>2490</v>
      </c>
      <c r="S150">
        <v>1108811440</v>
      </c>
    </row>
    <row r="151" spans="1:19" x14ac:dyDescent="0.2">
      <c r="A151" t="str">
        <f t="shared" si="25"/>
        <v>Adult Fiction</v>
      </c>
      <c r="B151" t="str">
        <f t="shared" si="26"/>
        <v>NEW F CHILD</v>
      </c>
      <c r="C151" t="str">
        <f t="shared" si="27"/>
        <v>Blue moon: a Jack Reacher novel</v>
      </c>
      <c r="D151">
        <v>358841</v>
      </c>
      <c r="E151" t="str">
        <f t="shared" si="28"/>
        <v>Child, Lee</v>
      </c>
      <c r="F151" t="str">
        <f t="shared" si="29"/>
        <v>Jack Reacher series (24)</v>
      </c>
      <c r="G151" t="str">
        <f t="shared" si="30"/>
        <v>354 p.</v>
      </c>
      <c r="H151" s="1">
        <v>19</v>
      </c>
      <c r="I151">
        <v>2019</v>
      </c>
      <c r="J151" t="str">
        <f t="shared" si="24"/>
        <v>2: Fiction</v>
      </c>
      <c r="L151" t="s">
        <v>2395</v>
      </c>
      <c r="M151" t="s">
        <v>28</v>
      </c>
      <c r="N151" t="s">
        <v>2404</v>
      </c>
      <c r="O151">
        <v>6</v>
      </c>
      <c r="P151" s="2">
        <v>43768</v>
      </c>
      <c r="Q151" s="1">
        <v>34</v>
      </c>
      <c r="R151" t="s">
        <v>2490</v>
      </c>
      <c r="S151">
        <v>1108811440</v>
      </c>
    </row>
    <row r="152" spans="1:19" x14ac:dyDescent="0.2">
      <c r="A152" t="str">
        <f t="shared" si="25"/>
        <v>Adult Fiction</v>
      </c>
      <c r="B152" t="str">
        <f t="shared" si="26"/>
        <v>NEW F CHILD</v>
      </c>
      <c r="C152" t="str">
        <f t="shared" si="27"/>
        <v>Blue moon: a Jack Reacher novel</v>
      </c>
      <c r="D152">
        <v>358842</v>
      </c>
      <c r="E152" t="str">
        <f t="shared" si="28"/>
        <v>Child, Lee</v>
      </c>
      <c r="F152" t="str">
        <f t="shared" si="29"/>
        <v>Jack Reacher series (24)</v>
      </c>
      <c r="G152" t="str">
        <f t="shared" si="30"/>
        <v>354 p.</v>
      </c>
      <c r="H152" s="1">
        <v>19</v>
      </c>
      <c r="I152">
        <v>2019</v>
      </c>
      <c r="J152" t="str">
        <f t="shared" si="24"/>
        <v>2: Fiction</v>
      </c>
      <c r="L152" t="s">
        <v>2403</v>
      </c>
      <c r="M152" t="s">
        <v>28</v>
      </c>
      <c r="N152" t="s">
        <v>2404</v>
      </c>
      <c r="O152">
        <v>7</v>
      </c>
      <c r="P152" s="2">
        <v>43768</v>
      </c>
      <c r="Q152" s="1">
        <v>34</v>
      </c>
      <c r="R152" t="s">
        <v>2490</v>
      </c>
      <c r="S152">
        <v>1108811440</v>
      </c>
    </row>
    <row r="153" spans="1:19" x14ac:dyDescent="0.2">
      <c r="A153" t="str">
        <f t="shared" si="25"/>
        <v>Adult Fiction</v>
      </c>
      <c r="B153" t="str">
        <f t="shared" si="26"/>
        <v>NEW F CHILD</v>
      </c>
      <c r="C153" t="str">
        <f t="shared" si="27"/>
        <v>Blue moon: a Jack Reacher novel</v>
      </c>
      <c r="D153">
        <v>358843</v>
      </c>
      <c r="E153" t="str">
        <f t="shared" si="28"/>
        <v>Child, Lee</v>
      </c>
      <c r="F153" t="str">
        <f t="shared" si="29"/>
        <v>Jack Reacher series (24)</v>
      </c>
      <c r="G153" t="str">
        <f t="shared" si="30"/>
        <v>354 p.</v>
      </c>
      <c r="H153" s="1">
        <v>19</v>
      </c>
      <c r="I153">
        <v>2019</v>
      </c>
      <c r="J153" t="str">
        <f t="shared" si="24"/>
        <v>2: Fiction</v>
      </c>
      <c r="L153" t="s">
        <v>2395</v>
      </c>
      <c r="M153" t="s">
        <v>28</v>
      </c>
      <c r="N153" t="s">
        <v>2404</v>
      </c>
      <c r="O153">
        <v>4</v>
      </c>
      <c r="P153" s="2">
        <v>43768</v>
      </c>
      <c r="Q153" s="1">
        <v>34</v>
      </c>
      <c r="R153" t="s">
        <v>2490</v>
      </c>
      <c r="S153">
        <v>1108811440</v>
      </c>
    </row>
    <row r="154" spans="1:19" x14ac:dyDescent="0.2">
      <c r="A154" t="str">
        <f t="shared" si="25"/>
        <v>Adult Fiction</v>
      </c>
      <c r="B154" t="str">
        <f t="shared" si="26"/>
        <v>NEW F CHILD</v>
      </c>
      <c r="C154" t="str">
        <f t="shared" si="27"/>
        <v>Blue moon: a Jack Reacher novel</v>
      </c>
      <c r="D154">
        <v>358844</v>
      </c>
      <c r="E154" t="str">
        <f t="shared" si="28"/>
        <v>Child, Lee</v>
      </c>
      <c r="F154" t="str">
        <f t="shared" si="29"/>
        <v>Jack Reacher series (24)</v>
      </c>
      <c r="G154" t="str">
        <f t="shared" si="30"/>
        <v>354 p.</v>
      </c>
      <c r="H154" s="1">
        <v>19</v>
      </c>
      <c r="I154">
        <v>2019</v>
      </c>
      <c r="J154" t="str">
        <f t="shared" si="24"/>
        <v>2: Fiction</v>
      </c>
      <c r="L154" t="s">
        <v>2395</v>
      </c>
      <c r="M154" t="s">
        <v>28</v>
      </c>
      <c r="N154" t="s">
        <v>2404</v>
      </c>
      <c r="O154">
        <v>8</v>
      </c>
      <c r="P154" s="2">
        <v>43768</v>
      </c>
      <c r="Q154" s="1">
        <v>34</v>
      </c>
      <c r="R154" t="s">
        <v>2490</v>
      </c>
      <c r="S154">
        <v>1108811440</v>
      </c>
    </row>
    <row r="155" spans="1:19" x14ac:dyDescent="0.2">
      <c r="A155" t="str">
        <f t="shared" si="25"/>
        <v>Adult Fiction</v>
      </c>
      <c r="B155" t="str">
        <f t="shared" si="26"/>
        <v>NEW F CHILD</v>
      </c>
      <c r="C155" t="str">
        <f t="shared" si="27"/>
        <v>Blue moon: a Jack Reacher novel</v>
      </c>
      <c r="D155">
        <v>358845</v>
      </c>
      <c r="E155" t="str">
        <f t="shared" si="28"/>
        <v>Child, Lee</v>
      </c>
      <c r="F155" t="str">
        <f t="shared" si="29"/>
        <v>Jack Reacher series (24)</v>
      </c>
      <c r="G155" t="str">
        <f t="shared" si="30"/>
        <v>354 p.</v>
      </c>
      <c r="H155" s="1">
        <v>19</v>
      </c>
      <c r="I155">
        <v>2019</v>
      </c>
      <c r="J155" t="str">
        <f t="shared" si="24"/>
        <v>2: Fiction</v>
      </c>
      <c r="L155" t="s">
        <v>2403</v>
      </c>
      <c r="M155" t="s">
        <v>28</v>
      </c>
      <c r="N155" t="s">
        <v>2404</v>
      </c>
      <c r="O155">
        <v>5</v>
      </c>
      <c r="P155" s="2">
        <v>43768</v>
      </c>
      <c r="Q155" s="1">
        <v>34</v>
      </c>
      <c r="R155" t="s">
        <v>2490</v>
      </c>
      <c r="S155">
        <v>1108811440</v>
      </c>
    </row>
    <row r="156" spans="1:19" x14ac:dyDescent="0.2">
      <c r="A156" t="str">
        <f t="shared" si="25"/>
        <v>Adult Fiction</v>
      </c>
      <c r="B156" t="str">
        <f t="shared" si="26"/>
        <v>NEW F CHILD</v>
      </c>
      <c r="C156" t="str">
        <f t="shared" si="27"/>
        <v>Blue moon: a Jack Reacher novel</v>
      </c>
      <c r="D156">
        <v>358846</v>
      </c>
      <c r="E156" t="str">
        <f t="shared" si="28"/>
        <v>Child, Lee</v>
      </c>
      <c r="F156" t="str">
        <f t="shared" si="29"/>
        <v>Jack Reacher series (24)</v>
      </c>
      <c r="G156" t="str">
        <f t="shared" si="30"/>
        <v>354 p.</v>
      </c>
      <c r="H156" s="1">
        <v>19</v>
      </c>
      <c r="I156">
        <v>2019</v>
      </c>
      <c r="J156" t="str">
        <f t="shared" si="24"/>
        <v>2: Fiction</v>
      </c>
      <c r="L156" t="s">
        <v>2403</v>
      </c>
      <c r="M156" t="s">
        <v>28</v>
      </c>
      <c r="N156" t="s">
        <v>2415</v>
      </c>
      <c r="O156">
        <v>5</v>
      </c>
      <c r="P156" s="2">
        <v>43768</v>
      </c>
      <c r="Q156" s="1">
        <v>34</v>
      </c>
      <c r="R156" t="s">
        <v>2490</v>
      </c>
      <c r="S156">
        <v>1108811440</v>
      </c>
    </row>
    <row r="157" spans="1:19" x14ac:dyDescent="0.2">
      <c r="A157" t="str">
        <f t="shared" si="25"/>
        <v>Adult Fiction</v>
      </c>
      <c r="B157" t="str">
        <f t="shared" si="26"/>
        <v>NEW F CHILD</v>
      </c>
      <c r="C157" t="str">
        <f t="shared" si="27"/>
        <v>Blue moon: a Jack Reacher novel</v>
      </c>
      <c r="D157">
        <v>358847</v>
      </c>
      <c r="E157" t="str">
        <f t="shared" si="28"/>
        <v>Child, Lee</v>
      </c>
      <c r="F157" t="str">
        <f t="shared" si="29"/>
        <v>Jack Reacher series (24)</v>
      </c>
      <c r="G157" t="str">
        <f t="shared" si="30"/>
        <v>354 p.</v>
      </c>
      <c r="H157" s="1">
        <v>19</v>
      </c>
      <c r="I157">
        <v>2019</v>
      </c>
      <c r="J157" t="str">
        <f t="shared" si="24"/>
        <v>2: Fiction</v>
      </c>
      <c r="L157" t="s">
        <v>2395</v>
      </c>
      <c r="M157" t="s">
        <v>28</v>
      </c>
      <c r="N157" t="s">
        <v>2404</v>
      </c>
      <c r="O157">
        <v>8</v>
      </c>
      <c r="P157" s="2">
        <v>43768</v>
      </c>
      <c r="Q157" s="1">
        <v>34</v>
      </c>
      <c r="R157" t="s">
        <v>2490</v>
      </c>
      <c r="S157">
        <v>1108811440</v>
      </c>
    </row>
    <row r="158" spans="1:19" x14ac:dyDescent="0.2">
      <c r="A158" t="str">
        <f t="shared" si="25"/>
        <v>Adult Fiction</v>
      </c>
      <c r="B158" t="str">
        <f t="shared" si="26"/>
        <v>NEW F CHILD</v>
      </c>
      <c r="C158" t="str">
        <f t="shared" si="27"/>
        <v>Blue moon: a Jack Reacher novel</v>
      </c>
      <c r="D158">
        <v>358848</v>
      </c>
      <c r="E158" t="str">
        <f t="shared" si="28"/>
        <v>Child, Lee</v>
      </c>
      <c r="F158" t="str">
        <f t="shared" si="29"/>
        <v>Jack Reacher series (24)</v>
      </c>
      <c r="G158" t="str">
        <f t="shared" si="30"/>
        <v>354 p.</v>
      </c>
      <c r="H158" s="1">
        <v>19</v>
      </c>
      <c r="I158">
        <v>2019</v>
      </c>
      <c r="J158" t="str">
        <f t="shared" si="24"/>
        <v>2: Fiction</v>
      </c>
      <c r="L158" t="s">
        <v>2395</v>
      </c>
      <c r="M158" t="s">
        <v>28</v>
      </c>
      <c r="N158" t="s">
        <v>2404</v>
      </c>
      <c r="O158">
        <v>7</v>
      </c>
      <c r="P158" s="2">
        <v>43768</v>
      </c>
      <c r="Q158" s="1">
        <v>34</v>
      </c>
      <c r="R158" t="s">
        <v>2490</v>
      </c>
      <c r="S158">
        <v>1108811440</v>
      </c>
    </row>
    <row r="159" spans="1:19" x14ac:dyDescent="0.2">
      <c r="A159" t="str">
        <f t="shared" si="25"/>
        <v>Adult Fiction</v>
      </c>
      <c r="B159" t="str">
        <f>"NEW F CHRIS"</f>
        <v>NEW F CHRIS</v>
      </c>
      <c r="C159" t="str">
        <f>"Not the girl you marry"</f>
        <v>Not the girl you marry</v>
      </c>
      <c r="D159">
        <v>359242</v>
      </c>
      <c r="E159" t="str">
        <f>"Christopher, Andie J"</f>
        <v>Christopher, Andie J</v>
      </c>
      <c r="G159" t="str">
        <f>"ix, 320 pages, 21 cm"</f>
        <v>ix, 320 pages, 21 cm</v>
      </c>
      <c r="H159" s="1">
        <v>19</v>
      </c>
      <c r="I159">
        <v>2019</v>
      </c>
      <c r="J159" t="str">
        <f t="shared" si="24"/>
        <v>2: Fiction</v>
      </c>
      <c r="L159" t="s">
        <v>2395</v>
      </c>
      <c r="M159" t="s">
        <v>28</v>
      </c>
      <c r="N159" t="s">
        <v>2404</v>
      </c>
      <c r="O159">
        <v>4</v>
      </c>
      <c r="P159" s="2">
        <v>43782</v>
      </c>
      <c r="Q159" s="1">
        <v>21</v>
      </c>
      <c r="R159" t="s">
        <v>2491</v>
      </c>
      <c r="S159">
        <v>1083153445</v>
      </c>
    </row>
    <row r="160" spans="1:19" x14ac:dyDescent="0.2">
      <c r="A160" t="str">
        <f t="shared" si="25"/>
        <v>Adult Fiction</v>
      </c>
      <c r="B160" t="str">
        <f t="shared" ref="B160:B166" si="31">"NEW F CLANC"</f>
        <v>NEW F CLANC</v>
      </c>
      <c r="C160" t="str">
        <f t="shared" ref="C160:C165" si="32">"Tom Clancy's code of honor"</f>
        <v>Tom Clancy's code of honor</v>
      </c>
      <c r="D160">
        <v>359332</v>
      </c>
      <c r="E160" t="str">
        <f t="shared" ref="E160:E166" si="33">"Clancy, Tom"</f>
        <v>Clancy, Tom</v>
      </c>
      <c r="F160" t="str">
        <f t="shared" ref="F160:F165" si="34">"Jack Ryan series (28)"</f>
        <v>Jack Ryan series (28)</v>
      </c>
      <c r="G160" t="str">
        <f t="shared" ref="G160:G165" si="35">"501 pages"</f>
        <v>501 pages</v>
      </c>
      <c r="H160" s="1">
        <v>19</v>
      </c>
      <c r="I160">
        <v>2019</v>
      </c>
      <c r="J160" t="str">
        <f t="shared" si="24"/>
        <v>2: Fiction</v>
      </c>
      <c r="L160" t="s">
        <v>2395</v>
      </c>
      <c r="M160" t="s">
        <v>28</v>
      </c>
      <c r="N160" t="s">
        <v>2404</v>
      </c>
      <c r="O160">
        <v>5</v>
      </c>
      <c r="P160" s="2">
        <v>43788</v>
      </c>
      <c r="Q160" s="1">
        <v>35</v>
      </c>
      <c r="R160" t="s">
        <v>2492</v>
      </c>
    </row>
    <row r="161" spans="1:19" x14ac:dyDescent="0.2">
      <c r="A161" t="str">
        <f t="shared" si="25"/>
        <v>Adult Fiction</v>
      </c>
      <c r="B161" t="str">
        <f t="shared" si="31"/>
        <v>NEW F CLANC</v>
      </c>
      <c r="C161" t="str">
        <f t="shared" si="32"/>
        <v>Tom Clancy's code of honor</v>
      </c>
      <c r="D161">
        <v>359333</v>
      </c>
      <c r="E161" t="str">
        <f t="shared" si="33"/>
        <v>Clancy, Tom</v>
      </c>
      <c r="F161" t="str">
        <f t="shared" si="34"/>
        <v>Jack Ryan series (28)</v>
      </c>
      <c r="G161" t="str">
        <f t="shared" si="35"/>
        <v>501 pages</v>
      </c>
      <c r="H161" s="1">
        <v>19</v>
      </c>
      <c r="I161">
        <v>2019</v>
      </c>
      <c r="J161" t="str">
        <f t="shared" si="24"/>
        <v>2: Fiction</v>
      </c>
      <c r="L161" t="s">
        <v>2403</v>
      </c>
      <c r="M161" t="s">
        <v>28</v>
      </c>
      <c r="N161" t="s">
        <v>2404</v>
      </c>
      <c r="O161">
        <v>2</v>
      </c>
      <c r="P161" s="2">
        <v>43788</v>
      </c>
      <c r="Q161" s="1">
        <v>35</v>
      </c>
      <c r="R161" t="s">
        <v>2492</v>
      </c>
    </row>
    <row r="162" spans="1:19" x14ac:dyDescent="0.2">
      <c r="A162" t="str">
        <f t="shared" si="25"/>
        <v>Adult Fiction</v>
      </c>
      <c r="B162" t="str">
        <f t="shared" si="31"/>
        <v>NEW F CLANC</v>
      </c>
      <c r="C162" t="str">
        <f t="shared" si="32"/>
        <v>Tom Clancy's code of honor</v>
      </c>
      <c r="D162">
        <v>359334</v>
      </c>
      <c r="E162" t="str">
        <f t="shared" si="33"/>
        <v>Clancy, Tom</v>
      </c>
      <c r="F162" t="str">
        <f t="shared" si="34"/>
        <v>Jack Ryan series (28)</v>
      </c>
      <c r="G162" t="str">
        <f t="shared" si="35"/>
        <v>501 pages</v>
      </c>
      <c r="H162" s="1">
        <v>19</v>
      </c>
      <c r="I162">
        <v>2019</v>
      </c>
      <c r="J162" t="str">
        <f t="shared" si="24"/>
        <v>2: Fiction</v>
      </c>
      <c r="L162" t="s">
        <v>2395</v>
      </c>
      <c r="M162" t="s">
        <v>28</v>
      </c>
      <c r="N162" t="s">
        <v>2404</v>
      </c>
      <c r="O162">
        <v>3</v>
      </c>
      <c r="P162" s="2">
        <v>43788</v>
      </c>
      <c r="Q162" s="1">
        <v>35</v>
      </c>
      <c r="R162" t="s">
        <v>2492</v>
      </c>
    </row>
    <row r="163" spans="1:19" x14ac:dyDescent="0.2">
      <c r="A163" t="str">
        <f t="shared" si="25"/>
        <v>Adult Fiction</v>
      </c>
      <c r="B163" t="str">
        <f t="shared" si="31"/>
        <v>NEW F CLANC</v>
      </c>
      <c r="C163" t="str">
        <f t="shared" si="32"/>
        <v>Tom Clancy's code of honor</v>
      </c>
      <c r="D163">
        <v>359335</v>
      </c>
      <c r="E163" t="str">
        <f t="shared" si="33"/>
        <v>Clancy, Tom</v>
      </c>
      <c r="F163" t="str">
        <f t="shared" si="34"/>
        <v>Jack Ryan series (28)</v>
      </c>
      <c r="G163" t="str">
        <f t="shared" si="35"/>
        <v>501 pages</v>
      </c>
      <c r="H163" s="1">
        <v>19</v>
      </c>
      <c r="I163">
        <v>2019</v>
      </c>
      <c r="J163" t="str">
        <f t="shared" si="24"/>
        <v>2: Fiction</v>
      </c>
      <c r="L163" t="s">
        <v>2395</v>
      </c>
      <c r="M163" t="s">
        <v>28</v>
      </c>
      <c r="N163" t="s">
        <v>2404</v>
      </c>
      <c r="O163">
        <v>4</v>
      </c>
      <c r="P163" s="2">
        <v>43788</v>
      </c>
      <c r="Q163" s="1">
        <v>35</v>
      </c>
      <c r="R163" t="s">
        <v>2492</v>
      </c>
    </row>
    <row r="164" spans="1:19" x14ac:dyDescent="0.2">
      <c r="A164" t="str">
        <f t="shared" si="25"/>
        <v>Adult Fiction</v>
      </c>
      <c r="B164" t="str">
        <f t="shared" si="31"/>
        <v>NEW F CLANC</v>
      </c>
      <c r="C164" t="str">
        <f t="shared" si="32"/>
        <v>Tom Clancy's code of honor</v>
      </c>
      <c r="D164">
        <v>359336</v>
      </c>
      <c r="E164" t="str">
        <f t="shared" si="33"/>
        <v>Clancy, Tom</v>
      </c>
      <c r="F164" t="str">
        <f t="shared" si="34"/>
        <v>Jack Ryan series (28)</v>
      </c>
      <c r="G164" t="str">
        <f t="shared" si="35"/>
        <v>501 pages</v>
      </c>
      <c r="H164" s="1">
        <v>19</v>
      </c>
      <c r="I164">
        <v>2019</v>
      </c>
      <c r="J164" t="str">
        <f t="shared" si="24"/>
        <v>2: Fiction</v>
      </c>
      <c r="L164" t="s">
        <v>2403</v>
      </c>
      <c r="M164" t="s">
        <v>28</v>
      </c>
      <c r="N164" t="s">
        <v>2404</v>
      </c>
      <c r="O164">
        <v>3</v>
      </c>
      <c r="P164" s="2">
        <v>43788</v>
      </c>
      <c r="Q164" s="1">
        <v>35</v>
      </c>
      <c r="R164" t="s">
        <v>2492</v>
      </c>
    </row>
    <row r="165" spans="1:19" x14ac:dyDescent="0.2">
      <c r="A165" t="str">
        <f t="shared" si="25"/>
        <v>Adult Fiction</v>
      </c>
      <c r="B165" t="str">
        <f t="shared" si="31"/>
        <v>NEW F CLANC</v>
      </c>
      <c r="C165" t="str">
        <f t="shared" si="32"/>
        <v>Tom Clancy's code of honor</v>
      </c>
      <c r="D165">
        <v>359337</v>
      </c>
      <c r="E165" t="str">
        <f t="shared" si="33"/>
        <v>Clancy, Tom</v>
      </c>
      <c r="F165" t="str">
        <f t="shared" si="34"/>
        <v>Jack Ryan series (28)</v>
      </c>
      <c r="G165" t="str">
        <f t="shared" si="35"/>
        <v>501 pages</v>
      </c>
      <c r="H165" s="1">
        <v>19</v>
      </c>
      <c r="I165">
        <v>2019</v>
      </c>
      <c r="J165" t="str">
        <f t="shared" si="24"/>
        <v>2: Fiction</v>
      </c>
      <c r="L165" t="s">
        <v>2395</v>
      </c>
      <c r="M165" t="s">
        <v>28</v>
      </c>
      <c r="N165" t="s">
        <v>2404</v>
      </c>
      <c r="O165">
        <v>3</v>
      </c>
      <c r="P165" s="2">
        <v>43788</v>
      </c>
      <c r="Q165" s="1">
        <v>35</v>
      </c>
      <c r="R165" t="s">
        <v>2492</v>
      </c>
    </row>
    <row r="166" spans="1:19" x14ac:dyDescent="0.2">
      <c r="A166" t="str">
        <f t="shared" si="25"/>
        <v>Adult Fiction</v>
      </c>
      <c r="B166" t="str">
        <f t="shared" si="31"/>
        <v>NEW F CLANC</v>
      </c>
      <c r="C166" t="str">
        <f>"Tom Clancy's enemy contact"</f>
        <v>Tom Clancy's enemy contact</v>
      </c>
      <c r="D166">
        <v>355377</v>
      </c>
      <c r="E166" t="str">
        <f t="shared" si="33"/>
        <v>Clancy, Tom</v>
      </c>
      <c r="F166" t="str">
        <f>"Jack Ryan series (27)"</f>
        <v>Jack Ryan series (27)</v>
      </c>
      <c r="G166" t="str">
        <f>"pages cm"</f>
        <v>pages cm</v>
      </c>
      <c r="H166" s="1">
        <v>19</v>
      </c>
      <c r="I166">
        <v>2019</v>
      </c>
      <c r="J166" t="str">
        <f t="shared" si="24"/>
        <v>2: Fiction</v>
      </c>
      <c r="L166" t="s">
        <v>2395</v>
      </c>
      <c r="M166" t="s">
        <v>28</v>
      </c>
      <c r="N166" t="s">
        <v>2396</v>
      </c>
      <c r="O166">
        <v>11</v>
      </c>
      <c r="P166" s="2">
        <v>43628</v>
      </c>
      <c r="Q166" s="1">
        <v>34</v>
      </c>
      <c r="S166">
        <v>1097365023</v>
      </c>
    </row>
    <row r="167" spans="1:19" x14ac:dyDescent="0.2">
      <c r="A167" t="str">
        <f t="shared" si="25"/>
        <v>Adult Fiction</v>
      </c>
      <c r="B167" t="str">
        <f>"NEW F CLARE"</f>
        <v>NEW F CLARE</v>
      </c>
      <c r="C167" t="str">
        <f>"City of Pearl"</f>
        <v>City of Pearl</v>
      </c>
      <c r="D167">
        <v>358265</v>
      </c>
      <c r="E167" t="str">
        <f>"Clare, Alys."</f>
        <v>Clare, Alys.</v>
      </c>
      <c r="F167" t="str">
        <f>"Aelf Fen Mystery series (9)"</f>
        <v>Aelf Fen Mystery series (9)</v>
      </c>
      <c r="G167" t="str">
        <f>"248 p."</f>
        <v>248 p.</v>
      </c>
      <c r="H167" s="1">
        <v>19</v>
      </c>
      <c r="I167">
        <v>2019</v>
      </c>
      <c r="J167" t="str">
        <f t="shared" si="24"/>
        <v>2: Fiction</v>
      </c>
      <c r="L167" t="s">
        <v>2403</v>
      </c>
      <c r="M167" t="s">
        <v>28</v>
      </c>
      <c r="N167" t="s">
        <v>2404</v>
      </c>
      <c r="O167">
        <v>4</v>
      </c>
      <c r="P167" s="2">
        <v>43745</v>
      </c>
      <c r="Q167" s="1">
        <v>34</v>
      </c>
      <c r="R167" t="s">
        <v>2493</v>
      </c>
      <c r="S167">
        <v>1091844522</v>
      </c>
    </row>
    <row r="168" spans="1:19" x14ac:dyDescent="0.2">
      <c r="A168" t="str">
        <f t="shared" si="25"/>
        <v>Adult Fiction</v>
      </c>
      <c r="B168" t="str">
        <f t="shared" ref="B168:B173" si="36">"NEW F CLARK"</f>
        <v>NEW F CLARK</v>
      </c>
      <c r="C168" t="str">
        <f t="shared" ref="C168:C173" si="37">"Kiss the girls and make them cry: a novel"</f>
        <v>Kiss the girls and make them cry: a novel</v>
      </c>
      <c r="D168">
        <v>358983</v>
      </c>
      <c r="E168" t="str">
        <f t="shared" ref="E168:E173" si="38">"Clark, Mary Higgins"</f>
        <v>Clark, Mary Higgins</v>
      </c>
      <c r="G168" t="str">
        <f t="shared" ref="G168:G173" si="39">"384 pages, 24 cm"</f>
        <v>384 pages, 24 cm</v>
      </c>
      <c r="H168" s="1">
        <v>19</v>
      </c>
      <c r="I168">
        <v>2019</v>
      </c>
      <c r="J168" t="str">
        <f t="shared" si="24"/>
        <v>2: Fiction</v>
      </c>
      <c r="L168" t="s">
        <v>2395</v>
      </c>
      <c r="M168" t="s">
        <v>28</v>
      </c>
      <c r="N168" t="s">
        <v>2404</v>
      </c>
      <c r="O168">
        <v>6</v>
      </c>
      <c r="P168" s="2">
        <v>43780</v>
      </c>
      <c r="Q168" s="1">
        <v>32</v>
      </c>
      <c r="R168" t="s">
        <v>2494</v>
      </c>
    </row>
    <row r="169" spans="1:19" x14ac:dyDescent="0.2">
      <c r="A169" t="str">
        <f t="shared" si="25"/>
        <v>Adult Fiction</v>
      </c>
      <c r="B169" t="str">
        <f t="shared" si="36"/>
        <v>NEW F CLARK</v>
      </c>
      <c r="C169" t="str">
        <f t="shared" si="37"/>
        <v>Kiss the girls and make them cry: a novel</v>
      </c>
      <c r="D169">
        <v>358984</v>
      </c>
      <c r="E169" t="str">
        <f t="shared" si="38"/>
        <v>Clark, Mary Higgins</v>
      </c>
      <c r="G169" t="str">
        <f t="shared" si="39"/>
        <v>384 pages, 24 cm</v>
      </c>
      <c r="H169" s="1">
        <v>19</v>
      </c>
      <c r="I169">
        <v>2019</v>
      </c>
      <c r="J169" t="str">
        <f t="shared" si="24"/>
        <v>2: Fiction</v>
      </c>
      <c r="L169" t="s">
        <v>2403</v>
      </c>
      <c r="M169" t="s">
        <v>28</v>
      </c>
      <c r="N169" t="s">
        <v>2404</v>
      </c>
      <c r="O169">
        <v>5</v>
      </c>
      <c r="P169" s="2">
        <v>43780</v>
      </c>
      <c r="Q169" s="1">
        <v>32</v>
      </c>
      <c r="R169" t="s">
        <v>2494</v>
      </c>
    </row>
    <row r="170" spans="1:19" x14ac:dyDescent="0.2">
      <c r="A170" t="str">
        <f t="shared" si="25"/>
        <v>Adult Fiction</v>
      </c>
      <c r="B170" t="str">
        <f t="shared" si="36"/>
        <v>NEW F CLARK</v>
      </c>
      <c r="C170" t="str">
        <f t="shared" si="37"/>
        <v>Kiss the girls and make them cry: a novel</v>
      </c>
      <c r="D170">
        <v>358985</v>
      </c>
      <c r="E170" t="str">
        <f t="shared" si="38"/>
        <v>Clark, Mary Higgins</v>
      </c>
      <c r="G170" t="str">
        <f t="shared" si="39"/>
        <v>384 pages, 24 cm</v>
      </c>
      <c r="H170" s="1">
        <v>19</v>
      </c>
      <c r="I170">
        <v>2019</v>
      </c>
      <c r="J170" t="str">
        <f t="shared" si="24"/>
        <v>2: Fiction</v>
      </c>
      <c r="L170" t="s">
        <v>2403</v>
      </c>
      <c r="M170" t="s">
        <v>28</v>
      </c>
      <c r="N170" t="s">
        <v>2396</v>
      </c>
      <c r="O170">
        <v>5</v>
      </c>
      <c r="P170" s="2">
        <v>43780</v>
      </c>
      <c r="Q170" s="1">
        <v>32</v>
      </c>
      <c r="R170" t="s">
        <v>2494</v>
      </c>
    </row>
    <row r="171" spans="1:19" x14ac:dyDescent="0.2">
      <c r="A171" t="str">
        <f t="shared" si="25"/>
        <v>Adult Fiction</v>
      </c>
      <c r="B171" t="str">
        <f t="shared" si="36"/>
        <v>NEW F CLARK</v>
      </c>
      <c r="C171" t="str">
        <f t="shared" si="37"/>
        <v>Kiss the girls and make them cry: a novel</v>
      </c>
      <c r="D171">
        <v>358986</v>
      </c>
      <c r="E171" t="str">
        <f t="shared" si="38"/>
        <v>Clark, Mary Higgins</v>
      </c>
      <c r="G171" t="str">
        <f t="shared" si="39"/>
        <v>384 pages, 24 cm</v>
      </c>
      <c r="H171" s="1">
        <v>19</v>
      </c>
      <c r="I171">
        <v>2019</v>
      </c>
      <c r="J171" t="str">
        <f t="shared" si="24"/>
        <v>2: Fiction</v>
      </c>
      <c r="L171" t="s">
        <v>2395</v>
      </c>
      <c r="M171" t="s">
        <v>28</v>
      </c>
      <c r="N171" t="s">
        <v>2404</v>
      </c>
      <c r="O171">
        <v>5</v>
      </c>
      <c r="P171" s="2">
        <v>43780</v>
      </c>
      <c r="Q171" s="1">
        <v>32</v>
      </c>
      <c r="R171" t="s">
        <v>2494</v>
      </c>
    </row>
    <row r="172" spans="1:19" x14ac:dyDescent="0.2">
      <c r="A172" t="str">
        <f t="shared" si="25"/>
        <v>Adult Fiction</v>
      </c>
      <c r="B172" t="str">
        <f t="shared" si="36"/>
        <v>NEW F CLARK</v>
      </c>
      <c r="C172" t="str">
        <f t="shared" si="37"/>
        <v>Kiss the girls and make them cry: a novel</v>
      </c>
      <c r="D172">
        <v>358987</v>
      </c>
      <c r="E172" t="str">
        <f t="shared" si="38"/>
        <v>Clark, Mary Higgins</v>
      </c>
      <c r="G172" t="str">
        <f t="shared" si="39"/>
        <v>384 pages, 24 cm</v>
      </c>
      <c r="H172" s="1">
        <v>19</v>
      </c>
      <c r="I172">
        <v>2019</v>
      </c>
      <c r="J172" t="str">
        <f t="shared" si="24"/>
        <v>2: Fiction</v>
      </c>
      <c r="L172" t="s">
        <v>2395</v>
      </c>
      <c r="M172" t="s">
        <v>28</v>
      </c>
      <c r="N172" t="s">
        <v>2404</v>
      </c>
      <c r="O172">
        <v>8</v>
      </c>
      <c r="P172" s="2">
        <v>43780</v>
      </c>
      <c r="Q172" s="1">
        <v>32</v>
      </c>
      <c r="R172" t="s">
        <v>2494</v>
      </c>
    </row>
    <row r="173" spans="1:19" x14ac:dyDescent="0.2">
      <c r="A173" t="str">
        <f t="shared" si="25"/>
        <v>Adult Fiction</v>
      </c>
      <c r="B173" t="str">
        <f t="shared" si="36"/>
        <v>NEW F CLARK</v>
      </c>
      <c r="C173" t="str">
        <f t="shared" si="37"/>
        <v>Kiss the girls and make them cry: a novel</v>
      </c>
      <c r="D173">
        <v>358989</v>
      </c>
      <c r="E173" t="str">
        <f t="shared" si="38"/>
        <v>Clark, Mary Higgins</v>
      </c>
      <c r="G173" t="str">
        <f t="shared" si="39"/>
        <v>384 pages, 24 cm</v>
      </c>
      <c r="H173" s="1">
        <v>19</v>
      </c>
      <c r="I173">
        <v>2019</v>
      </c>
      <c r="J173" t="str">
        <f t="shared" si="24"/>
        <v>2: Fiction</v>
      </c>
      <c r="L173" t="s">
        <v>2395</v>
      </c>
      <c r="M173" t="s">
        <v>28</v>
      </c>
      <c r="N173" t="s">
        <v>2396</v>
      </c>
      <c r="O173">
        <v>5</v>
      </c>
      <c r="P173" s="2">
        <v>43780</v>
      </c>
      <c r="Q173" s="1">
        <v>32</v>
      </c>
      <c r="R173" t="s">
        <v>2494</v>
      </c>
    </row>
    <row r="174" spans="1:19" x14ac:dyDescent="0.2">
      <c r="A174" t="str">
        <f t="shared" si="25"/>
        <v>Adult Fiction</v>
      </c>
      <c r="B174" t="str">
        <f>"NEW F CLAYB"</f>
        <v>NEW F CLAYB</v>
      </c>
      <c r="C174" t="str">
        <f>"Love lettering"</f>
        <v>Love lettering</v>
      </c>
      <c r="D174">
        <v>360646</v>
      </c>
      <c r="E174" t="str">
        <f>"Clayborn, Kate"</f>
        <v>Clayborn, Kate</v>
      </c>
      <c r="G174" t="str">
        <f>"307 pages, 21 cm"</f>
        <v>307 pages, 21 cm</v>
      </c>
      <c r="H174" s="1">
        <v>20</v>
      </c>
      <c r="I174">
        <v>2020</v>
      </c>
      <c r="J174" t="str">
        <f t="shared" si="24"/>
        <v>2: Fiction</v>
      </c>
      <c r="L174" t="s">
        <v>2395</v>
      </c>
      <c r="M174" t="s">
        <v>28</v>
      </c>
      <c r="N174" t="s">
        <v>2495</v>
      </c>
      <c r="O174">
        <v>0</v>
      </c>
      <c r="P174" s="2">
        <v>43859</v>
      </c>
      <c r="Q174" s="1">
        <v>21</v>
      </c>
      <c r="R174" t="s">
        <v>2496</v>
      </c>
      <c r="S174">
        <v>1131818820</v>
      </c>
    </row>
    <row r="175" spans="1:19" x14ac:dyDescent="0.2">
      <c r="A175" t="str">
        <f t="shared" si="25"/>
        <v>Adult Fiction</v>
      </c>
      <c r="B175" t="str">
        <f>"NEW F CLEET"</f>
        <v>NEW F CLEET</v>
      </c>
      <c r="C175" t="str">
        <f>"When we left Cuba"</f>
        <v>When we left Cuba</v>
      </c>
      <c r="D175">
        <v>356690</v>
      </c>
      <c r="E175" t="str">
        <f>"Cleeton, Chanel"</f>
        <v>Cleeton, Chanel</v>
      </c>
      <c r="G175" t="str">
        <f>"346 p., 21 cm"</f>
        <v>346 p., 21 cm</v>
      </c>
      <c r="H175" s="1">
        <v>19</v>
      </c>
      <c r="I175">
        <v>2019</v>
      </c>
      <c r="J175" t="str">
        <f t="shared" si="24"/>
        <v>2: Fiction</v>
      </c>
      <c r="L175" t="s">
        <v>2395</v>
      </c>
      <c r="M175" t="s">
        <v>28</v>
      </c>
      <c r="N175" t="s">
        <v>2404</v>
      </c>
      <c r="O175">
        <v>7</v>
      </c>
      <c r="P175" s="2">
        <v>43689</v>
      </c>
      <c r="Q175" s="1">
        <v>21</v>
      </c>
      <c r="R175" t="s">
        <v>2497</v>
      </c>
      <c r="S175">
        <v>1028583496</v>
      </c>
    </row>
    <row r="176" spans="1:19" x14ac:dyDescent="0.2">
      <c r="A176" t="str">
        <f t="shared" si="25"/>
        <v>Adult Fiction</v>
      </c>
      <c r="B176" t="str">
        <f>"NEW F CLEEV"</f>
        <v>NEW F CLEEV</v>
      </c>
      <c r="C176" t="str">
        <f>"The long call"</f>
        <v>The long call</v>
      </c>
      <c r="D176">
        <v>357254</v>
      </c>
      <c r="E176" t="str">
        <f>"Cleeves, Ann"</f>
        <v>Cleeves, Ann</v>
      </c>
      <c r="F176" t="str">
        <f>"Two Rivers series (1)"</f>
        <v>Two Rivers series (1)</v>
      </c>
      <c r="G176" t="str">
        <f>"374 pages, 25 cm, map"</f>
        <v>374 pages, 25 cm, map</v>
      </c>
      <c r="H176" s="1">
        <v>19</v>
      </c>
      <c r="I176">
        <v>2019</v>
      </c>
      <c r="J176" t="str">
        <f t="shared" si="24"/>
        <v>2: Fiction</v>
      </c>
      <c r="L176" t="s">
        <v>2403</v>
      </c>
      <c r="M176" t="s">
        <v>28</v>
      </c>
      <c r="N176" t="s">
        <v>2404</v>
      </c>
      <c r="O176">
        <v>9</v>
      </c>
      <c r="P176" s="2">
        <v>43711</v>
      </c>
      <c r="Q176" s="1">
        <v>32</v>
      </c>
      <c r="R176" t="s">
        <v>2498</v>
      </c>
      <c r="S176">
        <v>1098232790</v>
      </c>
    </row>
    <row r="177" spans="1:19" x14ac:dyDescent="0.2">
      <c r="A177" t="str">
        <f t="shared" si="25"/>
        <v>Adult Fiction</v>
      </c>
      <c r="B177" t="str">
        <f>"NEW F CLEEV"</f>
        <v>NEW F CLEEV</v>
      </c>
      <c r="C177" t="str">
        <f>"The long call"</f>
        <v>The long call</v>
      </c>
      <c r="D177">
        <v>357255</v>
      </c>
      <c r="E177" t="str">
        <f>"Cleeves, Ann"</f>
        <v>Cleeves, Ann</v>
      </c>
      <c r="F177" t="str">
        <f>"Two Rivers series (1)"</f>
        <v>Two Rivers series (1)</v>
      </c>
      <c r="G177" t="str">
        <f>"374 pages, 25 cm, map"</f>
        <v>374 pages, 25 cm, map</v>
      </c>
      <c r="H177" s="1">
        <v>19</v>
      </c>
      <c r="I177">
        <v>2019</v>
      </c>
      <c r="J177" t="str">
        <f t="shared" si="24"/>
        <v>2: Fiction</v>
      </c>
      <c r="L177" t="s">
        <v>2395</v>
      </c>
      <c r="M177" t="s">
        <v>28</v>
      </c>
      <c r="N177" t="s">
        <v>2404</v>
      </c>
      <c r="O177">
        <v>7</v>
      </c>
      <c r="P177" s="2">
        <v>43711</v>
      </c>
      <c r="Q177" s="1">
        <v>32</v>
      </c>
      <c r="R177" t="s">
        <v>2498</v>
      </c>
      <c r="S177">
        <v>1098232790</v>
      </c>
    </row>
    <row r="178" spans="1:19" x14ac:dyDescent="0.2">
      <c r="A178" t="str">
        <f t="shared" si="25"/>
        <v>Adult Fiction</v>
      </c>
      <c r="B178" t="str">
        <f>"NEW F CLEVE"</f>
        <v>NEW F CLEVE</v>
      </c>
      <c r="C178" t="str">
        <f>"Invitation to die"</f>
        <v>Invitation to die</v>
      </c>
      <c r="D178">
        <v>356663</v>
      </c>
      <c r="E178" t="str">
        <f>"Cleverly, Barbara."</f>
        <v>Cleverly, Barbara.</v>
      </c>
      <c r="F178" t="str">
        <f>"Inspector Redfyre series (2)"</f>
        <v>Inspector Redfyre series (2)</v>
      </c>
      <c r="G178" t="str">
        <f>"pages cm"</f>
        <v>pages cm</v>
      </c>
      <c r="H178" s="1">
        <v>19</v>
      </c>
      <c r="I178">
        <v>2019</v>
      </c>
      <c r="J178" t="str">
        <f t="shared" si="24"/>
        <v>2: Fiction</v>
      </c>
      <c r="L178" t="s">
        <v>2395</v>
      </c>
      <c r="M178" t="s">
        <v>28</v>
      </c>
      <c r="N178" t="s">
        <v>2396</v>
      </c>
      <c r="O178">
        <v>10</v>
      </c>
      <c r="P178" s="2">
        <v>43689</v>
      </c>
      <c r="Q178" s="1">
        <v>32</v>
      </c>
      <c r="R178" t="s">
        <v>2499</v>
      </c>
      <c r="S178">
        <v>1065788372</v>
      </c>
    </row>
    <row r="179" spans="1:19" x14ac:dyDescent="0.2">
      <c r="A179" t="str">
        <f t="shared" si="25"/>
        <v>Adult Fiction</v>
      </c>
      <c r="B179" t="str">
        <f>"NEW F CLINC"</f>
        <v>NEW F CLINC</v>
      </c>
      <c r="C179" t="str">
        <f>"Marley: a novel"</f>
        <v>Marley: a novel</v>
      </c>
      <c r="D179">
        <v>359032</v>
      </c>
      <c r="E179" t="str">
        <f>"Clinch, Jon"</f>
        <v>Clinch, Jon</v>
      </c>
      <c r="G179" t="str">
        <f>"288 pages, 24 cm"</f>
        <v>288 pages, 24 cm</v>
      </c>
      <c r="H179" s="1">
        <v>19</v>
      </c>
      <c r="I179">
        <v>2019</v>
      </c>
      <c r="J179" t="str">
        <f t="shared" si="24"/>
        <v>2: Fiction</v>
      </c>
      <c r="L179" t="s">
        <v>2395</v>
      </c>
      <c r="M179" t="s">
        <v>28</v>
      </c>
      <c r="N179" t="s">
        <v>2404</v>
      </c>
      <c r="O179">
        <v>2</v>
      </c>
      <c r="P179" s="2">
        <v>43776</v>
      </c>
      <c r="Q179" s="1">
        <v>32</v>
      </c>
      <c r="R179" t="s">
        <v>2500</v>
      </c>
      <c r="S179">
        <v>1085202497</v>
      </c>
    </row>
    <row r="180" spans="1:19" x14ac:dyDescent="0.2">
      <c r="A180" t="str">
        <f t="shared" si="25"/>
        <v>Adult Fiction</v>
      </c>
      <c r="B180" t="str">
        <f>"NEW F COATE"</f>
        <v>NEW F COATE</v>
      </c>
      <c r="C180" t="str">
        <f>"The water dancer: a novel"</f>
        <v>The water dancer: a novel</v>
      </c>
      <c r="D180">
        <v>357963</v>
      </c>
      <c r="E180" t="str">
        <f>"Coates, Ta-Nehisi"</f>
        <v>Coates, Ta-Nehisi</v>
      </c>
      <c r="G180" t="str">
        <f>"403 pages, 25 cm"</f>
        <v>403 pages, 25 cm</v>
      </c>
      <c r="H180" s="1">
        <v>19</v>
      </c>
      <c r="I180">
        <v>2019</v>
      </c>
      <c r="J180" t="str">
        <f t="shared" si="24"/>
        <v>2: Fiction</v>
      </c>
      <c r="L180" t="s">
        <v>2395</v>
      </c>
      <c r="M180" t="s">
        <v>28</v>
      </c>
      <c r="N180" t="s">
        <v>2404</v>
      </c>
      <c r="O180">
        <v>6</v>
      </c>
      <c r="P180" s="2">
        <v>43733</v>
      </c>
      <c r="Q180" s="1">
        <v>33</v>
      </c>
      <c r="R180" t="s">
        <v>2501</v>
      </c>
      <c r="S180">
        <v>1085585289</v>
      </c>
    </row>
    <row r="181" spans="1:19" x14ac:dyDescent="0.2">
      <c r="A181" t="str">
        <f t="shared" si="25"/>
        <v>Adult Fiction</v>
      </c>
      <c r="B181" t="str">
        <f>"NEW F COATE"</f>
        <v>NEW F COATE</v>
      </c>
      <c r="C181" t="str">
        <f>"The water dancer: a novel"</f>
        <v>The water dancer: a novel</v>
      </c>
      <c r="D181">
        <v>358357</v>
      </c>
      <c r="E181" t="str">
        <f>"Coates, Ta-Nehisi"</f>
        <v>Coates, Ta-Nehisi</v>
      </c>
      <c r="G181" t="str">
        <f>"403 pages, 25 cm"</f>
        <v>403 pages, 25 cm</v>
      </c>
      <c r="H181" s="1">
        <v>19</v>
      </c>
      <c r="I181">
        <v>2019</v>
      </c>
      <c r="J181" t="str">
        <f t="shared" si="24"/>
        <v>2: Fiction</v>
      </c>
      <c r="L181" t="s">
        <v>2395</v>
      </c>
      <c r="M181" t="s">
        <v>28</v>
      </c>
      <c r="N181" t="s">
        <v>2404</v>
      </c>
      <c r="O181">
        <v>7</v>
      </c>
      <c r="P181" s="2">
        <v>43749</v>
      </c>
      <c r="Q181" s="1">
        <v>33</v>
      </c>
      <c r="R181" t="s">
        <v>2501</v>
      </c>
      <c r="S181">
        <v>1085585289</v>
      </c>
    </row>
    <row r="182" spans="1:19" x14ac:dyDescent="0.2">
      <c r="A182" t="str">
        <f t="shared" si="25"/>
        <v>Adult Fiction</v>
      </c>
      <c r="B182" t="str">
        <f>"NEW F COATE"</f>
        <v>NEW F COATE</v>
      </c>
      <c r="C182" t="str">
        <f>"The water dancer: a novel"</f>
        <v>The water dancer: a novel</v>
      </c>
      <c r="D182">
        <v>358358</v>
      </c>
      <c r="E182" t="str">
        <f>"Coates, Ta-Nehisi"</f>
        <v>Coates, Ta-Nehisi</v>
      </c>
      <c r="G182" t="str">
        <f>"403 pages, 25 cm"</f>
        <v>403 pages, 25 cm</v>
      </c>
      <c r="H182" s="1">
        <v>19</v>
      </c>
      <c r="I182">
        <v>2019</v>
      </c>
      <c r="J182" t="str">
        <f t="shared" si="24"/>
        <v>2: Fiction</v>
      </c>
      <c r="L182" t="s">
        <v>2395</v>
      </c>
      <c r="M182" t="s">
        <v>28</v>
      </c>
      <c r="N182" t="s">
        <v>2396</v>
      </c>
      <c r="O182">
        <v>8</v>
      </c>
      <c r="P182" s="2">
        <v>43749</v>
      </c>
      <c r="Q182" s="1">
        <v>33</v>
      </c>
      <c r="R182" t="s">
        <v>2501</v>
      </c>
      <c r="S182">
        <v>1085585289</v>
      </c>
    </row>
    <row r="183" spans="1:19" x14ac:dyDescent="0.2">
      <c r="A183" t="str">
        <f t="shared" si="25"/>
        <v>Adult Fiction</v>
      </c>
      <c r="B183" t="str">
        <f>"NEW F COATE"</f>
        <v>NEW F COATE</v>
      </c>
      <c r="C183" t="str">
        <f>"The water dancer: a novel"</f>
        <v>The water dancer: a novel</v>
      </c>
      <c r="D183">
        <v>358359</v>
      </c>
      <c r="E183" t="str">
        <f>"Coates, Ta-Nehisi"</f>
        <v>Coates, Ta-Nehisi</v>
      </c>
      <c r="G183" t="str">
        <f>"403 pages, 25 cm"</f>
        <v>403 pages, 25 cm</v>
      </c>
      <c r="H183" s="1">
        <v>19</v>
      </c>
      <c r="I183">
        <v>2019</v>
      </c>
      <c r="J183" t="str">
        <f t="shared" si="24"/>
        <v>2: Fiction</v>
      </c>
      <c r="L183" t="s">
        <v>2403</v>
      </c>
      <c r="M183" t="s">
        <v>28</v>
      </c>
      <c r="N183" t="s">
        <v>2404</v>
      </c>
      <c r="O183">
        <v>5</v>
      </c>
      <c r="P183" s="2">
        <v>43749</v>
      </c>
      <c r="Q183" s="1">
        <v>33</v>
      </c>
      <c r="R183" t="s">
        <v>2501</v>
      </c>
      <c r="S183">
        <v>1085585289</v>
      </c>
    </row>
    <row r="184" spans="1:19" x14ac:dyDescent="0.2">
      <c r="A184" t="str">
        <f t="shared" si="25"/>
        <v>Adult Fiction</v>
      </c>
      <c r="B184" t="str">
        <f>"NEW F COATE"</f>
        <v>NEW F COATE</v>
      </c>
      <c r="C184" t="str">
        <f>"The water dancer: a novel"</f>
        <v>The water dancer: a novel</v>
      </c>
      <c r="D184">
        <v>358360</v>
      </c>
      <c r="E184" t="str">
        <f>"Coates, Ta-Nehisi"</f>
        <v>Coates, Ta-Nehisi</v>
      </c>
      <c r="G184" t="str">
        <f>"403 pages, 25 cm"</f>
        <v>403 pages, 25 cm</v>
      </c>
      <c r="H184" s="1">
        <v>19</v>
      </c>
      <c r="I184">
        <v>2019</v>
      </c>
      <c r="J184" t="str">
        <f t="shared" si="24"/>
        <v>2: Fiction</v>
      </c>
      <c r="L184" t="s">
        <v>2403</v>
      </c>
      <c r="M184" t="s">
        <v>28</v>
      </c>
      <c r="N184" t="s">
        <v>2404</v>
      </c>
      <c r="O184">
        <v>3</v>
      </c>
      <c r="P184" s="2">
        <v>43749</v>
      </c>
      <c r="Q184" s="1">
        <v>33</v>
      </c>
      <c r="R184" t="s">
        <v>2501</v>
      </c>
      <c r="S184">
        <v>1085585289</v>
      </c>
    </row>
    <row r="185" spans="1:19" x14ac:dyDescent="0.2">
      <c r="A185" t="str">
        <f t="shared" si="25"/>
        <v>Adult Fiction</v>
      </c>
      <c r="B185" t="str">
        <f>"NEW F COBLE"</f>
        <v>NEW F COBLE</v>
      </c>
      <c r="C185" t="str">
        <f>"Strands of truth: a novel"</f>
        <v>Strands of truth: a novel</v>
      </c>
      <c r="D185">
        <v>359882</v>
      </c>
      <c r="E185" t="str">
        <f>"Coble, Colleen"</f>
        <v>Coble, Colleen</v>
      </c>
      <c r="G185" t="str">
        <f>"322 pages, 22 cm"</f>
        <v>322 pages, 22 cm</v>
      </c>
      <c r="H185" s="1">
        <v>19</v>
      </c>
      <c r="I185">
        <v>2019</v>
      </c>
      <c r="J185" t="str">
        <f t="shared" si="24"/>
        <v>2: Fiction</v>
      </c>
      <c r="L185" t="s">
        <v>2395</v>
      </c>
      <c r="M185" t="s">
        <v>28</v>
      </c>
      <c r="N185" t="s">
        <v>2404</v>
      </c>
      <c r="O185">
        <v>4</v>
      </c>
      <c r="P185" s="2">
        <v>43815</v>
      </c>
      <c r="Q185" s="1">
        <v>22</v>
      </c>
      <c r="R185" t="s">
        <v>2502</v>
      </c>
      <c r="S185">
        <v>1081000100</v>
      </c>
    </row>
    <row r="186" spans="1:19" x14ac:dyDescent="0.2">
      <c r="A186" t="str">
        <f t="shared" si="25"/>
        <v>Adult Fiction</v>
      </c>
      <c r="B186" t="str">
        <f>"NEW F COE"</f>
        <v>NEW F COE</v>
      </c>
      <c r="C186" t="str">
        <f>"Middle England: a novel"</f>
        <v>Middle England: a novel</v>
      </c>
      <c r="D186">
        <v>356956</v>
      </c>
      <c r="E186" t="str">
        <f>"Coe, Jonathan"</f>
        <v>Coe, Jonathan</v>
      </c>
      <c r="G186" t="str">
        <f>"429 p."</f>
        <v>429 p.</v>
      </c>
      <c r="H186" s="1">
        <v>19</v>
      </c>
      <c r="I186">
        <v>2019</v>
      </c>
      <c r="J186" t="str">
        <f t="shared" si="24"/>
        <v>2: Fiction</v>
      </c>
      <c r="L186" t="s">
        <v>2395</v>
      </c>
      <c r="M186" t="s">
        <v>28</v>
      </c>
      <c r="N186" t="s">
        <v>2404</v>
      </c>
      <c r="O186">
        <v>10</v>
      </c>
      <c r="P186" s="2">
        <v>43696</v>
      </c>
      <c r="Q186" s="1">
        <v>33</v>
      </c>
      <c r="R186" t="s">
        <v>2503</v>
      </c>
      <c r="S186">
        <v>1076514785</v>
      </c>
    </row>
    <row r="187" spans="1:19" x14ac:dyDescent="0.2">
      <c r="A187" t="str">
        <f t="shared" si="25"/>
        <v>Adult Fiction</v>
      </c>
      <c r="B187" t="str">
        <f>"NEW F COES"</f>
        <v>NEW F COES</v>
      </c>
      <c r="C187" t="str">
        <f>"The Russian"</f>
        <v>The Russian</v>
      </c>
      <c r="D187">
        <v>357310</v>
      </c>
      <c r="E187" t="str">
        <f>"Coes, Ben."</f>
        <v>Coes, Ben.</v>
      </c>
      <c r="G187" t="str">
        <f>"xiii, 352 pages, 25 cm"</f>
        <v>xiii, 352 pages, 25 cm</v>
      </c>
      <c r="H187" s="1">
        <v>19</v>
      </c>
      <c r="I187">
        <v>2019</v>
      </c>
      <c r="J187" t="str">
        <f t="shared" si="24"/>
        <v>2: Fiction</v>
      </c>
      <c r="L187" t="s">
        <v>2403</v>
      </c>
      <c r="M187" t="s">
        <v>28</v>
      </c>
      <c r="N187" t="s">
        <v>2404</v>
      </c>
      <c r="O187">
        <v>7</v>
      </c>
      <c r="P187" s="2">
        <v>43711</v>
      </c>
      <c r="Q187" s="1">
        <v>33</v>
      </c>
      <c r="R187" t="s">
        <v>2504</v>
      </c>
      <c r="S187">
        <v>1048934761</v>
      </c>
    </row>
    <row r="188" spans="1:19" x14ac:dyDescent="0.2">
      <c r="A188" t="str">
        <f t="shared" si="25"/>
        <v>Adult Fiction</v>
      </c>
      <c r="B188" t="str">
        <f>"NEW F COHEN"</f>
        <v>NEW F COHEN</v>
      </c>
      <c r="C188" t="str">
        <f>"The summer we lost her: a novel"</f>
        <v>The summer we lost her: a novel</v>
      </c>
      <c r="D188">
        <v>355280</v>
      </c>
      <c r="E188" t="str">
        <f>"Cohen, Tish,"</f>
        <v>Cohen, Tish,</v>
      </c>
      <c r="G188" t="str">
        <f>"340 pages, 21 cm"</f>
        <v>340 pages, 21 cm</v>
      </c>
      <c r="H188" s="1">
        <v>19</v>
      </c>
      <c r="I188">
        <v>2019</v>
      </c>
      <c r="J188" t="str">
        <f t="shared" si="24"/>
        <v>2: Fiction</v>
      </c>
      <c r="L188" t="s">
        <v>2395</v>
      </c>
      <c r="M188" t="s">
        <v>28</v>
      </c>
      <c r="N188" t="s">
        <v>2404</v>
      </c>
      <c r="O188">
        <v>5</v>
      </c>
      <c r="P188" s="2">
        <v>43620</v>
      </c>
      <c r="Q188" s="1">
        <v>22</v>
      </c>
      <c r="R188" t="s">
        <v>2505</v>
      </c>
      <c r="S188">
        <v>1090844378</v>
      </c>
    </row>
    <row r="189" spans="1:19" x14ac:dyDescent="0.2">
      <c r="A189" t="str">
        <f t="shared" si="25"/>
        <v>Adult Fiction</v>
      </c>
      <c r="B189" t="str">
        <f>"NEW F COLE"</f>
        <v>NEW F COLE</v>
      </c>
      <c r="C189" t="s">
        <v>2506</v>
      </c>
      <c r="D189">
        <v>356706</v>
      </c>
      <c r="E189" t="str">
        <f>"Cole, Courtney"</f>
        <v>Cole, Courtney</v>
      </c>
      <c r="G189" t="str">
        <f>"292 p., 21 cm"</f>
        <v>292 p., 21 cm</v>
      </c>
      <c r="H189" s="1">
        <v>19</v>
      </c>
      <c r="I189">
        <v>2019</v>
      </c>
      <c r="J189" t="str">
        <f t="shared" si="24"/>
        <v>2: Fiction</v>
      </c>
      <c r="L189" t="s">
        <v>2395</v>
      </c>
      <c r="M189" t="s">
        <v>28</v>
      </c>
      <c r="N189" t="s">
        <v>2404</v>
      </c>
      <c r="O189">
        <v>8</v>
      </c>
      <c r="P189" s="2">
        <v>43689</v>
      </c>
      <c r="Q189" s="1">
        <v>21</v>
      </c>
      <c r="R189" t="s">
        <v>2507</v>
      </c>
      <c r="S189">
        <v>1102620536</v>
      </c>
    </row>
    <row r="190" spans="1:19" x14ac:dyDescent="0.2">
      <c r="A190" t="str">
        <f t="shared" si="25"/>
        <v>Adult Fiction</v>
      </c>
      <c r="B190" t="str">
        <f>"NEW F COLT"</f>
        <v>NEW F COLT</v>
      </c>
      <c r="C190" t="str">
        <f>"The off-islander"</f>
        <v>The off-islander</v>
      </c>
      <c r="D190">
        <v>359041</v>
      </c>
      <c r="E190" t="str">
        <f>"Colt, Peter"</f>
        <v>Colt, Peter</v>
      </c>
      <c r="G190" t="str">
        <f>"232 pages, 22 cm"</f>
        <v>232 pages, 22 cm</v>
      </c>
      <c r="H190" s="1">
        <v>19</v>
      </c>
      <c r="I190">
        <v>2019</v>
      </c>
      <c r="J190" t="str">
        <f t="shared" si="24"/>
        <v>2: Fiction</v>
      </c>
      <c r="L190" t="s">
        <v>2395</v>
      </c>
      <c r="M190" t="s">
        <v>28</v>
      </c>
      <c r="N190" t="s">
        <v>2404</v>
      </c>
      <c r="O190">
        <v>5</v>
      </c>
      <c r="P190" s="2">
        <v>43776</v>
      </c>
      <c r="Q190" s="1">
        <v>31</v>
      </c>
      <c r="R190" t="s">
        <v>2508</v>
      </c>
      <c r="S190">
        <v>1080584826</v>
      </c>
    </row>
    <row r="191" spans="1:19" x14ac:dyDescent="0.2">
      <c r="A191" t="str">
        <f t="shared" si="25"/>
        <v>Adult Fiction</v>
      </c>
      <c r="B191" t="str">
        <f>"NEW F COLVI"</f>
        <v>NEW F COLVI</v>
      </c>
      <c r="C191" t="str">
        <f>"Africaville: a novel"</f>
        <v>Africaville: a novel</v>
      </c>
      <c r="D191">
        <v>359994</v>
      </c>
      <c r="E191" t="str">
        <f>"Colvin, Jeffrey"</f>
        <v>Colvin, Jeffrey</v>
      </c>
      <c r="G191" t="str">
        <f>"371 pages, 24 cm"</f>
        <v>371 pages, 24 cm</v>
      </c>
      <c r="H191" s="1">
        <v>19</v>
      </c>
      <c r="I191">
        <v>2019</v>
      </c>
      <c r="J191" t="str">
        <f t="shared" ref="J191:J254" si="40">"2: Fiction"</f>
        <v>2: Fiction</v>
      </c>
      <c r="L191" t="s">
        <v>2395</v>
      </c>
      <c r="M191" t="s">
        <v>28</v>
      </c>
      <c r="N191" t="s">
        <v>2404</v>
      </c>
      <c r="O191">
        <v>1</v>
      </c>
      <c r="P191" s="2">
        <v>43826</v>
      </c>
      <c r="Q191" s="1">
        <v>33</v>
      </c>
      <c r="R191" t="s">
        <v>2509</v>
      </c>
      <c r="S191">
        <v>1089971325</v>
      </c>
    </row>
    <row r="192" spans="1:19" x14ac:dyDescent="0.2">
      <c r="A192" t="str">
        <f t="shared" si="25"/>
        <v>Adult Fiction</v>
      </c>
      <c r="B192" t="str">
        <f t="shared" ref="B192:B203" si="41">"NEW F CONNE"</f>
        <v>NEW F CONNE</v>
      </c>
      <c r="C192" t="str">
        <f t="shared" ref="C192:C203" si="42">"The night fire"</f>
        <v>The night fire</v>
      </c>
      <c r="D192">
        <v>358587</v>
      </c>
      <c r="E192" t="str">
        <f t="shared" ref="E192:E203" si="43">"Connelly, Michael"</f>
        <v>Connelly, Michael</v>
      </c>
      <c r="F192" t="str">
        <f t="shared" ref="F192:F203" si="44">"Bosch and Ballard series (2)"</f>
        <v>Bosch and Ballard series (2)</v>
      </c>
      <c r="G192" t="str">
        <f t="shared" ref="G192:G203" si="45">"405 pages, 25 cm"</f>
        <v>405 pages, 25 cm</v>
      </c>
      <c r="H192" s="1">
        <v>19</v>
      </c>
      <c r="I192">
        <v>2019</v>
      </c>
      <c r="J192" t="str">
        <f t="shared" si="40"/>
        <v>2: Fiction</v>
      </c>
      <c r="L192" t="s">
        <v>2395</v>
      </c>
      <c r="M192" t="s">
        <v>28</v>
      </c>
      <c r="N192" t="s">
        <v>2404</v>
      </c>
      <c r="O192">
        <v>6</v>
      </c>
      <c r="P192" s="2">
        <v>43756</v>
      </c>
      <c r="Q192" s="1">
        <v>34</v>
      </c>
      <c r="R192" t="s">
        <v>2510</v>
      </c>
      <c r="S192">
        <v>1107434674</v>
      </c>
    </row>
    <row r="193" spans="1:19" x14ac:dyDescent="0.2">
      <c r="A193" t="str">
        <f t="shared" si="25"/>
        <v>Adult Fiction</v>
      </c>
      <c r="B193" t="str">
        <f t="shared" si="41"/>
        <v>NEW F CONNE</v>
      </c>
      <c r="C193" t="str">
        <f t="shared" si="42"/>
        <v>The night fire</v>
      </c>
      <c r="D193">
        <v>358588</v>
      </c>
      <c r="E193" t="str">
        <f t="shared" si="43"/>
        <v>Connelly, Michael</v>
      </c>
      <c r="F193" t="str">
        <f t="shared" si="44"/>
        <v>Bosch and Ballard series (2)</v>
      </c>
      <c r="G193" t="str">
        <f t="shared" si="45"/>
        <v>405 pages, 25 cm</v>
      </c>
      <c r="H193" s="1">
        <v>19</v>
      </c>
      <c r="I193">
        <v>2019</v>
      </c>
      <c r="J193" t="str">
        <f t="shared" si="40"/>
        <v>2: Fiction</v>
      </c>
      <c r="L193" t="s">
        <v>2395</v>
      </c>
      <c r="M193" t="s">
        <v>28</v>
      </c>
      <c r="N193" t="s">
        <v>2404</v>
      </c>
      <c r="O193">
        <v>7</v>
      </c>
      <c r="P193" s="2">
        <v>43756</v>
      </c>
      <c r="Q193" s="1">
        <v>34</v>
      </c>
      <c r="R193" t="s">
        <v>2510</v>
      </c>
      <c r="S193">
        <v>1107434674</v>
      </c>
    </row>
    <row r="194" spans="1:19" x14ac:dyDescent="0.2">
      <c r="A194" t="str">
        <f t="shared" si="25"/>
        <v>Adult Fiction</v>
      </c>
      <c r="B194" t="str">
        <f t="shared" si="41"/>
        <v>NEW F CONNE</v>
      </c>
      <c r="C194" t="str">
        <f t="shared" si="42"/>
        <v>The night fire</v>
      </c>
      <c r="D194">
        <v>358589</v>
      </c>
      <c r="E194" t="str">
        <f t="shared" si="43"/>
        <v>Connelly, Michael</v>
      </c>
      <c r="F194" t="str">
        <f t="shared" si="44"/>
        <v>Bosch and Ballard series (2)</v>
      </c>
      <c r="G194" t="str">
        <f t="shared" si="45"/>
        <v>405 pages, 25 cm</v>
      </c>
      <c r="H194" s="1">
        <v>19</v>
      </c>
      <c r="I194">
        <v>2019</v>
      </c>
      <c r="J194" t="str">
        <f t="shared" si="40"/>
        <v>2: Fiction</v>
      </c>
      <c r="L194" t="s">
        <v>2395</v>
      </c>
      <c r="M194" t="s">
        <v>28</v>
      </c>
      <c r="N194" t="s">
        <v>2404</v>
      </c>
      <c r="O194">
        <v>7</v>
      </c>
      <c r="P194" s="2">
        <v>43756</v>
      </c>
      <c r="Q194" s="1">
        <v>34</v>
      </c>
      <c r="R194" t="s">
        <v>2510</v>
      </c>
      <c r="S194">
        <v>1107434674</v>
      </c>
    </row>
    <row r="195" spans="1:19" x14ac:dyDescent="0.2">
      <c r="A195" t="str">
        <f t="shared" si="25"/>
        <v>Adult Fiction</v>
      </c>
      <c r="B195" t="str">
        <f t="shared" si="41"/>
        <v>NEW F CONNE</v>
      </c>
      <c r="C195" t="str">
        <f t="shared" si="42"/>
        <v>The night fire</v>
      </c>
      <c r="D195">
        <v>358590</v>
      </c>
      <c r="E195" t="str">
        <f t="shared" si="43"/>
        <v>Connelly, Michael</v>
      </c>
      <c r="F195" t="str">
        <f t="shared" si="44"/>
        <v>Bosch and Ballard series (2)</v>
      </c>
      <c r="G195" t="str">
        <f t="shared" si="45"/>
        <v>405 pages, 25 cm</v>
      </c>
      <c r="H195" s="1">
        <v>19</v>
      </c>
      <c r="I195">
        <v>2019</v>
      </c>
      <c r="J195" t="str">
        <f t="shared" si="40"/>
        <v>2: Fiction</v>
      </c>
      <c r="L195" t="s">
        <v>2395</v>
      </c>
      <c r="M195" t="s">
        <v>28</v>
      </c>
      <c r="N195" t="s">
        <v>2404</v>
      </c>
      <c r="O195">
        <v>7</v>
      </c>
      <c r="P195" s="2">
        <v>43756</v>
      </c>
      <c r="Q195" s="1">
        <v>34</v>
      </c>
      <c r="R195" t="s">
        <v>2510</v>
      </c>
      <c r="S195">
        <v>1107434674</v>
      </c>
    </row>
    <row r="196" spans="1:19" x14ac:dyDescent="0.2">
      <c r="A196" t="str">
        <f t="shared" si="25"/>
        <v>Adult Fiction</v>
      </c>
      <c r="B196" t="str">
        <f t="shared" si="41"/>
        <v>NEW F CONNE</v>
      </c>
      <c r="C196" t="str">
        <f t="shared" si="42"/>
        <v>The night fire</v>
      </c>
      <c r="D196">
        <v>358591</v>
      </c>
      <c r="E196" t="str">
        <f t="shared" si="43"/>
        <v>Connelly, Michael</v>
      </c>
      <c r="F196" t="str">
        <f t="shared" si="44"/>
        <v>Bosch and Ballard series (2)</v>
      </c>
      <c r="G196" t="str">
        <f t="shared" si="45"/>
        <v>405 pages, 25 cm</v>
      </c>
      <c r="H196" s="1">
        <v>19</v>
      </c>
      <c r="I196">
        <v>2019</v>
      </c>
      <c r="J196" t="str">
        <f t="shared" si="40"/>
        <v>2: Fiction</v>
      </c>
      <c r="L196" t="s">
        <v>2395</v>
      </c>
      <c r="M196" t="s">
        <v>28</v>
      </c>
      <c r="N196" t="s">
        <v>2404</v>
      </c>
      <c r="O196">
        <v>10</v>
      </c>
      <c r="P196" s="2">
        <v>43756</v>
      </c>
      <c r="Q196" s="1">
        <v>34</v>
      </c>
      <c r="R196" t="s">
        <v>2510</v>
      </c>
      <c r="S196">
        <v>1107434674</v>
      </c>
    </row>
    <row r="197" spans="1:19" x14ac:dyDescent="0.2">
      <c r="A197" t="str">
        <f t="shared" si="25"/>
        <v>Adult Fiction</v>
      </c>
      <c r="B197" t="str">
        <f t="shared" si="41"/>
        <v>NEW F CONNE</v>
      </c>
      <c r="C197" t="str">
        <f t="shared" si="42"/>
        <v>The night fire</v>
      </c>
      <c r="D197">
        <v>358592</v>
      </c>
      <c r="E197" t="str">
        <f t="shared" si="43"/>
        <v>Connelly, Michael</v>
      </c>
      <c r="F197" t="str">
        <f t="shared" si="44"/>
        <v>Bosch and Ballard series (2)</v>
      </c>
      <c r="G197" t="str">
        <f t="shared" si="45"/>
        <v>405 pages, 25 cm</v>
      </c>
      <c r="H197" s="1">
        <v>19</v>
      </c>
      <c r="I197">
        <v>2019</v>
      </c>
      <c r="J197" t="str">
        <f t="shared" si="40"/>
        <v>2: Fiction</v>
      </c>
      <c r="L197" t="s">
        <v>2395</v>
      </c>
      <c r="M197" t="s">
        <v>28</v>
      </c>
      <c r="N197" t="s">
        <v>2404</v>
      </c>
      <c r="O197">
        <v>7</v>
      </c>
      <c r="P197" s="2">
        <v>43756</v>
      </c>
      <c r="Q197" s="1">
        <v>34</v>
      </c>
      <c r="R197" t="s">
        <v>2510</v>
      </c>
      <c r="S197">
        <v>1107434674</v>
      </c>
    </row>
    <row r="198" spans="1:19" x14ac:dyDescent="0.2">
      <c r="A198" t="str">
        <f t="shared" si="25"/>
        <v>Adult Fiction</v>
      </c>
      <c r="B198" t="str">
        <f t="shared" si="41"/>
        <v>NEW F CONNE</v>
      </c>
      <c r="C198" t="str">
        <f t="shared" si="42"/>
        <v>The night fire</v>
      </c>
      <c r="D198">
        <v>358593</v>
      </c>
      <c r="E198" t="str">
        <f t="shared" si="43"/>
        <v>Connelly, Michael</v>
      </c>
      <c r="F198" t="str">
        <f t="shared" si="44"/>
        <v>Bosch and Ballard series (2)</v>
      </c>
      <c r="G198" t="str">
        <f t="shared" si="45"/>
        <v>405 pages, 25 cm</v>
      </c>
      <c r="H198" s="1">
        <v>19</v>
      </c>
      <c r="I198">
        <v>2019</v>
      </c>
      <c r="J198" t="str">
        <f t="shared" si="40"/>
        <v>2: Fiction</v>
      </c>
      <c r="L198" t="s">
        <v>2395</v>
      </c>
      <c r="M198" t="s">
        <v>28</v>
      </c>
      <c r="N198" t="s">
        <v>2404</v>
      </c>
      <c r="O198">
        <v>10</v>
      </c>
      <c r="P198" s="2">
        <v>43756</v>
      </c>
      <c r="Q198" s="1">
        <v>34</v>
      </c>
      <c r="R198" t="s">
        <v>2510</v>
      </c>
      <c r="S198">
        <v>1107434674</v>
      </c>
    </row>
    <row r="199" spans="1:19" x14ac:dyDescent="0.2">
      <c r="A199" t="str">
        <f t="shared" ref="A199:A262" si="46">"Adult Fiction"</f>
        <v>Adult Fiction</v>
      </c>
      <c r="B199" t="str">
        <f t="shared" si="41"/>
        <v>NEW F CONNE</v>
      </c>
      <c r="C199" t="str">
        <f t="shared" si="42"/>
        <v>The night fire</v>
      </c>
      <c r="D199">
        <v>358594</v>
      </c>
      <c r="E199" t="str">
        <f t="shared" si="43"/>
        <v>Connelly, Michael</v>
      </c>
      <c r="F199" t="str">
        <f t="shared" si="44"/>
        <v>Bosch and Ballard series (2)</v>
      </c>
      <c r="G199" t="str">
        <f t="shared" si="45"/>
        <v>405 pages, 25 cm</v>
      </c>
      <c r="H199" s="1">
        <v>19</v>
      </c>
      <c r="I199">
        <v>2019</v>
      </c>
      <c r="J199" t="str">
        <f t="shared" si="40"/>
        <v>2: Fiction</v>
      </c>
      <c r="L199" t="s">
        <v>2395</v>
      </c>
      <c r="M199" t="s">
        <v>28</v>
      </c>
      <c r="N199" t="s">
        <v>2404</v>
      </c>
      <c r="O199">
        <v>5</v>
      </c>
      <c r="P199" s="2">
        <v>43756</v>
      </c>
      <c r="Q199" s="1">
        <v>34</v>
      </c>
      <c r="R199" t="s">
        <v>2510</v>
      </c>
      <c r="S199">
        <v>1107434674</v>
      </c>
    </row>
    <row r="200" spans="1:19" x14ac:dyDescent="0.2">
      <c r="A200" t="str">
        <f t="shared" si="46"/>
        <v>Adult Fiction</v>
      </c>
      <c r="B200" t="str">
        <f t="shared" si="41"/>
        <v>NEW F CONNE</v>
      </c>
      <c r="C200" t="str">
        <f t="shared" si="42"/>
        <v>The night fire</v>
      </c>
      <c r="D200">
        <v>358595</v>
      </c>
      <c r="E200" t="str">
        <f t="shared" si="43"/>
        <v>Connelly, Michael</v>
      </c>
      <c r="F200" t="str">
        <f t="shared" si="44"/>
        <v>Bosch and Ballard series (2)</v>
      </c>
      <c r="G200" t="str">
        <f t="shared" si="45"/>
        <v>405 pages, 25 cm</v>
      </c>
      <c r="H200" s="1">
        <v>19</v>
      </c>
      <c r="I200">
        <v>2019</v>
      </c>
      <c r="J200" t="str">
        <f t="shared" si="40"/>
        <v>2: Fiction</v>
      </c>
      <c r="L200" t="s">
        <v>2395</v>
      </c>
      <c r="M200" t="s">
        <v>28</v>
      </c>
      <c r="N200" t="s">
        <v>2404</v>
      </c>
      <c r="O200">
        <v>6</v>
      </c>
      <c r="P200" s="2">
        <v>43756</v>
      </c>
      <c r="Q200" s="1">
        <v>34</v>
      </c>
      <c r="R200" t="s">
        <v>2510</v>
      </c>
      <c r="S200">
        <v>1107434674</v>
      </c>
    </row>
    <row r="201" spans="1:19" x14ac:dyDescent="0.2">
      <c r="A201" t="str">
        <f t="shared" si="46"/>
        <v>Adult Fiction</v>
      </c>
      <c r="B201" t="str">
        <f t="shared" si="41"/>
        <v>NEW F CONNE</v>
      </c>
      <c r="C201" t="str">
        <f t="shared" si="42"/>
        <v>The night fire</v>
      </c>
      <c r="D201">
        <v>358596</v>
      </c>
      <c r="E201" t="str">
        <f t="shared" si="43"/>
        <v>Connelly, Michael</v>
      </c>
      <c r="F201" t="str">
        <f t="shared" si="44"/>
        <v>Bosch and Ballard series (2)</v>
      </c>
      <c r="G201" t="str">
        <f t="shared" si="45"/>
        <v>405 pages, 25 cm</v>
      </c>
      <c r="H201" s="1">
        <v>19</v>
      </c>
      <c r="I201">
        <v>2019</v>
      </c>
      <c r="J201" t="str">
        <f t="shared" si="40"/>
        <v>2: Fiction</v>
      </c>
      <c r="L201" t="s">
        <v>2395</v>
      </c>
      <c r="M201" t="s">
        <v>28</v>
      </c>
      <c r="N201" t="s">
        <v>2404</v>
      </c>
      <c r="O201">
        <v>6</v>
      </c>
      <c r="P201" s="2">
        <v>43756</v>
      </c>
      <c r="Q201" s="1">
        <v>34</v>
      </c>
      <c r="R201" t="s">
        <v>2510</v>
      </c>
      <c r="S201">
        <v>1107434674</v>
      </c>
    </row>
    <row r="202" spans="1:19" x14ac:dyDescent="0.2">
      <c r="A202" t="str">
        <f t="shared" si="46"/>
        <v>Adult Fiction</v>
      </c>
      <c r="B202" t="str">
        <f t="shared" si="41"/>
        <v>NEW F CONNE</v>
      </c>
      <c r="C202" t="str">
        <f t="shared" si="42"/>
        <v>The night fire</v>
      </c>
      <c r="D202">
        <v>358597</v>
      </c>
      <c r="E202" t="str">
        <f t="shared" si="43"/>
        <v>Connelly, Michael</v>
      </c>
      <c r="F202" t="str">
        <f t="shared" si="44"/>
        <v>Bosch and Ballard series (2)</v>
      </c>
      <c r="G202" t="str">
        <f t="shared" si="45"/>
        <v>405 pages, 25 cm</v>
      </c>
      <c r="H202" s="1">
        <v>19</v>
      </c>
      <c r="I202">
        <v>2019</v>
      </c>
      <c r="J202" t="str">
        <f t="shared" si="40"/>
        <v>2: Fiction</v>
      </c>
      <c r="L202" t="s">
        <v>2395</v>
      </c>
      <c r="M202" t="s">
        <v>28</v>
      </c>
      <c r="N202" t="s">
        <v>2404</v>
      </c>
      <c r="O202">
        <v>8</v>
      </c>
      <c r="P202" s="2">
        <v>43756</v>
      </c>
      <c r="Q202" s="1">
        <v>34</v>
      </c>
      <c r="R202" t="s">
        <v>2510</v>
      </c>
      <c r="S202">
        <v>1107434674</v>
      </c>
    </row>
    <row r="203" spans="1:19" x14ac:dyDescent="0.2">
      <c r="A203" t="str">
        <f t="shared" si="46"/>
        <v>Adult Fiction</v>
      </c>
      <c r="B203" t="str">
        <f t="shared" si="41"/>
        <v>NEW F CONNE</v>
      </c>
      <c r="C203" t="str">
        <f t="shared" si="42"/>
        <v>The night fire</v>
      </c>
      <c r="D203">
        <v>358598</v>
      </c>
      <c r="E203" t="str">
        <f t="shared" si="43"/>
        <v>Connelly, Michael</v>
      </c>
      <c r="F203" t="str">
        <f t="shared" si="44"/>
        <v>Bosch and Ballard series (2)</v>
      </c>
      <c r="G203" t="str">
        <f t="shared" si="45"/>
        <v>405 pages, 25 cm</v>
      </c>
      <c r="H203" s="1">
        <v>19</v>
      </c>
      <c r="I203">
        <v>2019</v>
      </c>
      <c r="J203" t="str">
        <f t="shared" si="40"/>
        <v>2: Fiction</v>
      </c>
      <c r="L203" t="s">
        <v>2403</v>
      </c>
      <c r="M203" t="s">
        <v>28</v>
      </c>
      <c r="N203" t="s">
        <v>2404</v>
      </c>
      <c r="O203">
        <v>7</v>
      </c>
      <c r="P203" s="2">
        <v>43756</v>
      </c>
      <c r="Q203" s="1">
        <v>34</v>
      </c>
      <c r="R203" t="s">
        <v>2510</v>
      </c>
      <c r="S203">
        <v>1107434674</v>
      </c>
    </row>
    <row r="204" spans="1:19" x14ac:dyDescent="0.2">
      <c r="A204" t="str">
        <f t="shared" si="46"/>
        <v>Adult Fiction</v>
      </c>
      <c r="B204" t="str">
        <f>"NEW F CONNO"</f>
        <v>NEW F CONNO</v>
      </c>
      <c r="C204" t="str">
        <f>"A book of bones"</f>
        <v>A book of bones</v>
      </c>
      <c r="D204">
        <v>358464</v>
      </c>
      <c r="E204" t="str">
        <f>"Connolly, John"</f>
        <v>Connolly, John</v>
      </c>
      <c r="F204" t="str">
        <f>"Charlie Parker Mystery series (17)"</f>
        <v>Charlie Parker Mystery series (17)</v>
      </c>
      <c r="G204" t="str">
        <f>"674 pages, 24 cm"</f>
        <v>674 pages, 24 cm</v>
      </c>
      <c r="H204" s="1">
        <v>19</v>
      </c>
      <c r="I204">
        <v>2019</v>
      </c>
      <c r="J204" t="str">
        <f t="shared" si="40"/>
        <v>2: Fiction</v>
      </c>
      <c r="L204" t="s">
        <v>2403</v>
      </c>
      <c r="M204" t="s">
        <v>28</v>
      </c>
      <c r="N204" t="s">
        <v>2404</v>
      </c>
      <c r="O204">
        <v>7</v>
      </c>
      <c r="P204" s="2">
        <v>43753</v>
      </c>
      <c r="Q204" s="1">
        <v>34</v>
      </c>
      <c r="R204" t="s">
        <v>2511</v>
      </c>
      <c r="S204">
        <v>1085202072</v>
      </c>
    </row>
    <row r="205" spans="1:19" x14ac:dyDescent="0.2">
      <c r="A205" t="str">
        <f t="shared" si="46"/>
        <v>Adult Fiction</v>
      </c>
      <c r="B205" t="str">
        <f>"NEW F CONNO"</f>
        <v>NEW F CONNO</v>
      </c>
      <c r="C205" t="str">
        <f>"A book of bones"</f>
        <v>A book of bones</v>
      </c>
      <c r="D205">
        <v>359004</v>
      </c>
      <c r="E205" t="str">
        <f>"Connolly, John"</f>
        <v>Connolly, John</v>
      </c>
      <c r="F205" t="str">
        <f>"Charlie Parker Mystery series (17)"</f>
        <v>Charlie Parker Mystery series (17)</v>
      </c>
      <c r="G205" t="str">
        <f>"674 pages, 24 cm"</f>
        <v>674 pages, 24 cm</v>
      </c>
      <c r="H205" s="1">
        <v>19</v>
      </c>
      <c r="I205">
        <v>2019</v>
      </c>
      <c r="J205" t="str">
        <f t="shared" si="40"/>
        <v>2: Fiction</v>
      </c>
      <c r="L205" t="s">
        <v>2403</v>
      </c>
      <c r="M205" t="s">
        <v>28</v>
      </c>
      <c r="N205" t="s">
        <v>2396</v>
      </c>
      <c r="O205">
        <v>6</v>
      </c>
      <c r="P205" s="2">
        <v>43776</v>
      </c>
      <c r="Q205" s="1">
        <v>34</v>
      </c>
      <c r="R205" t="s">
        <v>2511</v>
      </c>
      <c r="S205">
        <v>1085202072</v>
      </c>
    </row>
    <row r="206" spans="1:19" x14ac:dyDescent="0.2">
      <c r="A206" t="str">
        <f t="shared" si="46"/>
        <v>Adult Fiction</v>
      </c>
      <c r="B206" t="str">
        <f>"NEW F COOK"</f>
        <v>NEW F COOK</v>
      </c>
      <c r="C206" t="s">
        <v>2512</v>
      </c>
      <c r="D206">
        <v>359620</v>
      </c>
      <c r="E206" t="str">
        <f>"Cook, Robin"</f>
        <v>Cook, Robin</v>
      </c>
      <c r="G206" t="str">
        <f>"387 pages, 24 cm"</f>
        <v>387 pages, 24 cm</v>
      </c>
      <c r="H206" s="1">
        <v>19</v>
      </c>
      <c r="I206">
        <v>2019</v>
      </c>
      <c r="J206" t="str">
        <f t="shared" si="40"/>
        <v>2: Fiction</v>
      </c>
      <c r="L206" t="s">
        <v>2395</v>
      </c>
      <c r="M206" t="s">
        <v>28</v>
      </c>
      <c r="N206" t="s">
        <v>2404</v>
      </c>
      <c r="O206">
        <v>5</v>
      </c>
      <c r="P206" s="2">
        <v>43803</v>
      </c>
      <c r="Q206" s="1">
        <v>32</v>
      </c>
      <c r="R206" t="s">
        <v>2513</v>
      </c>
      <c r="S206">
        <v>1089264812</v>
      </c>
    </row>
    <row r="207" spans="1:19" x14ac:dyDescent="0.2">
      <c r="A207" t="str">
        <f t="shared" si="46"/>
        <v>Adult Fiction</v>
      </c>
      <c r="B207" t="str">
        <f>"NEW F COOK"</f>
        <v>NEW F COOK</v>
      </c>
      <c r="C207" t="s">
        <v>2512</v>
      </c>
      <c r="D207">
        <v>359621</v>
      </c>
      <c r="E207" t="str">
        <f>"Cook, Robin"</f>
        <v>Cook, Robin</v>
      </c>
      <c r="G207" t="str">
        <f>"387 pages, 24 cm"</f>
        <v>387 pages, 24 cm</v>
      </c>
      <c r="H207" s="1">
        <v>19</v>
      </c>
      <c r="I207">
        <v>2019</v>
      </c>
      <c r="J207" t="str">
        <f t="shared" si="40"/>
        <v>2: Fiction</v>
      </c>
      <c r="L207" t="s">
        <v>2395</v>
      </c>
      <c r="M207" t="s">
        <v>28</v>
      </c>
      <c r="N207" t="s">
        <v>2404</v>
      </c>
      <c r="O207">
        <v>5</v>
      </c>
      <c r="P207" s="2">
        <v>43803</v>
      </c>
      <c r="Q207" s="1">
        <v>32</v>
      </c>
      <c r="R207" t="s">
        <v>2513</v>
      </c>
      <c r="S207">
        <v>1089264812</v>
      </c>
    </row>
    <row r="208" spans="1:19" x14ac:dyDescent="0.2">
      <c r="A208" t="str">
        <f t="shared" si="46"/>
        <v>Adult Fiction</v>
      </c>
      <c r="B208" t="str">
        <f>"NEW F COOK"</f>
        <v>NEW F COOK</v>
      </c>
      <c r="C208" t="s">
        <v>2512</v>
      </c>
      <c r="D208">
        <v>359622</v>
      </c>
      <c r="E208" t="str">
        <f>"Cook, Robin"</f>
        <v>Cook, Robin</v>
      </c>
      <c r="G208" t="str">
        <f>"387 pages, 24 cm"</f>
        <v>387 pages, 24 cm</v>
      </c>
      <c r="H208" s="1">
        <v>19</v>
      </c>
      <c r="I208">
        <v>2019</v>
      </c>
      <c r="J208" t="str">
        <f t="shared" si="40"/>
        <v>2: Fiction</v>
      </c>
      <c r="L208" t="s">
        <v>2395</v>
      </c>
      <c r="M208" t="s">
        <v>28</v>
      </c>
      <c r="N208" t="s">
        <v>2404</v>
      </c>
      <c r="O208">
        <v>3</v>
      </c>
      <c r="P208" s="2">
        <v>43803</v>
      </c>
      <c r="Q208" s="1">
        <v>32</v>
      </c>
      <c r="R208" t="s">
        <v>2513</v>
      </c>
      <c r="S208">
        <v>1089264812</v>
      </c>
    </row>
    <row r="209" spans="1:19" x14ac:dyDescent="0.2">
      <c r="A209" t="str">
        <f t="shared" si="46"/>
        <v>Adult Fiction</v>
      </c>
      <c r="B209" t="str">
        <f>"NEW F COONT"</f>
        <v>NEW F COONT</v>
      </c>
      <c r="C209" t="str">
        <f>"The Russia account"</f>
        <v>The Russia account</v>
      </c>
      <c r="D209">
        <v>356807</v>
      </c>
      <c r="E209" t="str">
        <f>"Coonts, Stephen"</f>
        <v>Coonts, Stephen</v>
      </c>
      <c r="F209" t="str">
        <f>"Tommy Carmellini series (9)"</f>
        <v>Tommy Carmellini series (9)</v>
      </c>
      <c r="G209" t="str">
        <f>"323 pages, 24 cm"</f>
        <v>323 pages, 24 cm</v>
      </c>
      <c r="H209" s="1">
        <v>19</v>
      </c>
      <c r="I209">
        <v>2019</v>
      </c>
      <c r="J209" t="str">
        <f t="shared" si="40"/>
        <v>2: Fiction</v>
      </c>
      <c r="L209" t="s">
        <v>2403</v>
      </c>
      <c r="M209" t="s">
        <v>28</v>
      </c>
      <c r="N209" t="s">
        <v>2396</v>
      </c>
      <c r="O209">
        <v>11</v>
      </c>
      <c r="P209" s="2">
        <v>43690</v>
      </c>
      <c r="Q209" s="1">
        <v>33</v>
      </c>
      <c r="R209" t="s">
        <v>2514</v>
      </c>
      <c r="S209">
        <v>1043792520</v>
      </c>
    </row>
    <row r="210" spans="1:19" x14ac:dyDescent="0.2">
      <c r="A210" t="str">
        <f t="shared" si="46"/>
        <v>Adult Fiction</v>
      </c>
      <c r="B210" t="str">
        <f>"NEW F COONT"</f>
        <v>NEW F COONT</v>
      </c>
      <c r="C210" t="str">
        <f>"The Russia account"</f>
        <v>The Russia account</v>
      </c>
      <c r="D210">
        <v>356808</v>
      </c>
      <c r="E210" t="str">
        <f>"Coonts, Stephen"</f>
        <v>Coonts, Stephen</v>
      </c>
      <c r="F210" t="str">
        <f>"Tommy Carmellini series (9)"</f>
        <v>Tommy Carmellini series (9)</v>
      </c>
      <c r="G210" t="str">
        <f>"323 pages, 24 cm"</f>
        <v>323 pages, 24 cm</v>
      </c>
      <c r="H210" s="1">
        <v>19</v>
      </c>
      <c r="I210">
        <v>2019</v>
      </c>
      <c r="J210" t="str">
        <f t="shared" si="40"/>
        <v>2: Fiction</v>
      </c>
      <c r="L210" t="s">
        <v>2395</v>
      </c>
      <c r="M210" t="s">
        <v>28</v>
      </c>
      <c r="N210" t="s">
        <v>2404</v>
      </c>
      <c r="O210">
        <v>13</v>
      </c>
      <c r="P210" s="2">
        <v>43690</v>
      </c>
      <c r="Q210" s="1">
        <v>33</v>
      </c>
      <c r="R210" t="s">
        <v>2514</v>
      </c>
      <c r="S210">
        <v>1043792520</v>
      </c>
    </row>
    <row r="211" spans="1:19" x14ac:dyDescent="0.2">
      <c r="A211" t="str">
        <f t="shared" si="46"/>
        <v>Adult Fiction</v>
      </c>
      <c r="B211" t="str">
        <f t="shared" ref="B211:B219" si="47">"NEW F CORNW"</f>
        <v>NEW F CORNW</v>
      </c>
      <c r="C211" t="str">
        <f>"Sword of kings: a novel"</f>
        <v>Sword of kings: a novel</v>
      </c>
      <c r="D211">
        <v>359626</v>
      </c>
      <c r="E211" t="str">
        <f>"Cornwell, Bernard"</f>
        <v>Cornwell, Bernard</v>
      </c>
      <c r="F211" t="str">
        <f>"Saxon Tales series (12)"</f>
        <v>Saxon Tales series (12)</v>
      </c>
      <c r="G211" t="str">
        <f>"334 pages, 24 cm, map"</f>
        <v>334 pages, 24 cm, map</v>
      </c>
      <c r="H211" s="1">
        <v>19</v>
      </c>
      <c r="I211">
        <v>2019</v>
      </c>
      <c r="J211" t="str">
        <f t="shared" si="40"/>
        <v>2: Fiction</v>
      </c>
      <c r="L211" t="s">
        <v>2403</v>
      </c>
      <c r="M211" t="s">
        <v>28</v>
      </c>
      <c r="N211" t="s">
        <v>2404</v>
      </c>
      <c r="O211">
        <v>4</v>
      </c>
      <c r="P211" s="2">
        <v>43803</v>
      </c>
      <c r="Q211" s="1">
        <v>33</v>
      </c>
      <c r="R211" t="s">
        <v>2515</v>
      </c>
      <c r="S211">
        <v>1088910686</v>
      </c>
    </row>
    <row r="212" spans="1:19" x14ac:dyDescent="0.2">
      <c r="A212" t="str">
        <f t="shared" si="46"/>
        <v>Adult Fiction</v>
      </c>
      <c r="B212" t="str">
        <f t="shared" si="47"/>
        <v>NEW F CORNW</v>
      </c>
      <c r="C212" t="s">
        <v>2516</v>
      </c>
      <c r="D212">
        <v>357952</v>
      </c>
      <c r="E212" t="str">
        <f t="shared" ref="E212:E219" si="48">"Cornwell, Patricia Daniels"</f>
        <v>Cornwell, Patricia Daniels</v>
      </c>
      <c r="F212" t="str">
        <f t="shared" ref="F212:F219" si="49">"Captain Chase series (1)"</f>
        <v>Captain Chase series (1)</v>
      </c>
      <c r="G212" t="str">
        <f t="shared" ref="G212:G219" si="50">"338 p."</f>
        <v>338 p.</v>
      </c>
      <c r="H212" s="1">
        <v>19</v>
      </c>
      <c r="I212">
        <v>2019</v>
      </c>
      <c r="J212" t="str">
        <f t="shared" si="40"/>
        <v>2: Fiction</v>
      </c>
      <c r="L212" t="s">
        <v>2403</v>
      </c>
      <c r="M212" t="s">
        <v>28</v>
      </c>
      <c r="N212" t="s">
        <v>2404</v>
      </c>
      <c r="O212">
        <v>5</v>
      </c>
      <c r="P212" s="2">
        <v>43733</v>
      </c>
      <c r="Q212" s="1">
        <v>34</v>
      </c>
      <c r="R212" t="s">
        <v>2517</v>
      </c>
      <c r="S212">
        <v>1119537945</v>
      </c>
    </row>
    <row r="213" spans="1:19" x14ac:dyDescent="0.2">
      <c r="A213" t="str">
        <f t="shared" si="46"/>
        <v>Adult Fiction</v>
      </c>
      <c r="B213" t="str">
        <f t="shared" si="47"/>
        <v>NEW F CORNW</v>
      </c>
      <c r="C213" t="s">
        <v>2516</v>
      </c>
      <c r="D213">
        <v>357953</v>
      </c>
      <c r="E213" t="str">
        <f t="shared" si="48"/>
        <v>Cornwell, Patricia Daniels</v>
      </c>
      <c r="F213" t="str">
        <f t="shared" si="49"/>
        <v>Captain Chase series (1)</v>
      </c>
      <c r="G213" t="str">
        <f t="shared" si="50"/>
        <v>338 p.</v>
      </c>
      <c r="H213" s="1">
        <v>19</v>
      </c>
      <c r="I213">
        <v>2019</v>
      </c>
      <c r="J213" t="str">
        <f t="shared" si="40"/>
        <v>2: Fiction</v>
      </c>
      <c r="L213" t="s">
        <v>2403</v>
      </c>
      <c r="M213" t="s">
        <v>28</v>
      </c>
      <c r="N213" t="s">
        <v>2396</v>
      </c>
      <c r="O213">
        <v>7</v>
      </c>
      <c r="P213" s="2">
        <v>43733</v>
      </c>
      <c r="Q213" s="1">
        <v>34</v>
      </c>
      <c r="R213" t="s">
        <v>2517</v>
      </c>
      <c r="S213">
        <v>1119537945</v>
      </c>
    </row>
    <row r="214" spans="1:19" x14ac:dyDescent="0.2">
      <c r="A214" t="str">
        <f t="shared" si="46"/>
        <v>Adult Fiction</v>
      </c>
      <c r="B214" t="str">
        <f t="shared" si="47"/>
        <v>NEW F CORNW</v>
      </c>
      <c r="C214" t="s">
        <v>2516</v>
      </c>
      <c r="D214">
        <v>357954</v>
      </c>
      <c r="E214" t="str">
        <f t="shared" si="48"/>
        <v>Cornwell, Patricia Daniels</v>
      </c>
      <c r="F214" t="str">
        <f t="shared" si="49"/>
        <v>Captain Chase series (1)</v>
      </c>
      <c r="G214" t="str">
        <f t="shared" si="50"/>
        <v>338 p.</v>
      </c>
      <c r="H214" s="1">
        <v>19</v>
      </c>
      <c r="I214">
        <v>2019</v>
      </c>
      <c r="J214" t="str">
        <f t="shared" si="40"/>
        <v>2: Fiction</v>
      </c>
      <c r="L214" t="s">
        <v>2403</v>
      </c>
      <c r="M214" t="s">
        <v>28</v>
      </c>
      <c r="N214" t="s">
        <v>2404</v>
      </c>
      <c r="O214">
        <v>7</v>
      </c>
      <c r="P214" s="2">
        <v>43733</v>
      </c>
      <c r="Q214" s="1">
        <v>34</v>
      </c>
      <c r="R214" t="s">
        <v>2517</v>
      </c>
      <c r="S214">
        <v>1119537945</v>
      </c>
    </row>
    <row r="215" spans="1:19" x14ac:dyDescent="0.2">
      <c r="A215" t="str">
        <f t="shared" si="46"/>
        <v>Adult Fiction</v>
      </c>
      <c r="B215" t="str">
        <f t="shared" si="47"/>
        <v>NEW F CORNW</v>
      </c>
      <c r="C215" t="s">
        <v>2516</v>
      </c>
      <c r="D215">
        <v>357955</v>
      </c>
      <c r="E215" t="str">
        <f t="shared" si="48"/>
        <v>Cornwell, Patricia Daniels</v>
      </c>
      <c r="F215" t="str">
        <f t="shared" si="49"/>
        <v>Captain Chase series (1)</v>
      </c>
      <c r="G215" t="str">
        <f t="shared" si="50"/>
        <v>338 p.</v>
      </c>
      <c r="H215" s="1">
        <v>19</v>
      </c>
      <c r="I215">
        <v>2019</v>
      </c>
      <c r="J215" t="str">
        <f t="shared" si="40"/>
        <v>2: Fiction</v>
      </c>
      <c r="L215" t="s">
        <v>2403</v>
      </c>
      <c r="M215" t="s">
        <v>28</v>
      </c>
      <c r="N215" t="s">
        <v>2404</v>
      </c>
      <c r="O215">
        <v>6</v>
      </c>
      <c r="P215" s="2">
        <v>43733</v>
      </c>
      <c r="Q215" s="1">
        <v>34</v>
      </c>
      <c r="R215" t="s">
        <v>2517</v>
      </c>
      <c r="S215">
        <v>1119537945</v>
      </c>
    </row>
    <row r="216" spans="1:19" x14ac:dyDescent="0.2">
      <c r="A216" t="str">
        <f t="shared" si="46"/>
        <v>Adult Fiction</v>
      </c>
      <c r="B216" t="str">
        <f t="shared" si="47"/>
        <v>NEW F CORNW</v>
      </c>
      <c r="C216" t="s">
        <v>2516</v>
      </c>
      <c r="D216">
        <v>357956</v>
      </c>
      <c r="E216" t="str">
        <f t="shared" si="48"/>
        <v>Cornwell, Patricia Daniels</v>
      </c>
      <c r="F216" t="str">
        <f t="shared" si="49"/>
        <v>Captain Chase series (1)</v>
      </c>
      <c r="G216" t="str">
        <f t="shared" si="50"/>
        <v>338 p.</v>
      </c>
      <c r="H216" s="1">
        <v>19</v>
      </c>
      <c r="I216">
        <v>2019</v>
      </c>
      <c r="J216" t="str">
        <f t="shared" si="40"/>
        <v>2: Fiction</v>
      </c>
      <c r="L216" t="s">
        <v>2395</v>
      </c>
      <c r="M216" t="s">
        <v>28</v>
      </c>
      <c r="N216" t="s">
        <v>2404</v>
      </c>
      <c r="O216">
        <v>9</v>
      </c>
      <c r="P216" s="2">
        <v>43733</v>
      </c>
      <c r="Q216" s="1">
        <v>34</v>
      </c>
      <c r="R216" t="s">
        <v>2517</v>
      </c>
      <c r="S216">
        <v>1119537945</v>
      </c>
    </row>
    <row r="217" spans="1:19" x14ac:dyDescent="0.2">
      <c r="A217" t="str">
        <f t="shared" si="46"/>
        <v>Adult Fiction</v>
      </c>
      <c r="B217" t="str">
        <f t="shared" si="47"/>
        <v>NEW F CORNW</v>
      </c>
      <c r="C217" t="s">
        <v>2516</v>
      </c>
      <c r="D217">
        <v>357957</v>
      </c>
      <c r="E217" t="str">
        <f t="shared" si="48"/>
        <v>Cornwell, Patricia Daniels</v>
      </c>
      <c r="F217" t="str">
        <f t="shared" si="49"/>
        <v>Captain Chase series (1)</v>
      </c>
      <c r="G217" t="str">
        <f t="shared" si="50"/>
        <v>338 p.</v>
      </c>
      <c r="H217" s="1">
        <v>19</v>
      </c>
      <c r="I217">
        <v>2019</v>
      </c>
      <c r="J217" t="str">
        <f t="shared" si="40"/>
        <v>2: Fiction</v>
      </c>
      <c r="L217" t="s">
        <v>2395</v>
      </c>
      <c r="M217" t="s">
        <v>28</v>
      </c>
      <c r="N217" t="s">
        <v>2404</v>
      </c>
      <c r="O217">
        <v>5</v>
      </c>
      <c r="P217" s="2">
        <v>43733</v>
      </c>
      <c r="Q217" s="1">
        <v>34</v>
      </c>
      <c r="R217" t="s">
        <v>2517</v>
      </c>
      <c r="S217">
        <v>1119537945</v>
      </c>
    </row>
    <row r="218" spans="1:19" x14ac:dyDescent="0.2">
      <c r="A218" t="str">
        <f t="shared" si="46"/>
        <v>Adult Fiction</v>
      </c>
      <c r="B218" t="str">
        <f t="shared" si="47"/>
        <v>NEW F CORNW</v>
      </c>
      <c r="C218" t="s">
        <v>2516</v>
      </c>
      <c r="D218">
        <v>357958</v>
      </c>
      <c r="E218" t="str">
        <f t="shared" si="48"/>
        <v>Cornwell, Patricia Daniels</v>
      </c>
      <c r="F218" t="str">
        <f t="shared" si="49"/>
        <v>Captain Chase series (1)</v>
      </c>
      <c r="G218" t="str">
        <f t="shared" si="50"/>
        <v>338 p.</v>
      </c>
      <c r="H218" s="1">
        <v>19</v>
      </c>
      <c r="I218">
        <v>2019</v>
      </c>
      <c r="J218" t="str">
        <f t="shared" si="40"/>
        <v>2: Fiction</v>
      </c>
      <c r="L218" t="s">
        <v>2395</v>
      </c>
      <c r="M218" t="s">
        <v>28</v>
      </c>
      <c r="N218" t="s">
        <v>2404</v>
      </c>
      <c r="O218">
        <v>8</v>
      </c>
      <c r="P218" s="2">
        <v>43733</v>
      </c>
      <c r="Q218" s="1">
        <v>34</v>
      </c>
      <c r="R218" t="s">
        <v>2517</v>
      </c>
      <c r="S218">
        <v>1119537945</v>
      </c>
    </row>
    <row r="219" spans="1:19" x14ac:dyDescent="0.2">
      <c r="A219" t="str">
        <f t="shared" si="46"/>
        <v>Adult Fiction</v>
      </c>
      <c r="B219" t="str">
        <f t="shared" si="47"/>
        <v>NEW F CORNW</v>
      </c>
      <c r="C219" t="s">
        <v>2516</v>
      </c>
      <c r="D219">
        <v>357959</v>
      </c>
      <c r="E219" t="str">
        <f t="shared" si="48"/>
        <v>Cornwell, Patricia Daniels</v>
      </c>
      <c r="F219" t="str">
        <f t="shared" si="49"/>
        <v>Captain Chase series (1)</v>
      </c>
      <c r="G219" t="str">
        <f t="shared" si="50"/>
        <v>338 p.</v>
      </c>
      <c r="H219" s="1">
        <v>19</v>
      </c>
      <c r="I219">
        <v>2019</v>
      </c>
      <c r="J219" t="str">
        <f t="shared" si="40"/>
        <v>2: Fiction</v>
      </c>
      <c r="L219" t="s">
        <v>2395</v>
      </c>
      <c r="M219" t="s">
        <v>28</v>
      </c>
      <c r="N219" t="s">
        <v>2404</v>
      </c>
      <c r="O219">
        <v>6</v>
      </c>
      <c r="P219" s="2">
        <v>43733</v>
      </c>
      <c r="Q219" s="1">
        <v>34</v>
      </c>
      <c r="R219" t="s">
        <v>2517</v>
      </c>
      <c r="S219">
        <v>1119537945</v>
      </c>
    </row>
    <row r="220" spans="1:19" x14ac:dyDescent="0.2">
      <c r="A220" t="str">
        <f t="shared" si="46"/>
        <v>Adult Fiction</v>
      </c>
      <c r="B220" t="str">
        <f>"NEW F COTTE"</f>
        <v>NEW F COTTE</v>
      </c>
      <c r="C220" t="str">
        <f>"Don't eat me"</f>
        <v>Don't eat me</v>
      </c>
      <c r="D220">
        <v>359184</v>
      </c>
      <c r="E220" t="str">
        <f>"Cotterill, Colin"</f>
        <v>Cotterill, Colin</v>
      </c>
      <c r="F220" t="str">
        <f>"Dr. Siri Paiboun series (13)"</f>
        <v>Dr. Siri Paiboun series (13)</v>
      </c>
      <c r="G220" t="str">
        <f>"287 p."</f>
        <v>287 p.</v>
      </c>
      <c r="H220" s="1">
        <v>19</v>
      </c>
      <c r="I220">
        <v>2019</v>
      </c>
      <c r="J220" t="str">
        <f t="shared" si="40"/>
        <v>2: Fiction</v>
      </c>
      <c r="L220" t="s">
        <v>2403</v>
      </c>
      <c r="M220" t="s">
        <v>28</v>
      </c>
      <c r="N220" t="s">
        <v>2396</v>
      </c>
      <c r="O220">
        <v>3</v>
      </c>
      <c r="P220" s="2">
        <v>43782</v>
      </c>
      <c r="Q220" s="1">
        <v>21</v>
      </c>
      <c r="R220" t="s">
        <v>2518</v>
      </c>
      <c r="S220">
        <v>1057290811</v>
      </c>
    </row>
    <row r="221" spans="1:19" x14ac:dyDescent="0.2">
      <c r="A221" t="str">
        <f t="shared" si="46"/>
        <v>Adult Fiction</v>
      </c>
      <c r="B221" t="str">
        <f>"NEW F COTTE"</f>
        <v>NEW F COTTE</v>
      </c>
      <c r="C221" t="str">
        <f>"The second biggest nothing"</f>
        <v>The second biggest nothing</v>
      </c>
      <c r="D221">
        <v>357120</v>
      </c>
      <c r="E221" t="str">
        <f>"Cotterill, Colin"</f>
        <v>Cotterill, Colin</v>
      </c>
      <c r="F221" t="str">
        <f>"Dr. Siri Paiboun series (14)"</f>
        <v>Dr. Siri Paiboun series (14)</v>
      </c>
      <c r="G221" t="str">
        <f>"254 pages, 22 cm"</f>
        <v>254 pages, 22 cm</v>
      </c>
      <c r="H221" s="1">
        <v>19</v>
      </c>
      <c r="I221">
        <v>2019</v>
      </c>
      <c r="J221" t="str">
        <f t="shared" si="40"/>
        <v>2: Fiction</v>
      </c>
      <c r="L221" t="s">
        <v>2395</v>
      </c>
      <c r="M221" t="s">
        <v>28</v>
      </c>
      <c r="N221" t="s">
        <v>2404</v>
      </c>
      <c r="O221">
        <v>4</v>
      </c>
      <c r="P221" s="2">
        <v>43704</v>
      </c>
      <c r="Q221" s="1">
        <v>33</v>
      </c>
      <c r="R221" t="s">
        <v>2519</v>
      </c>
      <c r="S221">
        <v>1111736327</v>
      </c>
    </row>
    <row r="222" spans="1:19" x14ac:dyDescent="0.2">
      <c r="A222" t="str">
        <f t="shared" si="46"/>
        <v>Adult Fiction</v>
      </c>
      <c r="B222" t="str">
        <f>"NEW F COULS"</f>
        <v>NEW F COULS</v>
      </c>
      <c r="C222" t="str">
        <f>"Metropolitan stories: a novel"</f>
        <v>Metropolitan stories: a novel</v>
      </c>
      <c r="D222">
        <v>359990</v>
      </c>
      <c r="E222" t="str">
        <f>"Coulson, Christine"</f>
        <v>Coulson, Christine</v>
      </c>
      <c r="G222" t="str">
        <f>"249 pages, 20 cm"</f>
        <v>249 pages, 20 cm</v>
      </c>
      <c r="H222" s="1">
        <v>19</v>
      </c>
      <c r="I222">
        <v>2019</v>
      </c>
      <c r="J222" t="str">
        <f t="shared" si="40"/>
        <v>2: Fiction</v>
      </c>
      <c r="L222" t="s">
        <v>2395</v>
      </c>
      <c r="M222" t="s">
        <v>28</v>
      </c>
      <c r="N222" t="s">
        <v>2396</v>
      </c>
      <c r="O222">
        <v>1</v>
      </c>
      <c r="P222" s="2">
        <v>43826</v>
      </c>
      <c r="Q222" s="1">
        <v>28</v>
      </c>
      <c r="R222" t="s">
        <v>2520</v>
      </c>
      <c r="S222">
        <v>1082438112</v>
      </c>
    </row>
    <row r="223" spans="1:19" x14ac:dyDescent="0.2">
      <c r="A223" t="str">
        <f t="shared" si="46"/>
        <v>Adult Fiction</v>
      </c>
      <c r="B223" t="str">
        <f>"NEW F COULT"</f>
        <v>NEW F COULT</v>
      </c>
      <c r="C223" t="s">
        <v>2521</v>
      </c>
      <c r="D223">
        <v>356479</v>
      </c>
      <c r="E223" t="str">
        <f>"Coulter, Catherine"</f>
        <v>Coulter, Catherine</v>
      </c>
      <c r="F223" t="str">
        <f>"FBI series (23)"</f>
        <v>FBI series (23)</v>
      </c>
      <c r="G223" t="str">
        <f>"497 pages, 24 cm"</f>
        <v>497 pages, 24 cm</v>
      </c>
      <c r="H223" s="1">
        <v>19</v>
      </c>
      <c r="I223">
        <v>2019</v>
      </c>
      <c r="J223" t="str">
        <f t="shared" si="40"/>
        <v>2: Fiction</v>
      </c>
      <c r="L223" t="s">
        <v>2395</v>
      </c>
      <c r="M223" t="s">
        <v>28</v>
      </c>
      <c r="N223" t="s">
        <v>2404</v>
      </c>
      <c r="O223">
        <v>12</v>
      </c>
      <c r="P223" s="2">
        <v>43675</v>
      </c>
      <c r="Q223" s="1">
        <v>33</v>
      </c>
      <c r="R223" t="s">
        <v>2522</v>
      </c>
      <c r="S223">
        <v>1056743947</v>
      </c>
    </row>
    <row r="224" spans="1:19" x14ac:dyDescent="0.2">
      <c r="A224" t="str">
        <f t="shared" si="46"/>
        <v>Adult Fiction</v>
      </c>
      <c r="B224" t="str">
        <f>"NEW F COULT"</f>
        <v>NEW F COULT</v>
      </c>
      <c r="C224" t="s">
        <v>2521</v>
      </c>
      <c r="D224">
        <v>356482</v>
      </c>
      <c r="E224" t="str">
        <f>"Coulter, Catherine"</f>
        <v>Coulter, Catherine</v>
      </c>
      <c r="F224" t="str">
        <f>"FBI series (23)"</f>
        <v>FBI series (23)</v>
      </c>
      <c r="G224" t="str">
        <f>"497 pages, 24 cm"</f>
        <v>497 pages, 24 cm</v>
      </c>
      <c r="H224" s="1">
        <v>19</v>
      </c>
      <c r="I224">
        <v>2019</v>
      </c>
      <c r="J224" t="str">
        <f t="shared" si="40"/>
        <v>2: Fiction</v>
      </c>
      <c r="L224" t="s">
        <v>2395</v>
      </c>
      <c r="M224" t="s">
        <v>28</v>
      </c>
      <c r="N224" t="s">
        <v>2404</v>
      </c>
      <c r="O224">
        <v>7</v>
      </c>
      <c r="P224" s="2">
        <v>43675</v>
      </c>
      <c r="Q224" s="1">
        <v>33</v>
      </c>
      <c r="R224" t="s">
        <v>2522</v>
      </c>
      <c r="S224">
        <v>1056743947</v>
      </c>
    </row>
    <row r="225" spans="1:19" x14ac:dyDescent="0.2">
      <c r="A225" t="str">
        <f t="shared" si="46"/>
        <v>Adult Fiction</v>
      </c>
      <c r="B225" t="str">
        <f>"NEW F COULT"</f>
        <v>NEW F COULT</v>
      </c>
      <c r="C225" t="s">
        <v>2521</v>
      </c>
      <c r="D225">
        <v>356483</v>
      </c>
      <c r="E225" t="str">
        <f>"Coulter, Catherine"</f>
        <v>Coulter, Catherine</v>
      </c>
      <c r="F225" t="str">
        <f>"FBI series (23)"</f>
        <v>FBI series (23)</v>
      </c>
      <c r="G225" t="str">
        <f>"497 pages, 24 cm"</f>
        <v>497 pages, 24 cm</v>
      </c>
      <c r="H225" s="1">
        <v>19</v>
      </c>
      <c r="I225">
        <v>2019</v>
      </c>
      <c r="J225" t="str">
        <f t="shared" si="40"/>
        <v>2: Fiction</v>
      </c>
      <c r="L225" t="s">
        <v>2395</v>
      </c>
      <c r="M225" t="s">
        <v>28</v>
      </c>
      <c r="N225" t="s">
        <v>2404</v>
      </c>
      <c r="O225">
        <v>10</v>
      </c>
      <c r="P225" s="2">
        <v>43675</v>
      </c>
      <c r="Q225" s="1">
        <v>33</v>
      </c>
      <c r="R225" t="s">
        <v>2522</v>
      </c>
      <c r="S225">
        <v>1056743947</v>
      </c>
    </row>
    <row r="226" spans="1:19" x14ac:dyDescent="0.2">
      <c r="A226" t="str">
        <f t="shared" si="46"/>
        <v>Adult Fiction</v>
      </c>
      <c r="B226" t="str">
        <f>"NEW F CRAIS"</f>
        <v>NEW F CRAIS</v>
      </c>
      <c r="C226" t="str">
        <f>"A dangerous man"</f>
        <v>A dangerous man</v>
      </c>
      <c r="D226">
        <v>356713</v>
      </c>
      <c r="E226" t="str">
        <f>"Crais, Robert"</f>
        <v>Crais, Robert</v>
      </c>
      <c r="F226" t="str">
        <f>"Elvis Cole Private Eye series (18)"</f>
        <v>Elvis Cole Private Eye series (18)</v>
      </c>
      <c r="G226" t="str">
        <f>"339 pages, 24 cm"</f>
        <v>339 pages, 24 cm</v>
      </c>
      <c r="H226" s="1">
        <v>19</v>
      </c>
      <c r="I226">
        <v>2019</v>
      </c>
      <c r="J226" t="str">
        <f t="shared" si="40"/>
        <v>2: Fiction</v>
      </c>
      <c r="L226" t="s">
        <v>2395</v>
      </c>
      <c r="M226" t="s">
        <v>28</v>
      </c>
      <c r="N226" t="s">
        <v>2404</v>
      </c>
      <c r="O226">
        <v>10</v>
      </c>
      <c r="P226" s="2">
        <v>43689</v>
      </c>
      <c r="Q226" s="1">
        <v>33</v>
      </c>
      <c r="R226" t="s">
        <v>2523</v>
      </c>
      <c r="S226">
        <v>1055684275</v>
      </c>
    </row>
    <row r="227" spans="1:19" x14ac:dyDescent="0.2">
      <c r="A227" t="str">
        <f t="shared" si="46"/>
        <v>Adult Fiction</v>
      </c>
      <c r="B227" t="str">
        <f>"NEW F CRAIS"</f>
        <v>NEW F CRAIS</v>
      </c>
      <c r="C227" t="str">
        <f>"A dangerous man"</f>
        <v>A dangerous man</v>
      </c>
      <c r="D227">
        <v>356714</v>
      </c>
      <c r="E227" t="str">
        <f>"Crais, Robert"</f>
        <v>Crais, Robert</v>
      </c>
      <c r="F227" t="str">
        <f>"Elvis Cole Private Eye series (18)"</f>
        <v>Elvis Cole Private Eye series (18)</v>
      </c>
      <c r="G227" t="str">
        <f>"339 pages, 24 cm"</f>
        <v>339 pages, 24 cm</v>
      </c>
      <c r="H227" s="1">
        <v>19</v>
      </c>
      <c r="I227">
        <v>2019</v>
      </c>
      <c r="J227" t="str">
        <f t="shared" si="40"/>
        <v>2: Fiction</v>
      </c>
      <c r="L227" t="s">
        <v>2395</v>
      </c>
      <c r="M227" t="s">
        <v>28</v>
      </c>
      <c r="N227" t="s">
        <v>2404</v>
      </c>
      <c r="O227">
        <v>12</v>
      </c>
      <c r="P227" s="2">
        <v>43689</v>
      </c>
      <c r="Q227" s="1">
        <v>33</v>
      </c>
      <c r="R227" t="s">
        <v>2523</v>
      </c>
      <c r="S227">
        <v>1055684275</v>
      </c>
    </row>
    <row r="228" spans="1:19" x14ac:dyDescent="0.2">
      <c r="A228" t="str">
        <f t="shared" si="46"/>
        <v>Adult Fiction</v>
      </c>
      <c r="B228" t="str">
        <f>"NEW F CRAIS"</f>
        <v>NEW F CRAIS</v>
      </c>
      <c r="C228" t="str">
        <f>"A dangerous man"</f>
        <v>A dangerous man</v>
      </c>
      <c r="D228">
        <v>356717</v>
      </c>
      <c r="E228" t="str">
        <f>"Crais, Robert"</f>
        <v>Crais, Robert</v>
      </c>
      <c r="F228" t="str">
        <f>"Elvis Cole Private Eye series (18)"</f>
        <v>Elvis Cole Private Eye series (18)</v>
      </c>
      <c r="G228" t="str">
        <f>"339 pages, 24 cm"</f>
        <v>339 pages, 24 cm</v>
      </c>
      <c r="H228" s="1">
        <v>19</v>
      </c>
      <c r="I228">
        <v>2019</v>
      </c>
      <c r="J228" t="str">
        <f t="shared" si="40"/>
        <v>2: Fiction</v>
      </c>
      <c r="L228" t="s">
        <v>2395</v>
      </c>
      <c r="M228" t="s">
        <v>28</v>
      </c>
      <c r="N228" t="s">
        <v>2404</v>
      </c>
      <c r="O228">
        <v>12</v>
      </c>
      <c r="P228" s="2">
        <v>43689</v>
      </c>
      <c r="Q228" s="1">
        <v>33</v>
      </c>
      <c r="R228" t="s">
        <v>2523</v>
      </c>
      <c r="S228">
        <v>1055684275</v>
      </c>
    </row>
    <row r="229" spans="1:19" x14ac:dyDescent="0.2">
      <c r="A229" t="str">
        <f t="shared" si="46"/>
        <v>Adult Fiction</v>
      </c>
      <c r="B229" t="str">
        <f>"NEW F CRAIS"</f>
        <v>NEW F CRAIS</v>
      </c>
      <c r="C229" t="str">
        <f>"A dangerous man"</f>
        <v>A dangerous man</v>
      </c>
      <c r="D229">
        <v>356718</v>
      </c>
      <c r="E229" t="str">
        <f>"Crais, Robert"</f>
        <v>Crais, Robert</v>
      </c>
      <c r="F229" t="str">
        <f>"Elvis Cole Private Eye series (18)"</f>
        <v>Elvis Cole Private Eye series (18)</v>
      </c>
      <c r="G229" t="str">
        <f>"339 pages, 24 cm"</f>
        <v>339 pages, 24 cm</v>
      </c>
      <c r="H229" s="1">
        <v>19</v>
      </c>
      <c r="I229">
        <v>2019</v>
      </c>
      <c r="J229" t="str">
        <f t="shared" si="40"/>
        <v>2: Fiction</v>
      </c>
      <c r="L229" t="s">
        <v>2395</v>
      </c>
      <c r="M229" t="s">
        <v>28</v>
      </c>
      <c r="N229" t="s">
        <v>2404</v>
      </c>
      <c r="O229">
        <v>12</v>
      </c>
      <c r="P229" s="2">
        <v>43689</v>
      </c>
      <c r="Q229" s="1">
        <v>33</v>
      </c>
      <c r="R229" t="s">
        <v>2523</v>
      </c>
      <c r="S229">
        <v>1055684275</v>
      </c>
    </row>
    <row r="230" spans="1:19" x14ac:dyDescent="0.2">
      <c r="A230" t="str">
        <f t="shared" si="46"/>
        <v>Adult Fiction</v>
      </c>
      <c r="B230" t="str">
        <f>"NEW F CRICH"</f>
        <v>NEW F CRICH</v>
      </c>
      <c r="C230" t="str">
        <f>"The Andromeda evolution"</f>
        <v>The Andromeda evolution</v>
      </c>
      <c r="D230">
        <v>359173</v>
      </c>
      <c r="E230" t="str">
        <f>"Crichton, Michael"</f>
        <v>Crichton, Michael</v>
      </c>
      <c r="G230" t="str">
        <f>"xiv, 366 pages, 24 cm, illustrations"</f>
        <v>xiv, 366 pages, 24 cm, illustrations</v>
      </c>
      <c r="H230" s="1">
        <v>19</v>
      </c>
      <c r="I230">
        <v>2019</v>
      </c>
      <c r="J230" t="str">
        <f t="shared" si="40"/>
        <v>2: Fiction</v>
      </c>
      <c r="L230" t="s">
        <v>2403</v>
      </c>
      <c r="M230" t="s">
        <v>28</v>
      </c>
      <c r="N230" t="s">
        <v>2404</v>
      </c>
      <c r="O230">
        <v>5</v>
      </c>
      <c r="P230" s="2">
        <v>43782</v>
      </c>
      <c r="Q230" s="1">
        <v>35</v>
      </c>
      <c r="R230" t="s">
        <v>2524</v>
      </c>
      <c r="S230">
        <v>1107153762</v>
      </c>
    </row>
    <row r="231" spans="1:19" x14ac:dyDescent="0.2">
      <c r="A231" t="str">
        <f t="shared" si="46"/>
        <v>Adult Fiction</v>
      </c>
      <c r="B231" t="str">
        <f>"NEW F CROMB"</f>
        <v>NEW F CROMB</v>
      </c>
      <c r="C231" t="str">
        <f>"A bitter feast"</f>
        <v>A bitter feast</v>
      </c>
      <c r="D231">
        <v>358372</v>
      </c>
      <c r="E231" t="str">
        <f>"Crombie, Deborah"</f>
        <v>Crombie, Deborah</v>
      </c>
      <c r="F231" t="str">
        <f>"Duncan Kincaid/Gemma James Mystery series (18)"</f>
        <v>Duncan Kincaid/Gemma James Mystery series (18)</v>
      </c>
      <c r="G231" t="str">
        <f>"372 p."</f>
        <v>372 p.</v>
      </c>
      <c r="H231" s="1">
        <v>19</v>
      </c>
      <c r="I231">
        <v>2019</v>
      </c>
      <c r="J231" t="str">
        <f t="shared" si="40"/>
        <v>2: Fiction</v>
      </c>
      <c r="L231" t="s">
        <v>2395</v>
      </c>
      <c r="M231" t="s">
        <v>28</v>
      </c>
      <c r="N231" t="s">
        <v>2404</v>
      </c>
      <c r="O231">
        <v>6</v>
      </c>
      <c r="P231" s="2">
        <v>43749</v>
      </c>
      <c r="Q231" s="1">
        <v>31</v>
      </c>
      <c r="R231" t="s">
        <v>2525</v>
      </c>
      <c r="S231">
        <v>1081375637</v>
      </c>
    </row>
    <row r="232" spans="1:19" x14ac:dyDescent="0.2">
      <c r="A232" t="str">
        <f t="shared" si="46"/>
        <v>Adult Fiction</v>
      </c>
      <c r="B232" t="str">
        <f>"NEW F CROMB"</f>
        <v>NEW F CROMB</v>
      </c>
      <c r="C232" t="str">
        <f>"A bitter feast"</f>
        <v>A bitter feast</v>
      </c>
      <c r="D232">
        <v>358373</v>
      </c>
      <c r="E232" t="str">
        <f>"Crombie, Deborah"</f>
        <v>Crombie, Deborah</v>
      </c>
      <c r="F232" t="str">
        <f>"Duncan Kincaid/Gemma James Mystery series (18)"</f>
        <v>Duncan Kincaid/Gemma James Mystery series (18)</v>
      </c>
      <c r="G232" t="str">
        <f>"372 p."</f>
        <v>372 p.</v>
      </c>
      <c r="H232" s="1">
        <v>19</v>
      </c>
      <c r="I232">
        <v>2019</v>
      </c>
      <c r="J232" t="str">
        <f t="shared" si="40"/>
        <v>2: Fiction</v>
      </c>
      <c r="L232" t="s">
        <v>2403</v>
      </c>
      <c r="M232" t="s">
        <v>28</v>
      </c>
      <c r="N232" t="s">
        <v>2396</v>
      </c>
      <c r="O232">
        <v>6</v>
      </c>
      <c r="P232" s="2">
        <v>43749</v>
      </c>
      <c r="Q232" s="1">
        <v>31</v>
      </c>
      <c r="R232" t="s">
        <v>2525</v>
      </c>
      <c r="S232">
        <v>1081375637</v>
      </c>
    </row>
    <row r="233" spans="1:19" x14ac:dyDescent="0.2">
      <c r="A233" t="str">
        <f t="shared" si="46"/>
        <v>Adult Fiction</v>
      </c>
      <c r="B233" t="str">
        <f>"NEW F CRUMM"</f>
        <v>NEW F CRUMM</v>
      </c>
      <c r="C233" t="str">
        <f>"The innocents"</f>
        <v>The innocents</v>
      </c>
      <c r="D233">
        <v>359243</v>
      </c>
      <c r="E233" t="str">
        <f>"Crummey, Michael"</f>
        <v>Crummey, Michael</v>
      </c>
      <c r="G233" t="str">
        <f>"290 pages, 22 cm"</f>
        <v>290 pages, 22 cm</v>
      </c>
      <c r="H233" s="1">
        <v>19</v>
      </c>
      <c r="I233">
        <v>2019</v>
      </c>
      <c r="J233" t="str">
        <f t="shared" si="40"/>
        <v>2: Fiction</v>
      </c>
      <c r="L233" t="s">
        <v>2403</v>
      </c>
      <c r="M233" t="s">
        <v>28</v>
      </c>
      <c r="N233" t="s">
        <v>2396</v>
      </c>
      <c r="O233">
        <v>3</v>
      </c>
      <c r="P233" s="2">
        <v>43782</v>
      </c>
      <c r="Q233" s="1">
        <v>32</v>
      </c>
      <c r="R233" t="s">
        <v>2526</v>
      </c>
      <c r="S233">
        <v>1080248328</v>
      </c>
    </row>
    <row r="234" spans="1:19" x14ac:dyDescent="0.2">
      <c r="A234" t="str">
        <f t="shared" si="46"/>
        <v>Adult Fiction</v>
      </c>
      <c r="B234" t="str">
        <f>"NEW F CRUZ"</f>
        <v>NEW F CRUZ</v>
      </c>
      <c r="C234" t="s">
        <v>2527</v>
      </c>
      <c r="D234">
        <v>357257</v>
      </c>
      <c r="E234" t="str">
        <f>"Cruz, Angie"</f>
        <v>Cruz, Angie</v>
      </c>
      <c r="G234" t="str">
        <f>"322 pages, 24 cm"</f>
        <v>322 pages, 24 cm</v>
      </c>
      <c r="H234" s="1">
        <v>19</v>
      </c>
      <c r="I234">
        <v>2019</v>
      </c>
      <c r="J234" t="str">
        <f t="shared" si="40"/>
        <v>2: Fiction</v>
      </c>
      <c r="L234" t="s">
        <v>2395</v>
      </c>
      <c r="M234" t="s">
        <v>28</v>
      </c>
      <c r="N234" t="s">
        <v>2396</v>
      </c>
      <c r="O234">
        <v>2</v>
      </c>
      <c r="P234" s="2">
        <v>43711</v>
      </c>
      <c r="Q234" s="1">
        <v>32</v>
      </c>
      <c r="R234" t="s">
        <v>2528</v>
      </c>
      <c r="S234">
        <v>1079850327</v>
      </c>
    </row>
    <row r="235" spans="1:19" x14ac:dyDescent="0.2">
      <c r="A235" t="str">
        <f t="shared" si="46"/>
        <v>Adult Fiction</v>
      </c>
      <c r="B235" t="str">
        <f>"NEW F CUMMI"</f>
        <v>NEW F CUMMI</v>
      </c>
      <c r="C235" t="str">
        <f>"American dirt: a novel"</f>
        <v>American dirt: a novel</v>
      </c>
      <c r="D235">
        <v>360262</v>
      </c>
      <c r="E235" t="str">
        <f>"Cummins, Jeanine."</f>
        <v>Cummins, Jeanine.</v>
      </c>
      <c r="G235" t="str">
        <f>"378 p."</f>
        <v>378 p.</v>
      </c>
      <c r="H235" s="1">
        <v>19</v>
      </c>
      <c r="I235">
        <v>2020</v>
      </c>
      <c r="J235" t="str">
        <f t="shared" si="40"/>
        <v>2: Fiction</v>
      </c>
      <c r="L235" t="s">
        <v>2395</v>
      </c>
      <c r="M235" t="s">
        <v>28</v>
      </c>
      <c r="N235" t="s">
        <v>2404</v>
      </c>
      <c r="O235">
        <v>1</v>
      </c>
      <c r="P235" s="2">
        <v>43844</v>
      </c>
      <c r="Q235" s="1">
        <v>33</v>
      </c>
      <c r="R235" t="s">
        <v>2529</v>
      </c>
    </row>
    <row r="236" spans="1:19" x14ac:dyDescent="0.2">
      <c r="A236" t="str">
        <f t="shared" si="46"/>
        <v>Adult Fiction</v>
      </c>
      <c r="B236" t="str">
        <f>"NEW F CURTI"</f>
        <v>NEW F CURTI</v>
      </c>
      <c r="C236" t="str">
        <f>"We met in December"</f>
        <v>We met in December</v>
      </c>
      <c r="D236">
        <v>359150</v>
      </c>
      <c r="E236" t="str">
        <f>"Curtis, Rosie"</f>
        <v>Curtis, Rosie</v>
      </c>
      <c r="G236" t="str">
        <f>"391 p."</f>
        <v>391 p.</v>
      </c>
      <c r="H236" s="1">
        <v>19</v>
      </c>
      <c r="I236">
        <v>2019</v>
      </c>
      <c r="J236" t="str">
        <f t="shared" si="40"/>
        <v>2: Fiction</v>
      </c>
      <c r="L236" t="s">
        <v>2395</v>
      </c>
      <c r="M236" t="s">
        <v>28</v>
      </c>
      <c r="N236" t="s">
        <v>2396</v>
      </c>
      <c r="O236">
        <v>4</v>
      </c>
      <c r="P236" s="2">
        <v>43781</v>
      </c>
      <c r="Q236" s="1">
        <v>21</v>
      </c>
      <c r="R236" t="s">
        <v>2530</v>
      </c>
      <c r="S236">
        <v>1100049445</v>
      </c>
    </row>
    <row r="237" spans="1:19" x14ac:dyDescent="0.2">
      <c r="A237" t="str">
        <f t="shared" si="46"/>
        <v>Adult Fiction</v>
      </c>
      <c r="B237" t="str">
        <f>"NEW F CURTI"</f>
        <v>NEW F CURTI</v>
      </c>
      <c r="C237" t="s">
        <v>2531</v>
      </c>
      <c r="D237">
        <v>360616</v>
      </c>
      <c r="E237" t="str">
        <f>"Curtis, Rye"</f>
        <v>Curtis, Rye</v>
      </c>
      <c r="G237" t="str">
        <f>"295 pages, 25 cm"</f>
        <v>295 pages, 25 cm</v>
      </c>
      <c r="H237" s="1">
        <v>20</v>
      </c>
      <c r="I237">
        <v>2020</v>
      </c>
      <c r="J237" t="str">
        <f t="shared" si="40"/>
        <v>2: Fiction</v>
      </c>
      <c r="L237" t="s">
        <v>2395</v>
      </c>
      <c r="M237" t="s">
        <v>28</v>
      </c>
      <c r="N237" t="s">
        <v>2495</v>
      </c>
      <c r="O237">
        <v>0</v>
      </c>
      <c r="P237" s="2">
        <v>43859</v>
      </c>
      <c r="Q237" s="1">
        <v>33</v>
      </c>
      <c r="R237" t="s">
        <v>2532</v>
      </c>
      <c r="S237">
        <v>1101500609</v>
      </c>
    </row>
    <row r="238" spans="1:19" x14ac:dyDescent="0.2">
      <c r="A238" t="str">
        <f t="shared" si="46"/>
        <v>Adult Fiction</v>
      </c>
      <c r="B238" t="str">
        <f>"NEW F CURTI"</f>
        <v>NEW F CURTI</v>
      </c>
      <c r="C238" t="s">
        <v>2531</v>
      </c>
      <c r="D238">
        <v>360617</v>
      </c>
      <c r="E238" t="str">
        <f>"Curtis, Rye"</f>
        <v>Curtis, Rye</v>
      </c>
      <c r="G238" t="str">
        <f>"295 pages, 25 cm"</f>
        <v>295 pages, 25 cm</v>
      </c>
      <c r="H238" s="1">
        <v>20</v>
      </c>
      <c r="I238">
        <v>2020</v>
      </c>
      <c r="J238" t="str">
        <f t="shared" si="40"/>
        <v>2: Fiction</v>
      </c>
      <c r="L238" t="s">
        <v>2403</v>
      </c>
      <c r="M238" t="s">
        <v>28</v>
      </c>
      <c r="N238" t="s">
        <v>2495</v>
      </c>
      <c r="O238">
        <v>0</v>
      </c>
      <c r="P238" s="2">
        <v>43859</v>
      </c>
      <c r="Q238" s="1">
        <v>33</v>
      </c>
      <c r="R238" t="s">
        <v>2532</v>
      </c>
      <c r="S238">
        <v>1101500609</v>
      </c>
    </row>
    <row r="239" spans="1:19" x14ac:dyDescent="0.2">
      <c r="A239" t="str">
        <f t="shared" si="46"/>
        <v>Adult Fiction</v>
      </c>
      <c r="B239" t="str">
        <f t="shared" ref="B239:B247" si="51">"NEW F CUSSL"</f>
        <v>NEW F CUSSL</v>
      </c>
      <c r="C239" t="str">
        <f>"Final option: a novel of the Oregon files"</f>
        <v>Final option: a novel of the Oregon files</v>
      </c>
      <c r="D239">
        <v>358991</v>
      </c>
      <c r="E239" t="str">
        <f t="shared" ref="E239:E247" si="52">"Cussler, Clive"</f>
        <v>Cussler, Clive</v>
      </c>
      <c r="F239" t="str">
        <f>"Oregon Files series (14)"</f>
        <v>Oregon Files series (14)</v>
      </c>
      <c r="G239" t="str">
        <f>"390 pages, 24 cm"</f>
        <v>390 pages, 24 cm</v>
      </c>
      <c r="H239" s="1">
        <v>19</v>
      </c>
      <c r="I239">
        <v>2019</v>
      </c>
      <c r="J239" t="str">
        <f t="shared" si="40"/>
        <v>2: Fiction</v>
      </c>
      <c r="L239" t="s">
        <v>2395</v>
      </c>
      <c r="M239" t="s">
        <v>28</v>
      </c>
      <c r="N239" t="s">
        <v>2404</v>
      </c>
      <c r="O239">
        <v>4</v>
      </c>
      <c r="P239" s="2">
        <v>43780</v>
      </c>
      <c r="Q239" s="1">
        <v>34</v>
      </c>
      <c r="R239" t="s">
        <v>2533</v>
      </c>
      <c r="S239">
        <v>1114275117</v>
      </c>
    </row>
    <row r="240" spans="1:19" x14ac:dyDescent="0.2">
      <c r="A240" t="str">
        <f t="shared" si="46"/>
        <v>Adult Fiction</v>
      </c>
      <c r="B240" t="str">
        <f t="shared" si="51"/>
        <v>NEW F CUSSL</v>
      </c>
      <c r="C240" t="str">
        <f>"Final option: a novel of the Oregon files"</f>
        <v>Final option: a novel of the Oregon files</v>
      </c>
      <c r="D240">
        <v>358992</v>
      </c>
      <c r="E240" t="str">
        <f t="shared" si="52"/>
        <v>Cussler, Clive</v>
      </c>
      <c r="F240" t="str">
        <f>"Oregon Files series (14)"</f>
        <v>Oregon Files series (14)</v>
      </c>
      <c r="G240" t="str">
        <f>"390 pages, 24 cm"</f>
        <v>390 pages, 24 cm</v>
      </c>
      <c r="H240" s="1">
        <v>19</v>
      </c>
      <c r="I240">
        <v>2019</v>
      </c>
      <c r="J240" t="str">
        <f t="shared" si="40"/>
        <v>2: Fiction</v>
      </c>
      <c r="L240" t="s">
        <v>2395</v>
      </c>
      <c r="M240" t="s">
        <v>28</v>
      </c>
      <c r="N240" t="s">
        <v>2396</v>
      </c>
      <c r="O240">
        <v>7</v>
      </c>
      <c r="P240" s="2">
        <v>43780</v>
      </c>
      <c r="Q240" s="1">
        <v>34</v>
      </c>
      <c r="R240" t="s">
        <v>2533</v>
      </c>
      <c r="S240">
        <v>1114275117</v>
      </c>
    </row>
    <row r="241" spans="1:19" x14ac:dyDescent="0.2">
      <c r="A241" t="str">
        <f t="shared" si="46"/>
        <v>Adult Fiction</v>
      </c>
      <c r="B241" t="str">
        <f t="shared" si="51"/>
        <v>NEW F CUSSL</v>
      </c>
      <c r="C241" t="str">
        <f>"Final option: a novel of the Oregon files"</f>
        <v>Final option: a novel of the Oregon files</v>
      </c>
      <c r="D241">
        <v>358993</v>
      </c>
      <c r="E241" t="str">
        <f t="shared" si="52"/>
        <v>Cussler, Clive</v>
      </c>
      <c r="F241" t="str">
        <f>"Oregon Files series (14)"</f>
        <v>Oregon Files series (14)</v>
      </c>
      <c r="G241" t="str">
        <f>"390 pages, 24 cm"</f>
        <v>390 pages, 24 cm</v>
      </c>
      <c r="H241" s="1">
        <v>19</v>
      </c>
      <c r="I241">
        <v>2019</v>
      </c>
      <c r="J241" t="str">
        <f t="shared" si="40"/>
        <v>2: Fiction</v>
      </c>
      <c r="L241" t="s">
        <v>2395</v>
      </c>
      <c r="M241" t="s">
        <v>28</v>
      </c>
      <c r="N241" t="s">
        <v>2404</v>
      </c>
      <c r="O241">
        <v>5</v>
      </c>
      <c r="P241" s="2">
        <v>43780</v>
      </c>
      <c r="Q241" s="1">
        <v>34</v>
      </c>
      <c r="R241" t="s">
        <v>2533</v>
      </c>
      <c r="S241">
        <v>1114275117</v>
      </c>
    </row>
    <row r="242" spans="1:19" x14ac:dyDescent="0.2">
      <c r="A242" t="str">
        <f t="shared" si="46"/>
        <v>Adult Fiction</v>
      </c>
      <c r="B242" t="str">
        <f t="shared" si="51"/>
        <v>NEW F CUSSL</v>
      </c>
      <c r="C242" t="str">
        <f>"Final option: a novel of the Oregon files"</f>
        <v>Final option: a novel of the Oregon files</v>
      </c>
      <c r="D242">
        <v>358994</v>
      </c>
      <c r="E242" t="str">
        <f t="shared" si="52"/>
        <v>Cussler, Clive</v>
      </c>
      <c r="F242" t="str">
        <f>"Oregon Files series (14)"</f>
        <v>Oregon Files series (14)</v>
      </c>
      <c r="G242" t="str">
        <f>"390 pages, 24 cm"</f>
        <v>390 pages, 24 cm</v>
      </c>
      <c r="H242" s="1">
        <v>19</v>
      </c>
      <c r="I242">
        <v>2019</v>
      </c>
      <c r="J242" t="str">
        <f t="shared" si="40"/>
        <v>2: Fiction</v>
      </c>
      <c r="L242" t="s">
        <v>2395</v>
      </c>
      <c r="M242" t="s">
        <v>28</v>
      </c>
      <c r="N242" t="s">
        <v>2404</v>
      </c>
      <c r="O242">
        <v>5</v>
      </c>
      <c r="P242" s="2">
        <v>43780</v>
      </c>
      <c r="Q242" s="1">
        <v>34</v>
      </c>
      <c r="R242" t="s">
        <v>2533</v>
      </c>
      <c r="S242">
        <v>1114275117</v>
      </c>
    </row>
    <row r="243" spans="1:19" x14ac:dyDescent="0.2">
      <c r="A243" t="str">
        <f t="shared" si="46"/>
        <v>Adult Fiction</v>
      </c>
      <c r="B243" t="str">
        <f t="shared" si="51"/>
        <v>NEW F CUSSL</v>
      </c>
      <c r="C243" t="str">
        <f>"Final option: a novel of the Oregon files"</f>
        <v>Final option: a novel of the Oregon files</v>
      </c>
      <c r="D243">
        <v>358995</v>
      </c>
      <c r="E243" t="str">
        <f t="shared" si="52"/>
        <v>Cussler, Clive</v>
      </c>
      <c r="F243" t="str">
        <f>"Oregon Files series (14)"</f>
        <v>Oregon Files series (14)</v>
      </c>
      <c r="G243" t="str">
        <f>"390 pages, 24 cm"</f>
        <v>390 pages, 24 cm</v>
      </c>
      <c r="H243" s="1">
        <v>19</v>
      </c>
      <c r="I243">
        <v>2019</v>
      </c>
      <c r="J243" t="str">
        <f t="shared" si="40"/>
        <v>2: Fiction</v>
      </c>
      <c r="L243" t="s">
        <v>2395</v>
      </c>
      <c r="M243" t="s">
        <v>28</v>
      </c>
      <c r="N243" t="s">
        <v>2404</v>
      </c>
      <c r="O243">
        <v>6</v>
      </c>
      <c r="P243" s="2">
        <v>43780</v>
      </c>
      <c r="Q243" s="1">
        <v>34</v>
      </c>
      <c r="R243" t="s">
        <v>2533</v>
      </c>
      <c r="S243">
        <v>1114275117</v>
      </c>
    </row>
    <row r="244" spans="1:19" x14ac:dyDescent="0.2">
      <c r="A244" t="str">
        <f t="shared" si="46"/>
        <v>Adult Fiction</v>
      </c>
      <c r="B244" t="str">
        <f t="shared" si="51"/>
        <v>NEW F CUSSL</v>
      </c>
      <c r="C244" t="str">
        <f>"The titanic secret"</f>
        <v>The titanic secret</v>
      </c>
      <c r="D244">
        <v>357456</v>
      </c>
      <c r="E244" t="str">
        <f t="shared" si="52"/>
        <v>Cussler, Clive</v>
      </c>
      <c r="F244" t="str">
        <f>"Isaac Bell series (11)"</f>
        <v>Isaac Bell series (11)</v>
      </c>
      <c r="G244" t="str">
        <f>"pages ; cm"</f>
        <v>pages ; cm</v>
      </c>
      <c r="H244" s="1">
        <v>19</v>
      </c>
      <c r="I244">
        <v>2019</v>
      </c>
      <c r="J244" t="str">
        <f t="shared" si="40"/>
        <v>2: Fiction</v>
      </c>
      <c r="L244" t="s">
        <v>2395</v>
      </c>
      <c r="M244" t="s">
        <v>28</v>
      </c>
      <c r="N244" t="s">
        <v>2404</v>
      </c>
      <c r="O244">
        <v>7</v>
      </c>
      <c r="P244" s="2">
        <v>43718</v>
      </c>
      <c r="Q244" s="1">
        <v>34</v>
      </c>
      <c r="R244" t="s">
        <v>2534</v>
      </c>
      <c r="S244">
        <v>1117521921</v>
      </c>
    </row>
    <row r="245" spans="1:19" x14ac:dyDescent="0.2">
      <c r="A245" t="str">
        <f t="shared" si="46"/>
        <v>Adult Fiction</v>
      </c>
      <c r="B245" t="str">
        <f t="shared" si="51"/>
        <v>NEW F CUSSL</v>
      </c>
      <c r="C245" t="str">
        <f>"The titanic secret"</f>
        <v>The titanic secret</v>
      </c>
      <c r="D245">
        <v>357457</v>
      </c>
      <c r="E245" t="str">
        <f t="shared" si="52"/>
        <v>Cussler, Clive</v>
      </c>
      <c r="F245" t="str">
        <f>"Isaac Bell series (11)"</f>
        <v>Isaac Bell series (11)</v>
      </c>
      <c r="G245" t="str">
        <f>"pages ; cm"</f>
        <v>pages ; cm</v>
      </c>
      <c r="H245" s="1">
        <v>19</v>
      </c>
      <c r="I245">
        <v>2019</v>
      </c>
      <c r="J245" t="str">
        <f t="shared" si="40"/>
        <v>2: Fiction</v>
      </c>
      <c r="L245" t="s">
        <v>2403</v>
      </c>
      <c r="M245" t="s">
        <v>28</v>
      </c>
      <c r="N245" t="s">
        <v>2396</v>
      </c>
      <c r="O245">
        <v>8</v>
      </c>
      <c r="P245" s="2">
        <v>43718</v>
      </c>
      <c r="Q245" s="1">
        <v>34</v>
      </c>
      <c r="R245" t="s">
        <v>2534</v>
      </c>
      <c r="S245">
        <v>1117521921</v>
      </c>
    </row>
    <row r="246" spans="1:19" x14ac:dyDescent="0.2">
      <c r="A246" t="str">
        <f t="shared" si="46"/>
        <v>Adult Fiction</v>
      </c>
      <c r="B246" t="str">
        <f t="shared" si="51"/>
        <v>NEW F CUSSL</v>
      </c>
      <c r="C246" t="str">
        <f>"The titanic secret"</f>
        <v>The titanic secret</v>
      </c>
      <c r="D246">
        <v>357459</v>
      </c>
      <c r="E246" t="str">
        <f t="shared" si="52"/>
        <v>Cussler, Clive</v>
      </c>
      <c r="F246" t="str">
        <f>"Isaac Bell series (11)"</f>
        <v>Isaac Bell series (11)</v>
      </c>
      <c r="G246" t="str">
        <f>"pages ; cm"</f>
        <v>pages ; cm</v>
      </c>
      <c r="H246" s="1">
        <v>19</v>
      </c>
      <c r="I246">
        <v>2019</v>
      </c>
      <c r="J246" t="str">
        <f t="shared" si="40"/>
        <v>2: Fiction</v>
      </c>
      <c r="L246" t="s">
        <v>2395</v>
      </c>
      <c r="M246" t="s">
        <v>28</v>
      </c>
      <c r="N246" t="s">
        <v>2404</v>
      </c>
      <c r="O246">
        <v>7</v>
      </c>
      <c r="P246" s="2">
        <v>43718</v>
      </c>
      <c r="Q246" s="1">
        <v>34</v>
      </c>
      <c r="R246" t="s">
        <v>2534</v>
      </c>
      <c r="S246">
        <v>1117521921</v>
      </c>
    </row>
    <row r="247" spans="1:19" x14ac:dyDescent="0.2">
      <c r="A247" t="str">
        <f t="shared" si="46"/>
        <v>Adult Fiction</v>
      </c>
      <c r="B247" t="str">
        <f t="shared" si="51"/>
        <v>NEW F CUSSL</v>
      </c>
      <c r="C247" t="str">
        <f>"The titanic secret"</f>
        <v>The titanic secret</v>
      </c>
      <c r="D247">
        <v>357460</v>
      </c>
      <c r="E247" t="str">
        <f t="shared" si="52"/>
        <v>Cussler, Clive</v>
      </c>
      <c r="F247" t="str">
        <f>"Isaac Bell series (11)"</f>
        <v>Isaac Bell series (11)</v>
      </c>
      <c r="G247" t="str">
        <f>"pages ; cm"</f>
        <v>pages ; cm</v>
      </c>
      <c r="H247" s="1">
        <v>19</v>
      </c>
      <c r="I247">
        <v>2019</v>
      </c>
      <c r="J247" t="str">
        <f t="shared" si="40"/>
        <v>2: Fiction</v>
      </c>
      <c r="L247" t="s">
        <v>2403</v>
      </c>
      <c r="M247" t="s">
        <v>28</v>
      </c>
      <c r="N247" t="s">
        <v>2404</v>
      </c>
      <c r="O247">
        <v>8</v>
      </c>
      <c r="P247" s="2">
        <v>43718</v>
      </c>
      <c r="Q247" s="1">
        <v>34</v>
      </c>
      <c r="R247" t="s">
        <v>2534</v>
      </c>
      <c r="S247">
        <v>1117521921</v>
      </c>
    </row>
    <row r="248" spans="1:19" x14ac:dyDescent="0.2">
      <c r="A248" t="str">
        <f t="shared" si="46"/>
        <v>Adult Fiction</v>
      </c>
      <c r="B248" t="str">
        <f>"NEW F DAILE"</f>
        <v>NEW F DAILE</v>
      </c>
      <c r="C248" t="str">
        <f>"Hart's Hollow Farm"</f>
        <v>Hart's Hollow Farm</v>
      </c>
      <c r="D248">
        <v>357965</v>
      </c>
      <c r="E248" t="str">
        <f>"Dailey, Janet"</f>
        <v>Dailey, Janet</v>
      </c>
      <c r="F248" t="str">
        <f>"New Americana series (4)"</f>
        <v>New Americana series (4)</v>
      </c>
      <c r="H248" s="1">
        <v>19</v>
      </c>
      <c r="I248">
        <v>2019</v>
      </c>
      <c r="J248" t="str">
        <f t="shared" si="40"/>
        <v>2: Fiction</v>
      </c>
      <c r="L248" t="s">
        <v>2395</v>
      </c>
      <c r="M248" t="s">
        <v>28</v>
      </c>
      <c r="N248" t="s">
        <v>2404</v>
      </c>
      <c r="O248">
        <v>5</v>
      </c>
      <c r="P248" s="2">
        <v>43733</v>
      </c>
      <c r="Q248" s="1">
        <v>33</v>
      </c>
      <c r="R248" t="s">
        <v>2535</v>
      </c>
      <c r="S248">
        <v>1119631547</v>
      </c>
    </row>
    <row r="249" spans="1:19" x14ac:dyDescent="0.2">
      <c r="A249" t="str">
        <f t="shared" si="46"/>
        <v>Adult Fiction</v>
      </c>
      <c r="B249" t="str">
        <f>"NEW F DAILE"</f>
        <v>NEW F DAILE</v>
      </c>
      <c r="C249" t="str">
        <f>"Hart's Hollow Farm"</f>
        <v>Hart's Hollow Farm</v>
      </c>
      <c r="D249">
        <v>357966</v>
      </c>
      <c r="E249" t="str">
        <f>"Dailey, Janet"</f>
        <v>Dailey, Janet</v>
      </c>
      <c r="F249" t="str">
        <f>"New Americana series (4)"</f>
        <v>New Americana series (4)</v>
      </c>
      <c r="H249" s="1">
        <v>19</v>
      </c>
      <c r="I249">
        <v>2019</v>
      </c>
      <c r="J249" t="str">
        <f t="shared" si="40"/>
        <v>2: Fiction</v>
      </c>
      <c r="L249" t="s">
        <v>2403</v>
      </c>
      <c r="M249" t="s">
        <v>28</v>
      </c>
      <c r="N249" t="s">
        <v>2404</v>
      </c>
      <c r="O249">
        <v>4</v>
      </c>
      <c r="P249" s="2">
        <v>43733</v>
      </c>
      <c r="Q249" s="1">
        <v>33</v>
      </c>
      <c r="R249" t="s">
        <v>2535</v>
      </c>
      <c r="S249">
        <v>1119631547</v>
      </c>
    </row>
    <row r="250" spans="1:19" x14ac:dyDescent="0.2">
      <c r="A250" t="str">
        <f t="shared" si="46"/>
        <v>Adult Fiction</v>
      </c>
      <c r="B250" t="str">
        <f>"NEW F DAILE"</f>
        <v>NEW F DAILE</v>
      </c>
      <c r="C250" t="str">
        <f>"Texas forever"</f>
        <v>Texas forever</v>
      </c>
      <c r="D250">
        <v>357071</v>
      </c>
      <c r="E250" t="str">
        <f>"Dailey, Janet"</f>
        <v>Dailey, Janet</v>
      </c>
      <c r="F250" t="str">
        <f>"Tylers of Texas series (6)"</f>
        <v>Tylers of Texas series (6)</v>
      </c>
      <c r="H250" s="1">
        <v>19</v>
      </c>
      <c r="I250">
        <v>2019</v>
      </c>
      <c r="J250" t="str">
        <f t="shared" si="40"/>
        <v>2: Fiction</v>
      </c>
      <c r="L250" t="s">
        <v>2403</v>
      </c>
      <c r="M250" t="s">
        <v>28</v>
      </c>
      <c r="N250" t="s">
        <v>2404</v>
      </c>
      <c r="O250">
        <v>4</v>
      </c>
      <c r="P250" s="2">
        <v>43704</v>
      </c>
      <c r="Q250" s="1">
        <v>31</v>
      </c>
      <c r="R250" t="s">
        <v>2536</v>
      </c>
      <c r="S250">
        <v>1117555180</v>
      </c>
    </row>
    <row r="251" spans="1:19" x14ac:dyDescent="0.2">
      <c r="A251" t="str">
        <f t="shared" si="46"/>
        <v>Adult Fiction</v>
      </c>
      <c r="B251" t="str">
        <f>"NEW F DAILE"</f>
        <v>NEW F DAILE</v>
      </c>
      <c r="C251" t="str">
        <f>"Texas forever"</f>
        <v>Texas forever</v>
      </c>
      <c r="D251">
        <v>357072</v>
      </c>
      <c r="E251" t="str">
        <f>"Dailey, Janet"</f>
        <v>Dailey, Janet</v>
      </c>
      <c r="F251" t="str">
        <f>"Tylers of Texas series (6)"</f>
        <v>Tylers of Texas series (6)</v>
      </c>
      <c r="H251" s="1">
        <v>19</v>
      </c>
      <c r="I251">
        <v>2019</v>
      </c>
      <c r="J251" t="str">
        <f t="shared" si="40"/>
        <v>2: Fiction</v>
      </c>
      <c r="L251" t="s">
        <v>2395</v>
      </c>
      <c r="M251" t="s">
        <v>28</v>
      </c>
      <c r="N251" t="s">
        <v>2396</v>
      </c>
      <c r="O251">
        <v>6</v>
      </c>
      <c r="P251" s="2">
        <v>43704</v>
      </c>
      <c r="Q251" s="1">
        <v>31</v>
      </c>
      <c r="R251" t="s">
        <v>2536</v>
      </c>
      <c r="S251">
        <v>1117555180</v>
      </c>
    </row>
    <row r="252" spans="1:19" x14ac:dyDescent="0.2">
      <c r="A252" t="str">
        <f t="shared" si="46"/>
        <v>Adult Fiction</v>
      </c>
      <c r="B252" t="str">
        <f>"NEW F DALLA"</f>
        <v>NEW F DALLA</v>
      </c>
      <c r="C252" t="str">
        <f>"Westering women"</f>
        <v>Westering women</v>
      </c>
      <c r="D252">
        <v>360295</v>
      </c>
      <c r="E252" t="str">
        <f>"Dallas, Sandra"</f>
        <v>Dallas, Sandra</v>
      </c>
      <c r="G252" t="str">
        <f>"327 pages, 22 cm"</f>
        <v>327 pages, 22 cm</v>
      </c>
      <c r="H252" s="1">
        <v>19</v>
      </c>
      <c r="I252">
        <v>2020</v>
      </c>
      <c r="J252" t="str">
        <f t="shared" si="40"/>
        <v>2: Fiction</v>
      </c>
      <c r="L252" t="s">
        <v>2395</v>
      </c>
      <c r="M252" t="s">
        <v>28</v>
      </c>
      <c r="N252" t="s">
        <v>2404</v>
      </c>
      <c r="O252">
        <v>1</v>
      </c>
      <c r="P252" s="2">
        <v>43844</v>
      </c>
      <c r="Q252" s="1">
        <v>32</v>
      </c>
      <c r="R252" t="s">
        <v>2537</v>
      </c>
      <c r="S252">
        <v>1097577948</v>
      </c>
    </row>
    <row r="253" spans="1:19" x14ac:dyDescent="0.2">
      <c r="A253" t="str">
        <f t="shared" si="46"/>
        <v>Adult Fiction</v>
      </c>
      <c r="B253" t="str">
        <f>"NEW F DANTI"</f>
        <v>NEW F DANTI</v>
      </c>
      <c r="C253" t="str">
        <f>"Everything inside: stories"</f>
        <v>Everything inside: stories</v>
      </c>
      <c r="D253">
        <v>357144</v>
      </c>
      <c r="E253" t="str">
        <f>"Danticat, Edwidge"</f>
        <v>Danticat, Edwidge</v>
      </c>
      <c r="G253" t="str">
        <f>"ix, 223 pages, 22 cm"</f>
        <v>ix, 223 pages, 22 cm</v>
      </c>
      <c r="H253" s="1">
        <v>19</v>
      </c>
      <c r="I253">
        <v>2019</v>
      </c>
      <c r="J253" t="str">
        <f t="shared" si="40"/>
        <v>2: Fiction</v>
      </c>
      <c r="L253" t="s">
        <v>2395</v>
      </c>
      <c r="M253" t="s">
        <v>28</v>
      </c>
      <c r="N253" t="s">
        <v>2396</v>
      </c>
      <c r="O253">
        <v>3</v>
      </c>
      <c r="P253" s="2">
        <v>43704</v>
      </c>
      <c r="Q253" s="1">
        <v>31</v>
      </c>
      <c r="R253" t="s">
        <v>2538</v>
      </c>
      <c r="S253">
        <v>1057241361</v>
      </c>
    </row>
    <row r="254" spans="1:19" x14ac:dyDescent="0.2">
      <c r="A254" t="str">
        <f t="shared" si="46"/>
        <v>Adult Fiction</v>
      </c>
      <c r="B254" t="str">
        <f>"NEW F DANTI"</f>
        <v>NEW F DANTI</v>
      </c>
      <c r="C254" t="str">
        <f>"Everything inside: stories"</f>
        <v>Everything inside: stories</v>
      </c>
      <c r="D254">
        <v>357145</v>
      </c>
      <c r="E254" t="str">
        <f>"Danticat, Edwidge"</f>
        <v>Danticat, Edwidge</v>
      </c>
      <c r="G254" t="str">
        <f>"ix, 223 pages, 22 cm"</f>
        <v>ix, 223 pages, 22 cm</v>
      </c>
      <c r="H254" s="1">
        <v>19</v>
      </c>
      <c r="I254">
        <v>2019</v>
      </c>
      <c r="J254" t="str">
        <f t="shared" si="40"/>
        <v>2: Fiction</v>
      </c>
      <c r="L254" t="s">
        <v>2395</v>
      </c>
      <c r="M254" t="s">
        <v>28</v>
      </c>
      <c r="N254" t="s">
        <v>2404</v>
      </c>
      <c r="O254">
        <v>5</v>
      </c>
      <c r="P254" s="2">
        <v>43704</v>
      </c>
      <c r="Q254" s="1">
        <v>31</v>
      </c>
      <c r="R254" t="s">
        <v>2538</v>
      </c>
      <c r="S254">
        <v>1057241361</v>
      </c>
    </row>
    <row r="255" spans="1:19" x14ac:dyDescent="0.2">
      <c r="A255" t="str">
        <f t="shared" si="46"/>
        <v>Adult Fiction</v>
      </c>
      <c r="B255" t="str">
        <f>"NEW F DAVID"</f>
        <v>NEW F DAVID</v>
      </c>
      <c r="C255" t="str">
        <f>"The Saturday Night Ghost Club"</f>
        <v>The Saturday Night Ghost Club</v>
      </c>
      <c r="D255">
        <v>359216</v>
      </c>
      <c r="E255" t="str">
        <f>"Davidson, Craig"</f>
        <v>Davidson, Craig</v>
      </c>
      <c r="G255" t="str">
        <f>"211 pages, 20 cm"</f>
        <v>211 pages, 20 cm</v>
      </c>
      <c r="H255" s="1">
        <v>19</v>
      </c>
      <c r="I255">
        <v>2019</v>
      </c>
      <c r="J255" t="str">
        <f t="shared" ref="J255:J318" si="53">"2: Fiction"</f>
        <v>2: Fiction</v>
      </c>
      <c r="L255" t="s">
        <v>2403</v>
      </c>
      <c r="M255" t="s">
        <v>28</v>
      </c>
      <c r="N255" t="s">
        <v>2396</v>
      </c>
      <c r="O255">
        <v>1</v>
      </c>
      <c r="P255" s="2">
        <v>43782</v>
      </c>
      <c r="Q255" s="1">
        <v>21</v>
      </c>
      <c r="R255" t="s">
        <v>2539</v>
      </c>
      <c r="S255">
        <v>1057304314</v>
      </c>
    </row>
    <row r="256" spans="1:19" x14ac:dyDescent="0.2">
      <c r="A256" t="str">
        <f t="shared" si="46"/>
        <v>Adult Fiction</v>
      </c>
      <c r="B256" t="str">
        <f>"NEW F DAVIS"</f>
        <v>NEW F DAVIS</v>
      </c>
      <c r="C256" t="str">
        <f>"The Chelsea girls: a novel"</f>
        <v>The Chelsea girls: a novel</v>
      </c>
      <c r="D256">
        <v>356535</v>
      </c>
      <c r="E256" t="str">
        <f>"Davis, Fiona,"</f>
        <v>Davis, Fiona,</v>
      </c>
      <c r="G256" t="str">
        <f>"358 pages, 24 cm"</f>
        <v>358 pages, 24 cm</v>
      </c>
      <c r="H256" s="1">
        <v>19</v>
      </c>
      <c r="I256">
        <v>2019</v>
      </c>
      <c r="J256" t="str">
        <f t="shared" si="53"/>
        <v>2: Fiction</v>
      </c>
      <c r="L256" t="s">
        <v>2403</v>
      </c>
      <c r="M256" t="s">
        <v>28</v>
      </c>
      <c r="N256" t="s">
        <v>2404</v>
      </c>
      <c r="O256">
        <v>9</v>
      </c>
      <c r="P256" s="2">
        <v>43678</v>
      </c>
      <c r="Q256" s="1">
        <v>32</v>
      </c>
      <c r="R256" t="s">
        <v>2540</v>
      </c>
      <c r="S256">
        <v>1103927332</v>
      </c>
    </row>
    <row r="257" spans="1:19" x14ac:dyDescent="0.2">
      <c r="A257" t="str">
        <f t="shared" si="46"/>
        <v>Adult Fiction</v>
      </c>
      <c r="B257" t="str">
        <f>"NEW F DEAVE"</f>
        <v>NEW F DEAVE</v>
      </c>
      <c r="C257" t="str">
        <f>"The never game"</f>
        <v>The never game</v>
      </c>
      <c r="D257">
        <v>354711</v>
      </c>
      <c r="E257" t="str">
        <f>"Deaver, Jeffery"</f>
        <v>Deaver, Jeffery</v>
      </c>
      <c r="G257" t="str">
        <f>"399 pages, 24 cm, maps"</f>
        <v>399 pages, 24 cm, maps</v>
      </c>
      <c r="H257" s="1">
        <v>19</v>
      </c>
      <c r="I257">
        <v>2019</v>
      </c>
      <c r="J257" t="str">
        <f t="shared" si="53"/>
        <v>2: Fiction</v>
      </c>
      <c r="L257" t="s">
        <v>2395</v>
      </c>
      <c r="M257" t="s">
        <v>28</v>
      </c>
      <c r="N257" t="s">
        <v>2404</v>
      </c>
      <c r="O257">
        <v>13</v>
      </c>
      <c r="P257" s="2">
        <v>43598</v>
      </c>
      <c r="Q257" s="1">
        <v>33</v>
      </c>
      <c r="R257" t="s">
        <v>2541</v>
      </c>
      <c r="S257">
        <v>1053611336</v>
      </c>
    </row>
    <row r="258" spans="1:19" x14ac:dyDescent="0.2">
      <c r="A258" t="str">
        <f t="shared" si="46"/>
        <v>Adult Fiction</v>
      </c>
      <c r="B258" t="str">
        <f>"NEW F DEKKE"</f>
        <v>NEW F DEKKE</v>
      </c>
      <c r="C258" t="str">
        <f>"The girl behind the red rope"</f>
        <v>The girl behind the red rope</v>
      </c>
      <c r="D258">
        <v>357479</v>
      </c>
      <c r="E258" t="str">
        <f>"Dekker, Ted"</f>
        <v>Dekker, Ted</v>
      </c>
      <c r="G258" t="str">
        <f>"330 pages, 24 cm"</f>
        <v>330 pages, 24 cm</v>
      </c>
      <c r="H258" s="1">
        <v>19</v>
      </c>
      <c r="I258">
        <v>2019</v>
      </c>
      <c r="J258" t="str">
        <f t="shared" si="53"/>
        <v>2: Fiction</v>
      </c>
      <c r="L258" t="s">
        <v>2395</v>
      </c>
      <c r="M258" t="s">
        <v>28</v>
      </c>
      <c r="N258" t="s">
        <v>2396</v>
      </c>
      <c r="O258">
        <v>6</v>
      </c>
      <c r="P258" s="2">
        <v>43719</v>
      </c>
      <c r="Q258" s="1">
        <v>30</v>
      </c>
      <c r="R258" t="s">
        <v>2542</v>
      </c>
      <c r="S258">
        <v>1113941307</v>
      </c>
    </row>
    <row r="259" spans="1:19" x14ac:dyDescent="0.2">
      <c r="A259" t="str">
        <f t="shared" si="46"/>
        <v>Adult Fiction</v>
      </c>
      <c r="B259" t="str">
        <f>"NEW F DELAN"</f>
        <v>NEW F DELAN</v>
      </c>
      <c r="C259" t="str">
        <f>"The perfect wife: a novel"</f>
        <v>The perfect wife: a novel</v>
      </c>
      <c r="D259">
        <v>356711</v>
      </c>
      <c r="E259" t="str">
        <f>"Delaney, Jp"</f>
        <v>Delaney, Jp</v>
      </c>
      <c r="G259" t="str">
        <f>"412 p., 25 cm"</f>
        <v>412 p., 25 cm</v>
      </c>
      <c r="H259" s="1">
        <v>19</v>
      </c>
      <c r="I259">
        <v>2019</v>
      </c>
      <c r="J259" t="str">
        <f t="shared" si="53"/>
        <v>2: Fiction</v>
      </c>
      <c r="L259" t="s">
        <v>2395</v>
      </c>
      <c r="M259" t="s">
        <v>28</v>
      </c>
      <c r="N259" t="s">
        <v>2404</v>
      </c>
      <c r="O259">
        <v>12</v>
      </c>
      <c r="P259" s="2">
        <v>43689</v>
      </c>
      <c r="Q259" s="1">
        <v>32</v>
      </c>
      <c r="R259" t="s">
        <v>2543</v>
      </c>
      <c r="S259">
        <v>1065722410</v>
      </c>
    </row>
    <row r="260" spans="1:19" x14ac:dyDescent="0.2">
      <c r="A260" t="str">
        <f t="shared" si="46"/>
        <v>Adult Fiction</v>
      </c>
      <c r="B260" t="str">
        <f>"NEW F DELAN"</f>
        <v>NEW F DELAN</v>
      </c>
      <c r="C260" t="str">
        <f>"The perfect wife: a novel"</f>
        <v>The perfect wife: a novel</v>
      </c>
      <c r="D260">
        <v>356712</v>
      </c>
      <c r="E260" t="str">
        <f>"Delaney, Jp"</f>
        <v>Delaney, Jp</v>
      </c>
      <c r="G260" t="str">
        <f>"412 p., 25 cm"</f>
        <v>412 p., 25 cm</v>
      </c>
      <c r="H260" s="1">
        <v>19</v>
      </c>
      <c r="I260">
        <v>2019</v>
      </c>
      <c r="J260" t="str">
        <f t="shared" si="53"/>
        <v>2: Fiction</v>
      </c>
      <c r="L260" t="s">
        <v>2395</v>
      </c>
      <c r="M260" t="s">
        <v>28</v>
      </c>
      <c r="N260" t="s">
        <v>2404</v>
      </c>
      <c r="O260">
        <v>14</v>
      </c>
      <c r="P260" s="2">
        <v>43689</v>
      </c>
      <c r="Q260" s="1">
        <v>32</v>
      </c>
      <c r="R260" t="s">
        <v>2543</v>
      </c>
      <c r="S260">
        <v>1065722410</v>
      </c>
    </row>
    <row r="261" spans="1:19" x14ac:dyDescent="0.2">
      <c r="A261" t="str">
        <f t="shared" si="46"/>
        <v>Adult Fiction</v>
      </c>
      <c r="B261" t="str">
        <f>"NEW F DELUC"</f>
        <v>NEW F DELUC</v>
      </c>
      <c r="C261" t="str">
        <f>"Well met"</f>
        <v>Well met</v>
      </c>
      <c r="D261">
        <v>357539</v>
      </c>
      <c r="E261" t="str">
        <f>"DeLuca, Jen"</f>
        <v>DeLuca, Jen</v>
      </c>
      <c r="G261" t="str">
        <f>"328 p., 22 cm"</f>
        <v>328 p., 22 cm</v>
      </c>
      <c r="H261" s="1">
        <v>19</v>
      </c>
      <c r="I261">
        <v>2019</v>
      </c>
      <c r="J261" t="str">
        <f t="shared" si="53"/>
        <v>2: Fiction</v>
      </c>
      <c r="L261" t="s">
        <v>2403</v>
      </c>
      <c r="M261" t="s">
        <v>28</v>
      </c>
      <c r="N261" t="s">
        <v>2396</v>
      </c>
      <c r="O261">
        <v>7</v>
      </c>
      <c r="P261" s="2">
        <v>43719</v>
      </c>
      <c r="Q261" s="1">
        <v>20</v>
      </c>
      <c r="R261" t="s">
        <v>2544</v>
      </c>
      <c r="S261">
        <v>1078882779</v>
      </c>
    </row>
    <row r="262" spans="1:19" x14ac:dyDescent="0.2">
      <c r="A262" t="str">
        <f t="shared" si="46"/>
        <v>Adult Fiction</v>
      </c>
      <c r="B262" t="str">
        <f t="shared" ref="B262:B267" si="54">"NEW F DEMIL"</f>
        <v>NEW F DEMIL</v>
      </c>
      <c r="C262" t="str">
        <f t="shared" ref="C262:C267" si="55">"The deserter: a novel"</f>
        <v>The deserter: a novel</v>
      </c>
      <c r="D262">
        <v>358665</v>
      </c>
      <c r="E262" t="str">
        <f t="shared" ref="E262:E267" si="56">"DeMille, Nelson"</f>
        <v>DeMille, Nelson</v>
      </c>
      <c r="G262" t="str">
        <f t="shared" ref="G262:G267" si="57">"530 pages, 24 cm, color map"</f>
        <v>530 pages, 24 cm, color map</v>
      </c>
      <c r="H262" s="1">
        <v>19</v>
      </c>
      <c r="I262">
        <v>2019</v>
      </c>
      <c r="J262" t="str">
        <f t="shared" si="53"/>
        <v>2: Fiction</v>
      </c>
      <c r="L262" t="s">
        <v>2403</v>
      </c>
      <c r="M262" t="s">
        <v>28</v>
      </c>
      <c r="N262" t="s">
        <v>2404</v>
      </c>
      <c r="O262">
        <v>6</v>
      </c>
      <c r="P262" s="2">
        <v>43760</v>
      </c>
      <c r="Q262" s="1">
        <v>34</v>
      </c>
      <c r="R262" t="s">
        <v>2545</v>
      </c>
      <c r="S262">
        <v>1057375264</v>
      </c>
    </row>
    <row r="263" spans="1:19" x14ac:dyDescent="0.2">
      <c r="A263" t="str">
        <f t="shared" ref="A263:A326" si="58">"Adult Fiction"</f>
        <v>Adult Fiction</v>
      </c>
      <c r="B263" t="str">
        <f t="shared" si="54"/>
        <v>NEW F DEMIL</v>
      </c>
      <c r="C263" t="str">
        <f t="shared" si="55"/>
        <v>The deserter: a novel</v>
      </c>
      <c r="D263">
        <v>358666</v>
      </c>
      <c r="E263" t="str">
        <f t="shared" si="56"/>
        <v>DeMille, Nelson</v>
      </c>
      <c r="G263" t="str">
        <f t="shared" si="57"/>
        <v>530 pages, 24 cm, color map</v>
      </c>
      <c r="H263" s="1">
        <v>19</v>
      </c>
      <c r="I263">
        <v>2019</v>
      </c>
      <c r="J263" t="str">
        <f t="shared" si="53"/>
        <v>2: Fiction</v>
      </c>
      <c r="L263" t="s">
        <v>2395</v>
      </c>
      <c r="M263" t="s">
        <v>28</v>
      </c>
      <c r="N263" t="s">
        <v>2404</v>
      </c>
      <c r="O263">
        <v>6</v>
      </c>
      <c r="P263" s="2">
        <v>43760</v>
      </c>
      <c r="Q263" s="1">
        <v>34</v>
      </c>
      <c r="R263" t="s">
        <v>2545</v>
      </c>
      <c r="S263">
        <v>1057375264</v>
      </c>
    </row>
    <row r="264" spans="1:19" x14ac:dyDescent="0.2">
      <c r="A264" t="str">
        <f t="shared" si="58"/>
        <v>Adult Fiction</v>
      </c>
      <c r="B264" t="str">
        <f t="shared" si="54"/>
        <v>NEW F DEMIL</v>
      </c>
      <c r="C264" t="str">
        <f t="shared" si="55"/>
        <v>The deserter: a novel</v>
      </c>
      <c r="D264">
        <v>358667</v>
      </c>
      <c r="E264" t="str">
        <f t="shared" si="56"/>
        <v>DeMille, Nelson</v>
      </c>
      <c r="G264" t="str">
        <f t="shared" si="57"/>
        <v>530 pages, 24 cm, color map</v>
      </c>
      <c r="H264" s="1">
        <v>19</v>
      </c>
      <c r="I264">
        <v>2019</v>
      </c>
      <c r="J264" t="str">
        <f t="shared" si="53"/>
        <v>2: Fiction</v>
      </c>
      <c r="L264" t="s">
        <v>2395</v>
      </c>
      <c r="M264" t="s">
        <v>28</v>
      </c>
      <c r="N264" t="s">
        <v>2404</v>
      </c>
      <c r="O264">
        <v>5</v>
      </c>
      <c r="P264" s="2">
        <v>43760</v>
      </c>
      <c r="Q264" s="1">
        <v>34</v>
      </c>
      <c r="R264" t="s">
        <v>2545</v>
      </c>
      <c r="S264">
        <v>1057375264</v>
      </c>
    </row>
    <row r="265" spans="1:19" x14ac:dyDescent="0.2">
      <c r="A265" t="str">
        <f t="shared" si="58"/>
        <v>Adult Fiction</v>
      </c>
      <c r="B265" t="str">
        <f t="shared" si="54"/>
        <v>NEW F DEMIL</v>
      </c>
      <c r="C265" t="str">
        <f t="shared" si="55"/>
        <v>The deserter: a novel</v>
      </c>
      <c r="D265">
        <v>358668</v>
      </c>
      <c r="E265" t="str">
        <f t="shared" si="56"/>
        <v>DeMille, Nelson</v>
      </c>
      <c r="G265" t="str">
        <f t="shared" si="57"/>
        <v>530 pages, 24 cm, color map</v>
      </c>
      <c r="H265" s="1">
        <v>19</v>
      </c>
      <c r="I265">
        <v>2019</v>
      </c>
      <c r="J265" t="str">
        <f t="shared" si="53"/>
        <v>2: Fiction</v>
      </c>
      <c r="L265" t="s">
        <v>2403</v>
      </c>
      <c r="M265" t="s">
        <v>28</v>
      </c>
      <c r="N265" t="s">
        <v>2404</v>
      </c>
      <c r="O265">
        <v>6</v>
      </c>
      <c r="P265" s="2">
        <v>43760</v>
      </c>
      <c r="Q265" s="1">
        <v>34</v>
      </c>
      <c r="R265" t="s">
        <v>2545</v>
      </c>
      <c r="S265">
        <v>1057375264</v>
      </c>
    </row>
    <row r="266" spans="1:19" x14ac:dyDescent="0.2">
      <c r="A266" t="str">
        <f t="shared" si="58"/>
        <v>Adult Fiction</v>
      </c>
      <c r="B266" t="str">
        <f t="shared" si="54"/>
        <v>NEW F DEMIL</v>
      </c>
      <c r="C266" t="str">
        <f t="shared" si="55"/>
        <v>The deserter: a novel</v>
      </c>
      <c r="D266">
        <v>358669</v>
      </c>
      <c r="E266" t="str">
        <f t="shared" si="56"/>
        <v>DeMille, Nelson</v>
      </c>
      <c r="G266" t="str">
        <f t="shared" si="57"/>
        <v>530 pages, 24 cm, color map</v>
      </c>
      <c r="H266" s="1">
        <v>19</v>
      </c>
      <c r="I266">
        <v>2019</v>
      </c>
      <c r="J266" t="str">
        <f t="shared" si="53"/>
        <v>2: Fiction</v>
      </c>
      <c r="L266" t="s">
        <v>2395</v>
      </c>
      <c r="M266" t="s">
        <v>28</v>
      </c>
      <c r="N266" t="s">
        <v>2404</v>
      </c>
      <c r="O266">
        <v>5</v>
      </c>
      <c r="P266" s="2">
        <v>43760</v>
      </c>
      <c r="Q266" s="1">
        <v>34</v>
      </c>
      <c r="R266" t="s">
        <v>2545</v>
      </c>
      <c r="S266">
        <v>1057375264</v>
      </c>
    </row>
    <row r="267" spans="1:19" x14ac:dyDescent="0.2">
      <c r="A267" t="str">
        <f t="shared" si="58"/>
        <v>Adult Fiction</v>
      </c>
      <c r="B267" t="str">
        <f t="shared" si="54"/>
        <v>NEW F DEMIL</v>
      </c>
      <c r="C267" t="str">
        <f t="shared" si="55"/>
        <v>The deserter: a novel</v>
      </c>
      <c r="D267">
        <v>358670</v>
      </c>
      <c r="E267" t="str">
        <f t="shared" si="56"/>
        <v>DeMille, Nelson</v>
      </c>
      <c r="G267" t="str">
        <f t="shared" si="57"/>
        <v>530 pages, 24 cm, color map</v>
      </c>
      <c r="H267" s="1">
        <v>19</v>
      </c>
      <c r="I267">
        <v>2019</v>
      </c>
      <c r="J267" t="str">
        <f t="shared" si="53"/>
        <v>2: Fiction</v>
      </c>
      <c r="L267" t="s">
        <v>2395</v>
      </c>
      <c r="M267" t="s">
        <v>28</v>
      </c>
      <c r="N267" t="s">
        <v>2404</v>
      </c>
      <c r="O267">
        <v>5</v>
      </c>
      <c r="P267" s="2">
        <v>43760</v>
      </c>
      <c r="Q267" s="1">
        <v>34</v>
      </c>
      <c r="R267" t="s">
        <v>2545</v>
      </c>
      <c r="S267">
        <v>1057375264</v>
      </c>
    </row>
    <row r="268" spans="1:19" x14ac:dyDescent="0.2">
      <c r="A268" t="str">
        <f t="shared" si="58"/>
        <v>Adult Fiction</v>
      </c>
      <c r="B268" t="str">
        <f>"NEW F DENFE"</f>
        <v>NEW F DENFE</v>
      </c>
      <c r="C268" t="str">
        <f>"The butterfly girl: a novel"</f>
        <v>The butterfly girl: a novel</v>
      </c>
      <c r="D268">
        <v>358525</v>
      </c>
      <c r="E268" t="str">
        <f>"Denfeld, Rene."</f>
        <v>Denfeld, Rene.</v>
      </c>
      <c r="G268" t="str">
        <f>"264 pages, 22 cm"</f>
        <v>264 pages, 22 cm</v>
      </c>
      <c r="H268" s="1">
        <v>19</v>
      </c>
      <c r="I268">
        <v>2019</v>
      </c>
      <c r="J268" t="str">
        <f t="shared" si="53"/>
        <v>2: Fiction</v>
      </c>
      <c r="L268" t="s">
        <v>2403</v>
      </c>
      <c r="M268" t="s">
        <v>28</v>
      </c>
      <c r="N268" t="s">
        <v>2404</v>
      </c>
      <c r="O268">
        <v>5</v>
      </c>
      <c r="P268" s="2">
        <v>43756</v>
      </c>
      <c r="Q268" s="1">
        <v>32</v>
      </c>
      <c r="R268" t="s">
        <v>2546</v>
      </c>
      <c r="S268">
        <v>1120104189</v>
      </c>
    </row>
    <row r="269" spans="1:19" x14ac:dyDescent="0.2">
      <c r="A269" t="str">
        <f t="shared" si="58"/>
        <v>Adult Fiction</v>
      </c>
      <c r="B269" t="str">
        <f>"NEW F DERMA"</f>
        <v>NEW F DERMA</v>
      </c>
      <c r="C269" t="str">
        <f>"Very nice"</f>
        <v>Very nice</v>
      </c>
      <c r="D269">
        <v>355981</v>
      </c>
      <c r="E269" t="str">
        <f>"Dermansky, Marcy"</f>
        <v>Dermansky, Marcy</v>
      </c>
      <c r="G269" t="str">
        <f>"289 pages, 22 cm"</f>
        <v>289 pages, 22 cm</v>
      </c>
      <c r="H269" s="1">
        <v>19</v>
      </c>
      <c r="I269">
        <v>2019</v>
      </c>
      <c r="J269" t="str">
        <f t="shared" si="53"/>
        <v>2: Fiction</v>
      </c>
      <c r="L269" t="s">
        <v>2395</v>
      </c>
      <c r="M269" t="s">
        <v>28</v>
      </c>
      <c r="N269" t="s">
        <v>2404</v>
      </c>
      <c r="O269">
        <v>10</v>
      </c>
      <c r="P269" s="2">
        <v>43647</v>
      </c>
      <c r="Q269" s="1">
        <v>31</v>
      </c>
      <c r="R269" t="s">
        <v>2547</v>
      </c>
      <c r="S269">
        <v>1045642352</v>
      </c>
    </row>
    <row r="270" spans="1:19" x14ac:dyDescent="0.2">
      <c r="A270" t="str">
        <f t="shared" si="58"/>
        <v>Adult Fiction</v>
      </c>
      <c r="B270" t="str">
        <f>"NEW F DEROB"</f>
        <v>NEW F DEROB</v>
      </c>
      <c r="C270" t="s">
        <v>2548</v>
      </c>
      <c r="D270">
        <v>357480</v>
      </c>
      <c r="E270" t="str">
        <f>"De Robertis, Carolina."</f>
        <v>De Robertis, Carolina.</v>
      </c>
      <c r="G270" t="str">
        <f>"317 pages, 25 cm"</f>
        <v>317 pages, 25 cm</v>
      </c>
      <c r="H270" s="1">
        <v>19</v>
      </c>
      <c r="I270">
        <v>2019</v>
      </c>
      <c r="J270" t="str">
        <f t="shared" si="53"/>
        <v>2: Fiction</v>
      </c>
      <c r="L270" t="s">
        <v>2395</v>
      </c>
      <c r="M270" t="s">
        <v>28</v>
      </c>
      <c r="N270" t="s">
        <v>2396</v>
      </c>
      <c r="O270">
        <v>1</v>
      </c>
      <c r="P270" s="2">
        <v>43719</v>
      </c>
      <c r="Q270" s="1">
        <v>32</v>
      </c>
      <c r="R270" t="s">
        <v>2549</v>
      </c>
      <c r="S270">
        <v>1061868546</v>
      </c>
    </row>
    <row r="271" spans="1:19" x14ac:dyDescent="0.2">
      <c r="A271" t="str">
        <f t="shared" si="58"/>
        <v>Adult Fiction</v>
      </c>
      <c r="B271" t="str">
        <f>"NEW F DEUTE"</f>
        <v>NEW F DEUTE</v>
      </c>
      <c r="C271" t="str">
        <f>"The nugget: a novel"</f>
        <v>The nugget: a novel</v>
      </c>
      <c r="D271">
        <v>358160</v>
      </c>
      <c r="E271" t="str">
        <f>"Deutermann, Peter T."</f>
        <v>Deutermann, Peter T.</v>
      </c>
      <c r="G271" t="str">
        <f>"pages ; cm"</f>
        <v>pages ; cm</v>
      </c>
      <c r="H271" s="1">
        <v>19</v>
      </c>
      <c r="I271">
        <v>2019</v>
      </c>
      <c r="J271" t="str">
        <f t="shared" si="53"/>
        <v>2: Fiction</v>
      </c>
      <c r="L271" t="s">
        <v>2403</v>
      </c>
      <c r="M271" t="s">
        <v>28</v>
      </c>
      <c r="N271" t="s">
        <v>2404</v>
      </c>
      <c r="O271">
        <v>8</v>
      </c>
      <c r="P271" s="2">
        <v>43740</v>
      </c>
      <c r="Q271" s="1">
        <v>33</v>
      </c>
      <c r="R271" t="s">
        <v>2550</v>
      </c>
      <c r="S271">
        <v>1048940056</v>
      </c>
    </row>
    <row r="272" spans="1:19" x14ac:dyDescent="0.2">
      <c r="A272" t="str">
        <f t="shared" si="58"/>
        <v>Adult Fiction</v>
      </c>
      <c r="B272" t="str">
        <f>"NEW F DEVER"</f>
        <v>NEW F DEVER</v>
      </c>
      <c r="C272" t="str">
        <f>"Met her match"</f>
        <v>Met her match</v>
      </c>
      <c r="D272">
        <v>357641</v>
      </c>
      <c r="E272" t="str">
        <f>"Deveraux, Jude"</f>
        <v>Deveraux, Jude</v>
      </c>
      <c r="F272" t="str">
        <f>"Summer Hill series (2)"</f>
        <v>Summer Hill series (2)</v>
      </c>
      <c r="G272" t="str">
        <f>"329 pages, 24 cm"</f>
        <v>329 pages, 24 cm</v>
      </c>
      <c r="H272" s="1">
        <v>19</v>
      </c>
      <c r="I272">
        <v>2019</v>
      </c>
      <c r="J272" t="str">
        <f t="shared" si="53"/>
        <v>2: Fiction</v>
      </c>
      <c r="L272" t="s">
        <v>2403</v>
      </c>
      <c r="M272" t="s">
        <v>28</v>
      </c>
      <c r="N272" t="s">
        <v>2396</v>
      </c>
      <c r="O272">
        <v>9</v>
      </c>
      <c r="P272" s="2">
        <v>43725</v>
      </c>
      <c r="Q272" s="1">
        <v>32</v>
      </c>
      <c r="R272" t="s">
        <v>2551</v>
      </c>
      <c r="S272">
        <v>1091634320</v>
      </c>
    </row>
    <row r="273" spans="1:19" x14ac:dyDescent="0.2">
      <c r="A273" t="str">
        <f t="shared" si="58"/>
        <v>Adult Fiction</v>
      </c>
      <c r="B273" t="str">
        <f>"NEW F DEVER"</f>
        <v>NEW F DEVER</v>
      </c>
      <c r="C273" t="str">
        <f>"Met her match"</f>
        <v>Met her match</v>
      </c>
      <c r="D273">
        <v>357642</v>
      </c>
      <c r="E273" t="str">
        <f>"Deveraux, Jude"</f>
        <v>Deveraux, Jude</v>
      </c>
      <c r="F273" t="str">
        <f>"Summer Hill series (2)"</f>
        <v>Summer Hill series (2)</v>
      </c>
      <c r="G273" t="str">
        <f>"329 pages, 24 cm"</f>
        <v>329 pages, 24 cm</v>
      </c>
      <c r="H273" s="1">
        <v>19</v>
      </c>
      <c r="I273">
        <v>2019</v>
      </c>
      <c r="J273" t="str">
        <f t="shared" si="53"/>
        <v>2: Fiction</v>
      </c>
      <c r="L273" t="s">
        <v>2403</v>
      </c>
      <c r="M273" t="s">
        <v>28</v>
      </c>
      <c r="N273" t="s">
        <v>2396</v>
      </c>
      <c r="O273">
        <v>7</v>
      </c>
      <c r="P273" s="2">
        <v>43725</v>
      </c>
      <c r="Q273" s="1">
        <v>32</v>
      </c>
      <c r="R273" t="s">
        <v>2551</v>
      </c>
      <c r="S273">
        <v>1091634320</v>
      </c>
    </row>
    <row r="274" spans="1:19" x14ac:dyDescent="0.2">
      <c r="A274" t="str">
        <f t="shared" si="58"/>
        <v>Adult Fiction</v>
      </c>
      <c r="B274" t="str">
        <f>"NEW F DEVER"</f>
        <v>NEW F DEVER</v>
      </c>
      <c r="C274" t="str">
        <f>"Met her match"</f>
        <v>Met her match</v>
      </c>
      <c r="D274">
        <v>357643</v>
      </c>
      <c r="E274" t="str">
        <f>"Deveraux, Jude"</f>
        <v>Deveraux, Jude</v>
      </c>
      <c r="F274" t="str">
        <f>"Summer Hill series (2)"</f>
        <v>Summer Hill series (2)</v>
      </c>
      <c r="G274" t="str">
        <f>"329 pages, 24 cm"</f>
        <v>329 pages, 24 cm</v>
      </c>
      <c r="H274" s="1">
        <v>19</v>
      </c>
      <c r="I274">
        <v>2019</v>
      </c>
      <c r="J274" t="str">
        <f t="shared" si="53"/>
        <v>2: Fiction</v>
      </c>
      <c r="L274" t="s">
        <v>2395</v>
      </c>
      <c r="M274" t="s">
        <v>28</v>
      </c>
      <c r="N274" t="s">
        <v>2404</v>
      </c>
      <c r="O274">
        <v>7</v>
      </c>
      <c r="P274" s="2">
        <v>43725</v>
      </c>
      <c r="Q274" s="1">
        <v>32</v>
      </c>
      <c r="R274" t="s">
        <v>2551</v>
      </c>
      <c r="S274">
        <v>1091634320</v>
      </c>
    </row>
    <row r="275" spans="1:19" x14ac:dyDescent="0.2">
      <c r="A275" t="str">
        <f t="shared" si="58"/>
        <v>Adult Fiction</v>
      </c>
      <c r="B275" t="str">
        <f>"NEW F DEVER"</f>
        <v>NEW F DEVER</v>
      </c>
      <c r="C275" t="str">
        <f>"Met her match"</f>
        <v>Met her match</v>
      </c>
      <c r="D275">
        <v>357644</v>
      </c>
      <c r="E275" t="str">
        <f>"Deveraux, Jude"</f>
        <v>Deveraux, Jude</v>
      </c>
      <c r="F275" t="str">
        <f>"Summer Hill series (2)"</f>
        <v>Summer Hill series (2)</v>
      </c>
      <c r="G275" t="str">
        <f>"329 pages, 24 cm"</f>
        <v>329 pages, 24 cm</v>
      </c>
      <c r="H275" s="1">
        <v>19</v>
      </c>
      <c r="I275">
        <v>2019</v>
      </c>
      <c r="J275" t="str">
        <f t="shared" si="53"/>
        <v>2: Fiction</v>
      </c>
      <c r="L275" t="s">
        <v>2395</v>
      </c>
      <c r="M275" t="s">
        <v>28</v>
      </c>
      <c r="N275" t="s">
        <v>2404</v>
      </c>
      <c r="O275">
        <v>12</v>
      </c>
      <c r="P275" s="2">
        <v>43725</v>
      </c>
      <c r="Q275" s="1">
        <v>32</v>
      </c>
      <c r="R275" t="s">
        <v>2551</v>
      </c>
      <c r="S275">
        <v>1091634320</v>
      </c>
    </row>
    <row r="276" spans="1:19" x14ac:dyDescent="0.2">
      <c r="A276" t="str">
        <f t="shared" si="58"/>
        <v>Adult Fiction</v>
      </c>
      <c r="B276" t="str">
        <f>"NEW F DEVER"</f>
        <v>NEW F DEVER</v>
      </c>
      <c r="C276" t="str">
        <f>"Met her match"</f>
        <v>Met her match</v>
      </c>
      <c r="D276">
        <v>357645</v>
      </c>
      <c r="E276" t="str">
        <f>"Deveraux, Jude"</f>
        <v>Deveraux, Jude</v>
      </c>
      <c r="F276" t="str">
        <f>"Summer Hill series (2)"</f>
        <v>Summer Hill series (2)</v>
      </c>
      <c r="G276" t="str">
        <f>"329 pages, 24 cm"</f>
        <v>329 pages, 24 cm</v>
      </c>
      <c r="H276" s="1">
        <v>19</v>
      </c>
      <c r="I276">
        <v>2019</v>
      </c>
      <c r="J276" t="str">
        <f t="shared" si="53"/>
        <v>2: Fiction</v>
      </c>
      <c r="L276" t="s">
        <v>2395</v>
      </c>
      <c r="M276" t="s">
        <v>28</v>
      </c>
      <c r="N276" t="s">
        <v>2396</v>
      </c>
      <c r="O276">
        <v>5</v>
      </c>
      <c r="P276" s="2">
        <v>43725</v>
      </c>
      <c r="Q276" s="1">
        <v>32</v>
      </c>
      <c r="R276" t="s">
        <v>2551</v>
      </c>
      <c r="S276">
        <v>1091634320</v>
      </c>
    </row>
    <row r="277" spans="1:19" x14ac:dyDescent="0.2">
      <c r="A277" t="str">
        <f t="shared" si="58"/>
        <v>Adult Fiction</v>
      </c>
      <c r="B277" t="str">
        <f>"NEW F DEWOS"</f>
        <v>NEW F DEWOS</v>
      </c>
      <c r="C277" t="s">
        <v>2552</v>
      </c>
      <c r="D277">
        <v>356645</v>
      </c>
      <c r="E277" t="str">
        <f>"DeWoskin, Rachel"</f>
        <v>DeWoskin, Rachel</v>
      </c>
      <c r="G277" t="str">
        <f>"294 pages, 19 cm"</f>
        <v>294 pages, 19 cm</v>
      </c>
      <c r="H277" s="1">
        <v>19</v>
      </c>
      <c r="I277">
        <v>2019</v>
      </c>
      <c r="J277" t="str">
        <f t="shared" si="53"/>
        <v>2: Fiction</v>
      </c>
      <c r="L277" t="s">
        <v>2403</v>
      </c>
      <c r="M277" t="s">
        <v>28</v>
      </c>
      <c r="N277" t="s">
        <v>2396</v>
      </c>
      <c r="O277">
        <v>2</v>
      </c>
      <c r="P277" s="2">
        <v>43689</v>
      </c>
      <c r="Q277" s="1">
        <v>22</v>
      </c>
      <c r="R277" t="s">
        <v>2553</v>
      </c>
      <c r="S277">
        <v>1103319201</v>
      </c>
    </row>
    <row r="278" spans="1:19" x14ac:dyDescent="0.2">
      <c r="A278" t="str">
        <f t="shared" si="58"/>
        <v>Adult Fiction</v>
      </c>
      <c r="B278" t="str">
        <f>"NEW F DICKS"</f>
        <v>NEW F DICKS</v>
      </c>
      <c r="C278" t="str">
        <f>"Twenty-one truths about love"</f>
        <v>Twenty-one truths about love</v>
      </c>
      <c r="D278">
        <v>359491</v>
      </c>
      <c r="E278" t="str">
        <f>"Dicks, Matthew."</f>
        <v>Dicks, Matthew.</v>
      </c>
      <c r="G278" t="str">
        <f>"ix, 341 pages, 22 cm"</f>
        <v>ix, 341 pages, 22 cm</v>
      </c>
      <c r="H278" s="1">
        <v>19</v>
      </c>
      <c r="I278">
        <v>2019</v>
      </c>
      <c r="J278" t="str">
        <f t="shared" si="53"/>
        <v>2: Fiction</v>
      </c>
      <c r="L278" t="s">
        <v>2395</v>
      </c>
      <c r="M278" t="s">
        <v>28</v>
      </c>
      <c r="N278" t="s">
        <v>2404</v>
      </c>
      <c r="O278">
        <v>3</v>
      </c>
      <c r="P278" s="2">
        <v>43802</v>
      </c>
      <c r="Q278" s="1">
        <v>32</v>
      </c>
      <c r="R278" t="s">
        <v>2554</v>
      </c>
      <c r="S278">
        <v>1126790554</v>
      </c>
    </row>
    <row r="279" spans="1:19" x14ac:dyDescent="0.2">
      <c r="A279" t="str">
        <f t="shared" si="58"/>
        <v>Adult Fiction</v>
      </c>
      <c r="B279" t="str">
        <f>"NEW F DICKS"</f>
        <v>NEW F DICKS</v>
      </c>
      <c r="C279" t="str">
        <f>"The other Mrs. Miller"</f>
        <v>The other Mrs. Miller</v>
      </c>
      <c r="D279">
        <v>356404</v>
      </c>
      <c r="E279" t="str">
        <f>"Dickson, Allison"</f>
        <v>Dickson, Allison</v>
      </c>
      <c r="G279" t="str">
        <f>"343 pages, 24 cm"</f>
        <v>343 pages, 24 cm</v>
      </c>
      <c r="H279" s="1">
        <v>19</v>
      </c>
      <c r="I279">
        <v>2019</v>
      </c>
      <c r="J279" t="str">
        <f t="shared" si="53"/>
        <v>2: Fiction</v>
      </c>
      <c r="L279" t="s">
        <v>2403</v>
      </c>
      <c r="M279" t="s">
        <v>28</v>
      </c>
      <c r="N279" t="s">
        <v>2404</v>
      </c>
      <c r="O279">
        <v>12</v>
      </c>
      <c r="P279" s="2">
        <v>43671</v>
      </c>
      <c r="Q279" s="1">
        <v>31</v>
      </c>
      <c r="R279" t="s">
        <v>2555</v>
      </c>
      <c r="S279">
        <v>1057731156</v>
      </c>
    </row>
    <row r="280" spans="1:19" x14ac:dyDescent="0.2">
      <c r="A280" t="str">
        <f t="shared" si="58"/>
        <v>Adult Fiction</v>
      </c>
      <c r="B280" t="str">
        <f>"NEW F DIVAK"</f>
        <v>NEW F DIVAK</v>
      </c>
      <c r="C280" t="str">
        <f>"The forest of enchantments"</f>
        <v>The forest of enchantments</v>
      </c>
      <c r="D280">
        <v>407328</v>
      </c>
      <c r="E280" t="str">
        <f>"Divakaruni, Chitra Banerjee"</f>
        <v>Divakaruni, Chitra Banerjee</v>
      </c>
      <c r="G280" t="str">
        <f>"359 pages, 22 cm"</f>
        <v>359 pages, 22 cm</v>
      </c>
      <c r="H280" s="1">
        <v>19</v>
      </c>
      <c r="I280">
        <v>2019</v>
      </c>
      <c r="J280" t="str">
        <f t="shared" si="53"/>
        <v>2: Fiction</v>
      </c>
      <c r="L280" t="s">
        <v>2395</v>
      </c>
      <c r="M280" t="s">
        <v>28</v>
      </c>
      <c r="N280" t="s">
        <v>2404</v>
      </c>
      <c r="O280">
        <v>6</v>
      </c>
      <c r="P280" s="2">
        <v>43698</v>
      </c>
      <c r="Q280" s="1">
        <v>33</v>
      </c>
      <c r="R280" t="s">
        <v>2556</v>
      </c>
    </row>
    <row r="281" spans="1:19" x14ac:dyDescent="0.2">
      <c r="A281" t="str">
        <f t="shared" si="58"/>
        <v>Adult Fiction</v>
      </c>
      <c r="B281" t="str">
        <f>"NEW F DOBSO"</f>
        <v>NEW F DOBSO</v>
      </c>
      <c r="C281" t="str">
        <f>"Memories of glass: a novel"</f>
        <v>Memories of glass: a novel</v>
      </c>
      <c r="D281">
        <v>358710</v>
      </c>
      <c r="E281" t="str">
        <f>"Dobson, Melanie"</f>
        <v>Dobson, Melanie</v>
      </c>
      <c r="G281" t="str">
        <f>"ix, 419 pages, 22 cm"</f>
        <v>ix, 419 pages, 22 cm</v>
      </c>
      <c r="H281" s="1">
        <v>19</v>
      </c>
      <c r="I281">
        <v>2019</v>
      </c>
      <c r="J281" t="str">
        <f t="shared" si="53"/>
        <v>2: Fiction</v>
      </c>
      <c r="L281" t="s">
        <v>2403</v>
      </c>
      <c r="M281" t="s">
        <v>28</v>
      </c>
      <c r="N281" t="s">
        <v>2404</v>
      </c>
      <c r="O281">
        <v>7</v>
      </c>
      <c r="P281" s="2">
        <v>43762</v>
      </c>
      <c r="Q281" s="1">
        <v>21</v>
      </c>
      <c r="R281" t="s">
        <v>2557</v>
      </c>
      <c r="S281">
        <v>1114308167</v>
      </c>
    </row>
    <row r="282" spans="1:19" x14ac:dyDescent="0.2">
      <c r="A282" t="str">
        <f t="shared" si="58"/>
        <v>Adult Fiction</v>
      </c>
      <c r="B282" t="str">
        <f>"NEW F DONOG"</f>
        <v>NEW F DONOG</v>
      </c>
      <c r="C282" t="str">
        <f>"Akin: a novel"</f>
        <v>Akin: a novel</v>
      </c>
      <c r="D282">
        <v>357684</v>
      </c>
      <c r="E282" t="str">
        <f>"Donoghue, Emma"</f>
        <v>Donoghue, Emma</v>
      </c>
      <c r="G282" t="str">
        <f>"339 pages, 25 cm, illustrations"</f>
        <v>339 pages, 25 cm, illustrations</v>
      </c>
      <c r="H282" s="1">
        <v>19</v>
      </c>
      <c r="I282">
        <v>2019</v>
      </c>
      <c r="J282" t="str">
        <f t="shared" si="53"/>
        <v>2: Fiction</v>
      </c>
      <c r="L282" t="s">
        <v>2395</v>
      </c>
      <c r="M282" t="s">
        <v>28</v>
      </c>
      <c r="N282" t="s">
        <v>2404</v>
      </c>
      <c r="O282">
        <v>6</v>
      </c>
      <c r="P282" s="2">
        <v>43725</v>
      </c>
      <c r="Q282" s="1">
        <v>33</v>
      </c>
      <c r="R282" t="s">
        <v>2558</v>
      </c>
      <c r="S282">
        <v>1107869075</v>
      </c>
    </row>
    <row r="283" spans="1:19" x14ac:dyDescent="0.2">
      <c r="A283" t="str">
        <f t="shared" si="58"/>
        <v>Adult Fiction</v>
      </c>
      <c r="B283" t="str">
        <f>"NEW F DRNDI"</f>
        <v>NEW F DRNDI</v>
      </c>
      <c r="C283" t="s">
        <v>2559</v>
      </c>
      <c r="D283">
        <v>360430</v>
      </c>
      <c r="E283" t="str">
        <f>"Drndić, Daša,"</f>
        <v>Drndić, Daša,</v>
      </c>
      <c r="G283" t="str">
        <f>"156 pages, 21 cm"</f>
        <v>156 pages, 21 cm</v>
      </c>
      <c r="H283" s="1">
        <v>20</v>
      </c>
      <c r="I283">
        <v>2019</v>
      </c>
      <c r="J283" t="str">
        <f t="shared" si="53"/>
        <v>2: Fiction</v>
      </c>
      <c r="L283" t="s">
        <v>2395</v>
      </c>
      <c r="M283" t="s">
        <v>28</v>
      </c>
      <c r="N283" t="str">
        <f>"Reserve Cart"</f>
        <v>Reserve Cart</v>
      </c>
      <c r="O283">
        <v>0</v>
      </c>
      <c r="P283" s="2">
        <v>43851</v>
      </c>
      <c r="Q283" s="1">
        <v>21</v>
      </c>
      <c r="R283" t="s">
        <v>2560</v>
      </c>
      <c r="S283">
        <v>1085165610</v>
      </c>
    </row>
    <row r="284" spans="1:19" x14ac:dyDescent="0.2">
      <c r="A284" t="str">
        <f t="shared" si="58"/>
        <v>Adult Fiction</v>
      </c>
      <c r="B284" t="str">
        <f>"NEW F DUKES"</f>
        <v>NEW F DUKES</v>
      </c>
      <c r="C284" t="str">
        <f>"The last book party: a novel"</f>
        <v>The last book party: a novel</v>
      </c>
      <c r="D284">
        <v>356510</v>
      </c>
      <c r="E284" t="str">
        <f>"Dukess, Karen"</f>
        <v>Dukess, Karen</v>
      </c>
      <c r="G284" t="str">
        <f>"240 pages, 22 cm, map"</f>
        <v>240 pages, 22 cm, map</v>
      </c>
      <c r="H284" s="1">
        <v>19</v>
      </c>
      <c r="I284">
        <v>2019</v>
      </c>
      <c r="J284" t="str">
        <f t="shared" si="53"/>
        <v>2: Fiction</v>
      </c>
      <c r="L284" t="s">
        <v>2403</v>
      </c>
      <c r="M284" t="s">
        <v>28</v>
      </c>
      <c r="N284" t="s">
        <v>2404</v>
      </c>
      <c r="O284">
        <v>7</v>
      </c>
      <c r="P284" s="2">
        <v>43678</v>
      </c>
      <c r="Q284" s="1">
        <v>32</v>
      </c>
      <c r="R284" t="s">
        <v>2561</v>
      </c>
      <c r="S284">
        <v>1057732834</v>
      </c>
    </row>
    <row r="285" spans="1:19" x14ac:dyDescent="0.2">
      <c r="A285" t="str">
        <f t="shared" si="58"/>
        <v>Adult Fiction</v>
      </c>
      <c r="B285" t="str">
        <f>"NEW F DUNCA"</f>
        <v>NEW F DUNCA</v>
      </c>
      <c r="C285" t="str">
        <f>"Exquisite mariposa: a novel"</f>
        <v>Exquisite mariposa: a novel</v>
      </c>
      <c r="D285">
        <v>357861</v>
      </c>
      <c r="E285" t="str">
        <f>"Duncan, Fiona Alison,"</f>
        <v>Duncan, Fiona Alison,</v>
      </c>
      <c r="G285" t="str">
        <f>"177 p."</f>
        <v>177 p.</v>
      </c>
      <c r="H285" s="1">
        <v>19</v>
      </c>
      <c r="I285">
        <v>2019</v>
      </c>
      <c r="J285" t="str">
        <f t="shared" si="53"/>
        <v>2: Fiction</v>
      </c>
      <c r="L285" t="s">
        <v>2395</v>
      </c>
      <c r="M285" t="s">
        <v>28</v>
      </c>
      <c r="N285" t="s">
        <v>2404</v>
      </c>
      <c r="O285">
        <v>3</v>
      </c>
      <c r="P285" s="2">
        <v>43731</v>
      </c>
      <c r="Q285" s="1">
        <v>22</v>
      </c>
      <c r="R285" t="s">
        <v>2562</v>
      </c>
      <c r="S285">
        <v>1083463315</v>
      </c>
    </row>
    <row r="286" spans="1:19" x14ac:dyDescent="0.2">
      <c r="A286" t="str">
        <f t="shared" si="58"/>
        <v>Adult Fiction</v>
      </c>
      <c r="B286" t="str">
        <f>"NEW F DUNLO"</f>
        <v>NEW F DUNLO</v>
      </c>
      <c r="C286" t="str">
        <f>"We came here to forget: a novel"</f>
        <v>We came here to forget: a novel</v>
      </c>
      <c r="D286">
        <v>357940</v>
      </c>
      <c r="E286" t="str">
        <f>"Dunlop, Andrea"</f>
        <v>Dunlop, Andrea</v>
      </c>
      <c r="G286" t="str">
        <f>"308 pages, 24 cm"</f>
        <v>308 pages, 24 cm</v>
      </c>
      <c r="H286" s="1">
        <v>19</v>
      </c>
      <c r="I286">
        <v>2019</v>
      </c>
      <c r="J286" t="str">
        <f t="shared" si="53"/>
        <v>2: Fiction</v>
      </c>
      <c r="L286" t="s">
        <v>2395</v>
      </c>
      <c r="M286" t="s">
        <v>28</v>
      </c>
      <c r="N286" t="s">
        <v>2396</v>
      </c>
      <c r="O286">
        <v>3</v>
      </c>
      <c r="P286" s="2">
        <v>43732</v>
      </c>
      <c r="Q286" s="1">
        <v>32</v>
      </c>
      <c r="R286" t="s">
        <v>2563</v>
      </c>
      <c r="S286">
        <v>1056737503</v>
      </c>
    </row>
    <row r="287" spans="1:19" x14ac:dyDescent="0.2">
      <c r="A287" t="str">
        <f t="shared" si="58"/>
        <v>Adult Fiction</v>
      </c>
      <c r="B287" t="str">
        <f>"NEW F DUNMO"</f>
        <v>NEW F DUNMO</v>
      </c>
      <c r="C287" t="str">
        <f>"Bringing down the duke"</f>
        <v>Bringing down the duke</v>
      </c>
      <c r="D287">
        <v>357427</v>
      </c>
      <c r="E287" t="str">
        <f>"Dunmore, Evie"</f>
        <v>Dunmore, Evie</v>
      </c>
      <c r="G287" t="str">
        <f>"356 pages, 21 cm"</f>
        <v>356 pages, 21 cm</v>
      </c>
      <c r="H287" s="1">
        <v>19</v>
      </c>
      <c r="I287">
        <v>2019</v>
      </c>
      <c r="J287" t="str">
        <f t="shared" si="53"/>
        <v>2: Fiction</v>
      </c>
      <c r="L287" t="s">
        <v>2403</v>
      </c>
      <c r="M287" t="s">
        <v>28</v>
      </c>
      <c r="N287" t="s">
        <v>2396</v>
      </c>
      <c r="O287">
        <v>4</v>
      </c>
      <c r="P287" s="2">
        <v>43718</v>
      </c>
      <c r="Q287" s="1">
        <v>20</v>
      </c>
      <c r="R287" t="s">
        <v>2564</v>
      </c>
      <c r="S287">
        <v>1082331324</v>
      </c>
    </row>
    <row r="288" spans="1:19" x14ac:dyDescent="0.2">
      <c r="A288" t="str">
        <f t="shared" si="58"/>
        <v>Adult Fiction</v>
      </c>
      <c r="B288" t="str">
        <f>"NEW F DUNMO"</f>
        <v>NEW F DUNMO</v>
      </c>
      <c r="C288" t="str">
        <f>"Bringing down the duke"</f>
        <v>Bringing down the duke</v>
      </c>
      <c r="D288">
        <v>357428</v>
      </c>
      <c r="E288" t="str">
        <f>"Dunmore, Evie"</f>
        <v>Dunmore, Evie</v>
      </c>
      <c r="G288" t="str">
        <f>"356 pages, 21 cm"</f>
        <v>356 pages, 21 cm</v>
      </c>
      <c r="H288" s="1">
        <v>19</v>
      </c>
      <c r="I288">
        <v>2019</v>
      </c>
      <c r="J288" t="str">
        <f t="shared" si="53"/>
        <v>2: Fiction</v>
      </c>
      <c r="L288" t="s">
        <v>2395</v>
      </c>
      <c r="M288" t="s">
        <v>28</v>
      </c>
      <c r="N288" t="s">
        <v>2404</v>
      </c>
      <c r="O288">
        <v>5</v>
      </c>
      <c r="P288" s="2">
        <v>43718</v>
      </c>
      <c r="Q288" s="1">
        <v>20</v>
      </c>
      <c r="R288" t="s">
        <v>2564</v>
      </c>
      <c r="S288">
        <v>1082331324</v>
      </c>
    </row>
    <row r="289" spans="1:19" x14ac:dyDescent="0.2">
      <c r="A289" t="str">
        <f t="shared" si="58"/>
        <v>Adult Fiction</v>
      </c>
      <c r="B289" t="str">
        <f>"NEW F EISLE"</f>
        <v>NEW F EISLE</v>
      </c>
      <c r="C289" t="str">
        <f>"All the devils"</f>
        <v>All the devils</v>
      </c>
      <c r="D289">
        <v>357738</v>
      </c>
      <c r="E289" t="str">
        <f>"Eisler, Barry"</f>
        <v>Eisler, Barry</v>
      </c>
      <c r="F289" t="str">
        <f>"Livia Lone series (3)"</f>
        <v>Livia Lone series (3)</v>
      </c>
      <c r="H289" s="1">
        <v>19</v>
      </c>
      <c r="I289">
        <v>2019</v>
      </c>
      <c r="J289" t="str">
        <f t="shared" si="53"/>
        <v>2: Fiction</v>
      </c>
      <c r="L289" t="s">
        <v>2395</v>
      </c>
      <c r="M289" t="s">
        <v>28</v>
      </c>
      <c r="N289" t="s">
        <v>2404</v>
      </c>
      <c r="O289">
        <v>7</v>
      </c>
      <c r="P289" s="2">
        <v>43725</v>
      </c>
      <c r="Q289" s="1">
        <v>30</v>
      </c>
      <c r="R289" t="s">
        <v>2565</v>
      </c>
      <c r="S289">
        <v>1117710299</v>
      </c>
    </row>
    <row r="290" spans="1:19" x14ac:dyDescent="0.2">
      <c r="A290" t="str">
        <f t="shared" si="58"/>
        <v>Adult Fiction</v>
      </c>
      <c r="B290" t="str">
        <f>"NEW F EISLE"</f>
        <v>NEW F EISLE</v>
      </c>
      <c r="C290" t="str">
        <f>"All the devils"</f>
        <v>All the devils</v>
      </c>
      <c r="D290">
        <v>357739</v>
      </c>
      <c r="E290" t="str">
        <f>"Eisler, Barry"</f>
        <v>Eisler, Barry</v>
      </c>
      <c r="F290" t="str">
        <f>"Livia Lone series (3)"</f>
        <v>Livia Lone series (3)</v>
      </c>
      <c r="H290" s="1">
        <v>19</v>
      </c>
      <c r="I290">
        <v>2019</v>
      </c>
      <c r="J290" t="str">
        <f t="shared" si="53"/>
        <v>2: Fiction</v>
      </c>
      <c r="L290" t="s">
        <v>2403</v>
      </c>
      <c r="M290" t="s">
        <v>28</v>
      </c>
      <c r="N290" t="s">
        <v>2396</v>
      </c>
      <c r="O290">
        <v>9</v>
      </c>
      <c r="P290" s="2">
        <v>43725</v>
      </c>
      <c r="Q290" s="1">
        <v>30</v>
      </c>
      <c r="R290" t="s">
        <v>2565</v>
      </c>
      <c r="S290">
        <v>1117710299</v>
      </c>
    </row>
    <row r="291" spans="1:19" x14ac:dyDescent="0.2">
      <c r="A291" t="str">
        <f t="shared" si="58"/>
        <v>Adult Fiction</v>
      </c>
      <c r="B291" t="str">
        <f>"NEW F ELLIS"</f>
        <v>NEW F ELLIS</v>
      </c>
      <c r="C291" t="str">
        <f>"The vanished bride"</f>
        <v>The vanished bride</v>
      </c>
      <c r="D291">
        <v>357682</v>
      </c>
      <c r="E291" t="str">
        <f>"Ellis, Bella,"</f>
        <v>Ellis, Bella,</v>
      </c>
      <c r="F291" t="str">
        <f>"Bronte sisters mystery (1)"</f>
        <v>Bronte sisters mystery (1)</v>
      </c>
      <c r="G291" t="str">
        <f>"293 p., 24 cm"</f>
        <v>293 p., 24 cm</v>
      </c>
      <c r="H291" s="1">
        <v>19</v>
      </c>
      <c r="I291">
        <v>2019</v>
      </c>
      <c r="J291" t="str">
        <f t="shared" si="53"/>
        <v>2: Fiction</v>
      </c>
      <c r="L291" t="s">
        <v>2395</v>
      </c>
      <c r="M291" t="s">
        <v>28</v>
      </c>
      <c r="N291" t="s">
        <v>2396</v>
      </c>
      <c r="O291">
        <v>7</v>
      </c>
      <c r="P291" s="2">
        <v>43725</v>
      </c>
      <c r="Q291" s="1">
        <v>31</v>
      </c>
      <c r="R291" t="s">
        <v>2566</v>
      </c>
      <c r="S291">
        <v>1089897345</v>
      </c>
    </row>
    <row r="292" spans="1:19" x14ac:dyDescent="0.2">
      <c r="A292" t="str">
        <f t="shared" si="58"/>
        <v>Adult Fiction</v>
      </c>
      <c r="B292" t="str">
        <f>"NEW F ELLIS"</f>
        <v>NEW F ELLIS</v>
      </c>
      <c r="C292" t="str">
        <f>"Good girls lie"</f>
        <v>Good girls lie</v>
      </c>
      <c r="D292">
        <v>360118</v>
      </c>
      <c r="E292" t="str">
        <f>"Ellison, J. T."</f>
        <v>Ellison, J. T.</v>
      </c>
      <c r="G292" t="str">
        <f>"458 pages, 24 cm"</f>
        <v>458 pages, 24 cm</v>
      </c>
      <c r="H292" s="1">
        <v>19</v>
      </c>
      <c r="I292">
        <v>2019</v>
      </c>
      <c r="J292" t="str">
        <f t="shared" si="53"/>
        <v>2: Fiction</v>
      </c>
      <c r="L292" t="s">
        <v>2395</v>
      </c>
      <c r="M292" t="s">
        <v>28</v>
      </c>
      <c r="N292" t="s">
        <v>2404</v>
      </c>
      <c r="O292">
        <v>2</v>
      </c>
      <c r="P292" s="2">
        <v>43829</v>
      </c>
      <c r="Q292" s="1">
        <v>33</v>
      </c>
      <c r="R292" t="s">
        <v>2567</v>
      </c>
      <c r="S292">
        <v>1111245261</v>
      </c>
    </row>
    <row r="293" spans="1:19" x14ac:dyDescent="0.2">
      <c r="A293" t="str">
        <f t="shared" si="58"/>
        <v>Adult Fiction</v>
      </c>
      <c r="B293" t="str">
        <f>"NEW F ELLMA"</f>
        <v>NEW F ELLMA</v>
      </c>
      <c r="C293" t="str">
        <f>"Ducks, Newburyport"</f>
        <v>Ducks, Newburyport</v>
      </c>
      <c r="D293">
        <v>358684</v>
      </c>
      <c r="E293" t="str">
        <f>"Ellmann, Lucy,"</f>
        <v>Ellmann, Lucy,</v>
      </c>
      <c r="G293" t="str">
        <f>"1020 pages, 22 cm, map"</f>
        <v>1020 pages, 22 cm, map</v>
      </c>
      <c r="H293" s="1">
        <v>19</v>
      </c>
      <c r="I293">
        <v>2019</v>
      </c>
      <c r="J293" t="str">
        <f t="shared" si="53"/>
        <v>2: Fiction</v>
      </c>
      <c r="L293" t="s">
        <v>2395</v>
      </c>
      <c r="M293" t="s">
        <v>28</v>
      </c>
      <c r="N293" t="s">
        <v>2396</v>
      </c>
      <c r="O293">
        <v>4</v>
      </c>
      <c r="P293" s="2">
        <v>43762</v>
      </c>
      <c r="Q293" s="1">
        <v>28</v>
      </c>
      <c r="R293" t="s">
        <v>2568</v>
      </c>
      <c r="S293">
        <v>1084405001</v>
      </c>
    </row>
    <row r="294" spans="1:19" x14ac:dyDescent="0.2">
      <c r="A294" t="str">
        <f t="shared" si="58"/>
        <v>Adult Fiction</v>
      </c>
      <c r="B294" t="str">
        <f>"NEW F ENGLE"</f>
        <v>NEW F ENGLE</v>
      </c>
      <c r="C294" t="str">
        <f>"Bloomland: a novel"</f>
        <v>Bloomland: a novel</v>
      </c>
      <c r="D294">
        <v>357667</v>
      </c>
      <c r="E294" t="str">
        <f>"Englehardt, John,"</f>
        <v>Englehardt, John,</v>
      </c>
      <c r="G294" t="str">
        <f>"195 p., 23 cm"</f>
        <v>195 p., 23 cm</v>
      </c>
      <c r="H294" s="1">
        <v>19</v>
      </c>
      <c r="I294">
        <v>2019</v>
      </c>
      <c r="J294" t="str">
        <f t="shared" si="53"/>
        <v>2: Fiction</v>
      </c>
      <c r="L294" t="s">
        <v>2403</v>
      </c>
      <c r="M294" t="s">
        <v>28</v>
      </c>
      <c r="N294" t="s">
        <v>2396</v>
      </c>
      <c r="O294">
        <v>3</v>
      </c>
      <c r="P294" s="2">
        <v>43725</v>
      </c>
      <c r="Q294" s="1">
        <v>32</v>
      </c>
      <c r="R294" t="s">
        <v>2569</v>
      </c>
      <c r="S294">
        <v>1083716025</v>
      </c>
    </row>
    <row r="295" spans="1:19" x14ac:dyDescent="0.2">
      <c r="A295" t="str">
        <f t="shared" si="58"/>
        <v>Adult Fiction</v>
      </c>
      <c r="B295" t="str">
        <f>"NEW F EPHRO"</f>
        <v>NEW F EPHRO</v>
      </c>
      <c r="C295" t="str">
        <f>"Careful what you wish for: a novel of suspense"</f>
        <v>Careful what you wish for: a novel of suspense</v>
      </c>
      <c r="D295">
        <v>356816</v>
      </c>
      <c r="E295" t="str">
        <f>"Ephron, Hallie."</f>
        <v>Ephron, Hallie.</v>
      </c>
      <c r="G295" t="str">
        <f>"288 pages, 24 cm"</f>
        <v>288 pages, 24 cm</v>
      </c>
      <c r="H295" s="1">
        <v>19</v>
      </c>
      <c r="I295">
        <v>2019</v>
      </c>
      <c r="J295" t="str">
        <f t="shared" si="53"/>
        <v>2: Fiction</v>
      </c>
      <c r="L295" t="s">
        <v>2403</v>
      </c>
      <c r="M295" t="s">
        <v>28</v>
      </c>
      <c r="N295" t="s">
        <v>2404</v>
      </c>
      <c r="O295">
        <v>10</v>
      </c>
      <c r="P295" s="2">
        <v>43690</v>
      </c>
      <c r="Q295" s="1">
        <v>32</v>
      </c>
      <c r="R295" t="s">
        <v>2570</v>
      </c>
      <c r="S295">
        <v>1048444167</v>
      </c>
    </row>
    <row r="296" spans="1:19" x14ac:dyDescent="0.2">
      <c r="A296" t="str">
        <f t="shared" si="58"/>
        <v>Adult Fiction</v>
      </c>
      <c r="B296" t="str">
        <f>"NEW F ERBLI"</f>
        <v>NEW F ERBLI</v>
      </c>
      <c r="C296" t="str">
        <f>"Riding lies"</f>
        <v>Riding lies</v>
      </c>
      <c r="D296">
        <v>408421</v>
      </c>
      <c r="E296" t="str">
        <f>"Erblich-Brifman, Eshkar"</f>
        <v>Erblich-Brifman, Eshkar</v>
      </c>
      <c r="G296">
        <v>330</v>
      </c>
      <c r="H296" s="1">
        <v>19</v>
      </c>
      <c r="I296">
        <v>2019</v>
      </c>
      <c r="J296" t="str">
        <f t="shared" si="53"/>
        <v>2: Fiction</v>
      </c>
      <c r="L296" t="s">
        <v>2395</v>
      </c>
      <c r="M296" t="s">
        <v>28</v>
      </c>
      <c r="N296" t="s">
        <v>2396</v>
      </c>
      <c r="O296">
        <v>2</v>
      </c>
      <c r="P296" s="2">
        <v>43791</v>
      </c>
      <c r="Q296" s="1">
        <v>20</v>
      </c>
      <c r="R296" t="s">
        <v>2571</v>
      </c>
    </row>
    <row r="297" spans="1:19" x14ac:dyDescent="0.2">
      <c r="A297" t="str">
        <f t="shared" si="58"/>
        <v>Adult Fiction</v>
      </c>
      <c r="B297" t="str">
        <f>"NEW F ESKEN"</f>
        <v>NEW F ESKEN</v>
      </c>
      <c r="C297" t="str">
        <f>"Nothing more dangerous: a novel"</f>
        <v>Nothing more dangerous: a novel</v>
      </c>
      <c r="D297">
        <v>359874</v>
      </c>
      <c r="E297" t="str">
        <f>"Eskens, Allen"</f>
        <v>Eskens, Allen</v>
      </c>
      <c r="G297" t="str">
        <f>"vii, 293 pages, 25 cm"</f>
        <v>vii, 293 pages, 25 cm</v>
      </c>
      <c r="H297" s="1">
        <v>19</v>
      </c>
      <c r="I297">
        <v>2019</v>
      </c>
      <c r="J297" t="str">
        <f t="shared" si="53"/>
        <v>2: Fiction</v>
      </c>
      <c r="L297" t="s">
        <v>2395</v>
      </c>
      <c r="M297" t="s">
        <v>28</v>
      </c>
      <c r="N297" t="s">
        <v>2404</v>
      </c>
      <c r="O297">
        <v>2</v>
      </c>
      <c r="P297" s="2">
        <v>43815</v>
      </c>
      <c r="Q297" s="1">
        <v>32</v>
      </c>
      <c r="R297" t="s">
        <v>2572</v>
      </c>
      <c r="S297">
        <v>1089560287</v>
      </c>
    </row>
    <row r="298" spans="1:19" x14ac:dyDescent="0.2">
      <c r="A298" t="str">
        <f t="shared" si="58"/>
        <v>Adult Fiction</v>
      </c>
      <c r="B298" t="str">
        <f t="shared" ref="B298:B303" si="59">"NEW F EVANO"</f>
        <v>NEW F EVANO</v>
      </c>
      <c r="C298" t="str">
        <f t="shared" ref="C298:C303" si="60">"Twisted twenty-six"</f>
        <v>Twisted twenty-six</v>
      </c>
      <c r="D298">
        <v>359156</v>
      </c>
      <c r="E298" t="str">
        <f t="shared" ref="E298:E303" si="61">"Evanovich, Janet"</f>
        <v>Evanovich, Janet</v>
      </c>
      <c r="F298" t="str">
        <f t="shared" ref="F298:F303" si="62">"Stephanie Plum series (26)"</f>
        <v>Stephanie Plum series (26)</v>
      </c>
      <c r="G298" t="str">
        <f t="shared" ref="G298:G303" si="63">"306 pages"</f>
        <v>306 pages</v>
      </c>
      <c r="H298" s="1">
        <v>19</v>
      </c>
      <c r="I298">
        <v>2019</v>
      </c>
      <c r="J298" t="str">
        <f t="shared" si="53"/>
        <v>2: Fiction</v>
      </c>
      <c r="L298" t="s">
        <v>2395</v>
      </c>
      <c r="M298" t="s">
        <v>28</v>
      </c>
      <c r="N298" t="s">
        <v>2404</v>
      </c>
      <c r="O298">
        <v>6</v>
      </c>
      <c r="P298" s="2">
        <v>43781</v>
      </c>
      <c r="Q298" s="1">
        <v>33</v>
      </c>
      <c r="R298" t="s">
        <v>2573</v>
      </c>
      <c r="S298">
        <v>1126330247</v>
      </c>
    </row>
    <row r="299" spans="1:19" x14ac:dyDescent="0.2">
      <c r="A299" t="str">
        <f t="shared" si="58"/>
        <v>Adult Fiction</v>
      </c>
      <c r="B299" t="str">
        <f t="shared" si="59"/>
        <v>NEW F EVANO</v>
      </c>
      <c r="C299" t="str">
        <f t="shared" si="60"/>
        <v>Twisted twenty-six</v>
      </c>
      <c r="D299">
        <v>359157</v>
      </c>
      <c r="E299" t="str">
        <f t="shared" si="61"/>
        <v>Evanovich, Janet</v>
      </c>
      <c r="F299" t="str">
        <f t="shared" si="62"/>
        <v>Stephanie Plum series (26)</v>
      </c>
      <c r="G299" t="str">
        <f t="shared" si="63"/>
        <v>306 pages</v>
      </c>
      <c r="H299" s="1">
        <v>19</v>
      </c>
      <c r="I299">
        <v>2019</v>
      </c>
      <c r="J299" t="str">
        <f t="shared" si="53"/>
        <v>2: Fiction</v>
      </c>
      <c r="L299" t="s">
        <v>2403</v>
      </c>
      <c r="M299" t="s">
        <v>28</v>
      </c>
      <c r="N299" t="s">
        <v>2404</v>
      </c>
      <c r="O299">
        <v>6</v>
      </c>
      <c r="P299" s="2">
        <v>43781</v>
      </c>
      <c r="Q299" s="1">
        <v>33</v>
      </c>
      <c r="R299" t="s">
        <v>2573</v>
      </c>
      <c r="S299">
        <v>1126330247</v>
      </c>
    </row>
    <row r="300" spans="1:19" x14ac:dyDescent="0.2">
      <c r="A300" t="str">
        <f t="shared" si="58"/>
        <v>Adult Fiction</v>
      </c>
      <c r="B300" t="str">
        <f t="shared" si="59"/>
        <v>NEW F EVANO</v>
      </c>
      <c r="C300" t="str">
        <f t="shared" si="60"/>
        <v>Twisted twenty-six</v>
      </c>
      <c r="D300">
        <v>359158</v>
      </c>
      <c r="E300" t="str">
        <f t="shared" si="61"/>
        <v>Evanovich, Janet</v>
      </c>
      <c r="F300" t="str">
        <f t="shared" si="62"/>
        <v>Stephanie Plum series (26)</v>
      </c>
      <c r="G300" t="str">
        <f t="shared" si="63"/>
        <v>306 pages</v>
      </c>
      <c r="H300" s="1">
        <v>19</v>
      </c>
      <c r="I300">
        <v>2019</v>
      </c>
      <c r="J300" t="str">
        <f t="shared" si="53"/>
        <v>2: Fiction</v>
      </c>
      <c r="L300" t="s">
        <v>2395</v>
      </c>
      <c r="M300" t="s">
        <v>28</v>
      </c>
      <c r="N300" t="s">
        <v>2404</v>
      </c>
      <c r="O300">
        <v>7</v>
      </c>
      <c r="P300" s="2">
        <v>43781</v>
      </c>
      <c r="Q300" s="1">
        <v>33</v>
      </c>
      <c r="R300" t="s">
        <v>2573</v>
      </c>
      <c r="S300">
        <v>1126330247</v>
      </c>
    </row>
    <row r="301" spans="1:19" x14ac:dyDescent="0.2">
      <c r="A301" t="str">
        <f t="shared" si="58"/>
        <v>Adult Fiction</v>
      </c>
      <c r="B301" t="str">
        <f t="shared" si="59"/>
        <v>NEW F EVANO</v>
      </c>
      <c r="C301" t="str">
        <f t="shared" si="60"/>
        <v>Twisted twenty-six</v>
      </c>
      <c r="D301">
        <v>359159</v>
      </c>
      <c r="E301" t="str">
        <f t="shared" si="61"/>
        <v>Evanovich, Janet</v>
      </c>
      <c r="F301" t="str">
        <f t="shared" si="62"/>
        <v>Stephanie Plum series (26)</v>
      </c>
      <c r="G301" t="str">
        <f t="shared" si="63"/>
        <v>306 pages</v>
      </c>
      <c r="H301" s="1">
        <v>19</v>
      </c>
      <c r="I301">
        <v>2019</v>
      </c>
      <c r="J301" t="str">
        <f t="shared" si="53"/>
        <v>2: Fiction</v>
      </c>
      <c r="L301" t="s">
        <v>2395</v>
      </c>
      <c r="M301" t="s">
        <v>28</v>
      </c>
      <c r="N301" t="s">
        <v>2404</v>
      </c>
      <c r="O301">
        <v>6</v>
      </c>
      <c r="P301" s="2">
        <v>43781</v>
      </c>
      <c r="Q301" s="1">
        <v>33</v>
      </c>
      <c r="R301" t="s">
        <v>2573</v>
      </c>
      <c r="S301">
        <v>1126330247</v>
      </c>
    </row>
    <row r="302" spans="1:19" x14ac:dyDescent="0.2">
      <c r="A302" t="str">
        <f t="shared" si="58"/>
        <v>Adult Fiction</v>
      </c>
      <c r="B302" t="str">
        <f t="shared" si="59"/>
        <v>NEW F EVANO</v>
      </c>
      <c r="C302" t="str">
        <f t="shared" si="60"/>
        <v>Twisted twenty-six</v>
      </c>
      <c r="D302">
        <v>359160</v>
      </c>
      <c r="E302" t="str">
        <f t="shared" si="61"/>
        <v>Evanovich, Janet</v>
      </c>
      <c r="F302" t="str">
        <f t="shared" si="62"/>
        <v>Stephanie Plum series (26)</v>
      </c>
      <c r="G302" t="str">
        <f t="shared" si="63"/>
        <v>306 pages</v>
      </c>
      <c r="H302" s="1">
        <v>19</v>
      </c>
      <c r="I302">
        <v>2019</v>
      </c>
      <c r="J302" t="str">
        <f t="shared" si="53"/>
        <v>2: Fiction</v>
      </c>
      <c r="L302" t="s">
        <v>2403</v>
      </c>
      <c r="M302" t="s">
        <v>28</v>
      </c>
      <c r="N302" t="s">
        <v>2404</v>
      </c>
      <c r="O302">
        <v>4</v>
      </c>
      <c r="P302" s="2">
        <v>43781</v>
      </c>
      <c r="Q302" s="1">
        <v>33</v>
      </c>
      <c r="R302" t="s">
        <v>2573</v>
      </c>
      <c r="S302">
        <v>1126330247</v>
      </c>
    </row>
    <row r="303" spans="1:19" x14ac:dyDescent="0.2">
      <c r="A303" t="str">
        <f t="shared" si="58"/>
        <v>Adult Fiction</v>
      </c>
      <c r="B303" t="str">
        <f t="shared" si="59"/>
        <v>NEW F EVANO</v>
      </c>
      <c r="C303" t="str">
        <f t="shared" si="60"/>
        <v>Twisted twenty-six</v>
      </c>
      <c r="D303">
        <v>359161</v>
      </c>
      <c r="E303" t="str">
        <f t="shared" si="61"/>
        <v>Evanovich, Janet</v>
      </c>
      <c r="F303" t="str">
        <f t="shared" si="62"/>
        <v>Stephanie Plum series (26)</v>
      </c>
      <c r="G303" t="str">
        <f t="shared" si="63"/>
        <v>306 pages</v>
      </c>
      <c r="H303" s="1">
        <v>19</v>
      </c>
      <c r="I303">
        <v>2019</v>
      </c>
      <c r="J303" t="str">
        <f t="shared" si="53"/>
        <v>2: Fiction</v>
      </c>
      <c r="L303" t="s">
        <v>2403</v>
      </c>
      <c r="M303" t="s">
        <v>28</v>
      </c>
      <c r="N303" t="s">
        <v>2404</v>
      </c>
      <c r="O303">
        <v>5</v>
      </c>
      <c r="P303" s="2">
        <v>43781</v>
      </c>
      <c r="Q303" s="1">
        <v>33</v>
      </c>
      <c r="R303" t="s">
        <v>2573</v>
      </c>
      <c r="S303">
        <v>1126330247</v>
      </c>
    </row>
    <row r="304" spans="1:19" x14ac:dyDescent="0.2">
      <c r="A304" t="str">
        <f t="shared" si="58"/>
        <v>Adult Fiction</v>
      </c>
      <c r="B304" t="str">
        <f>"NEW F EVANS"</f>
        <v>NEW F EVANS</v>
      </c>
      <c r="C304" t="str">
        <f>"Old baggage: a novel"</f>
        <v>Old baggage: a novel</v>
      </c>
      <c r="D304">
        <v>408596</v>
      </c>
      <c r="E304" t="str">
        <f>"Evans, Lissa"</f>
        <v>Evans, Lissa</v>
      </c>
      <c r="G304" t="str">
        <f>"310 pages, 21 cm"</f>
        <v>310 pages, 21 cm</v>
      </c>
      <c r="H304" s="1">
        <v>19</v>
      </c>
      <c r="I304">
        <v>2019</v>
      </c>
      <c r="J304" t="str">
        <f t="shared" si="53"/>
        <v>2: Fiction</v>
      </c>
      <c r="L304" t="s">
        <v>2395</v>
      </c>
      <c r="M304" t="s">
        <v>28</v>
      </c>
      <c r="N304" t="s">
        <v>2396</v>
      </c>
      <c r="O304">
        <v>1</v>
      </c>
      <c r="P304" s="2">
        <v>43830</v>
      </c>
      <c r="Q304" s="1">
        <v>21</v>
      </c>
      <c r="R304" t="s">
        <v>2574</v>
      </c>
      <c r="S304">
        <v>1055570109</v>
      </c>
    </row>
    <row r="305" spans="1:19" x14ac:dyDescent="0.2">
      <c r="A305" t="str">
        <f t="shared" si="58"/>
        <v>Adult Fiction</v>
      </c>
      <c r="B305" t="str">
        <f>"NEW F EVANS"</f>
        <v>NEW F EVANS</v>
      </c>
      <c r="C305" t="str">
        <f>"Noel Street"</f>
        <v>Noel Street</v>
      </c>
      <c r="D305">
        <v>358977</v>
      </c>
      <c r="E305" t="str">
        <f>"Evans, Richard Paul"</f>
        <v>Evans, Richard Paul</v>
      </c>
      <c r="G305" t="str">
        <f>"xv, 280 pages, 19 cm"</f>
        <v>xv, 280 pages, 19 cm</v>
      </c>
      <c r="H305" s="1">
        <v>19</v>
      </c>
      <c r="I305">
        <v>2019</v>
      </c>
      <c r="J305" t="str">
        <f t="shared" si="53"/>
        <v>2: Fiction</v>
      </c>
      <c r="L305" t="s">
        <v>2403</v>
      </c>
      <c r="M305" t="s">
        <v>28</v>
      </c>
      <c r="N305" t="s">
        <v>2396</v>
      </c>
      <c r="O305">
        <v>5</v>
      </c>
      <c r="P305" s="2">
        <v>43780</v>
      </c>
      <c r="Q305" s="1">
        <v>27</v>
      </c>
      <c r="R305" t="s">
        <v>2575</v>
      </c>
      <c r="S305">
        <v>1110659666</v>
      </c>
    </row>
    <row r="306" spans="1:19" x14ac:dyDescent="0.2">
      <c r="A306" t="str">
        <f t="shared" si="58"/>
        <v>Adult Fiction</v>
      </c>
      <c r="B306" t="str">
        <f>"NEW F EVANS"</f>
        <v>NEW F EVANS</v>
      </c>
      <c r="C306" t="str">
        <f>"Noel Street"</f>
        <v>Noel Street</v>
      </c>
      <c r="D306">
        <v>358978</v>
      </c>
      <c r="E306" t="str">
        <f>"Evans, Richard Paul"</f>
        <v>Evans, Richard Paul</v>
      </c>
      <c r="G306" t="str">
        <f>"xv, 280 pages, 19 cm"</f>
        <v>xv, 280 pages, 19 cm</v>
      </c>
      <c r="H306" s="1">
        <v>19</v>
      </c>
      <c r="I306">
        <v>2019</v>
      </c>
      <c r="J306" t="str">
        <f t="shared" si="53"/>
        <v>2: Fiction</v>
      </c>
      <c r="L306" t="s">
        <v>2395</v>
      </c>
      <c r="M306" t="s">
        <v>28</v>
      </c>
      <c r="N306" t="s">
        <v>2404</v>
      </c>
      <c r="O306">
        <v>6</v>
      </c>
      <c r="P306" s="2">
        <v>43780</v>
      </c>
      <c r="Q306" s="1">
        <v>27</v>
      </c>
      <c r="R306" t="s">
        <v>2575</v>
      </c>
      <c r="S306">
        <v>1110659666</v>
      </c>
    </row>
    <row r="307" spans="1:19" x14ac:dyDescent="0.2">
      <c r="A307" t="str">
        <f t="shared" si="58"/>
        <v>Adult Fiction</v>
      </c>
      <c r="B307" t="str">
        <f>"NEW F EVANS"</f>
        <v>NEW F EVANS</v>
      </c>
      <c r="C307" t="str">
        <f>"The road home"</f>
        <v>The road home</v>
      </c>
      <c r="D307">
        <v>354541</v>
      </c>
      <c r="E307" t="str">
        <f>"Evans, Richard Paul"</f>
        <v>Evans, Richard Paul</v>
      </c>
      <c r="F307" t="str">
        <f>"Broken Road series (3)"</f>
        <v>Broken Road series (3)</v>
      </c>
      <c r="G307" t="str">
        <f>"320 pages, 22 cm"</f>
        <v>320 pages, 22 cm</v>
      </c>
      <c r="H307" s="1">
        <v>19</v>
      </c>
      <c r="I307">
        <v>2019</v>
      </c>
      <c r="J307" t="str">
        <f t="shared" si="53"/>
        <v>2: Fiction</v>
      </c>
      <c r="L307" t="s">
        <v>2403</v>
      </c>
      <c r="M307" t="s">
        <v>28</v>
      </c>
      <c r="N307" t="s">
        <v>2396</v>
      </c>
      <c r="O307">
        <v>12</v>
      </c>
      <c r="P307" s="2">
        <v>43591</v>
      </c>
      <c r="Q307" s="1">
        <v>27</v>
      </c>
      <c r="R307" t="s">
        <v>2576</v>
      </c>
      <c r="S307">
        <v>1056741041</v>
      </c>
    </row>
    <row r="308" spans="1:19" x14ac:dyDescent="0.2">
      <c r="A308" t="str">
        <f t="shared" si="58"/>
        <v>Adult Fiction</v>
      </c>
      <c r="B308" t="str">
        <f>"NEW F EVARI"</f>
        <v>NEW F EVARI</v>
      </c>
      <c r="C308" t="str">
        <f>"Girl, woman, other"</f>
        <v>Girl, woman, other</v>
      </c>
      <c r="D308">
        <v>359583</v>
      </c>
      <c r="E308" t="str">
        <f>"Evaristo, Bernardine"</f>
        <v>Evaristo, Bernardine</v>
      </c>
      <c r="G308" t="str">
        <f>"452 pages, 21 cm"</f>
        <v>452 pages, 21 cm</v>
      </c>
      <c r="H308" s="1">
        <v>19</v>
      </c>
      <c r="I308">
        <v>2019</v>
      </c>
      <c r="J308" t="str">
        <f t="shared" si="53"/>
        <v>2: Fiction</v>
      </c>
      <c r="L308" t="s">
        <v>2395</v>
      </c>
      <c r="M308" t="s">
        <v>28</v>
      </c>
      <c r="N308" t="s">
        <v>2404</v>
      </c>
      <c r="O308">
        <v>3</v>
      </c>
      <c r="P308" s="2">
        <v>43802</v>
      </c>
      <c r="Q308" s="1">
        <v>22</v>
      </c>
      <c r="R308" t="s">
        <v>2577</v>
      </c>
      <c r="S308">
        <v>1112888264</v>
      </c>
    </row>
    <row r="309" spans="1:19" x14ac:dyDescent="0.2">
      <c r="A309" t="str">
        <f t="shared" si="58"/>
        <v>Adult Fiction</v>
      </c>
      <c r="B309" t="str">
        <f>"NEW F EVARI"</f>
        <v>NEW F EVARI</v>
      </c>
      <c r="C309" t="str">
        <f>"Girl, woman, other"</f>
        <v>Girl, woman, other</v>
      </c>
      <c r="D309">
        <v>359584</v>
      </c>
      <c r="E309" t="str">
        <f>"Evaristo, Bernardine"</f>
        <v>Evaristo, Bernardine</v>
      </c>
      <c r="G309" t="str">
        <f>"452 pages, 21 cm"</f>
        <v>452 pages, 21 cm</v>
      </c>
      <c r="H309" s="1">
        <v>19</v>
      </c>
      <c r="I309">
        <v>2019</v>
      </c>
      <c r="J309" t="str">
        <f t="shared" si="53"/>
        <v>2: Fiction</v>
      </c>
      <c r="L309" t="s">
        <v>2395</v>
      </c>
      <c r="M309" t="s">
        <v>28</v>
      </c>
      <c r="N309" t="s">
        <v>2404</v>
      </c>
      <c r="O309">
        <v>3</v>
      </c>
      <c r="P309" s="2">
        <v>43802</v>
      </c>
      <c r="Q309" s="1">
        <v>22</v>
      </c>
      <c r="R309" t="s">
        <v>2577</v>
      </c>
      <c r="S309">
        <v>1112888264</v>
      </c>
    </row>
    <row r="310" spans="1:19" x14ac:dyDescent="0.2">
      <c r="A310" t="str">
        <f t="shared" si="58"/>
        <v>Adult Fiction</v>
      </c>
      <c r="B310" t="str">
        <f>"NEW F EVERH"</f>
        <v>NEW F EVERH</v>
      </c>
      <c r="C310" t="str">
        <f>"The moonshiner's daughter"</f>
        <v>The moonshiner's daughter</v>
      </c>
      <c r="D310">
        <v>360111</v>
      </c>
      <c r="E310" t="str">
        <f>"Everhart, Donna"</f>
        <v>Everhart, Donna</v>
      </c>
      <c r="G310" t="str">
        <f>"viii, 356 pages, 21 cm"</f>
        <v>viii, 356 pages, 21 cm</v>
      </c>
      <c r="H310" s="1">
        <v>19</v>
      </c>
      <c r="I310">
        <v>2020</v>
      </c>
      <c r="J310" t="str">
        <f t="shared" si="53"/>
        <v>2: Fiction</v>
      </c>
      <c r="L310" t="s">
        <v>2403</v>
      </c>
      <c r="M310" t="s">
        <v>28</v>
      </c>
      <c r="N310" t="s">
        <v>2404</v>
      </c>
      <c r="O310">
        <v>1</v>
      </c>
      <c r="P310" s="2">
        <v>43829</v>
      </c>
      <c r="Q310" s="1">
        <v>21</v>
      </c>
      <c r="R310" t="s">
        <v>2578</v>
      </c>
      <c r="S310">
        <v>1091844898</v>
      </c>
    </row>
    <row r="311" spans="1:19" x14ac:dyDescent="0.2">
      <c r="A311" t="str">
        <f t="shared" si="58"/>
        <v>Adult Fiction</v>
      </c>
      <c r="B311" t="str">
        <f>"NEW F FAJAR"</f>
        <v>NEW F FAJAR</v>
      </c>
      <c r="C311" t="str">
        <f>"Sabrina &amp; Corina: stories"</f>
        <v>Sabrina &amp; Corina: stories</v>
      </c>
      <c r="D311">
        <v>359339</v>
      </c>
      <c r="E311" t="str">
        <f>"Fajardo-Anstine, Kali"</f>
        <v>Fajardo-Anstine, Kali</v>
      </c>
      <c r="G311" t="str">
        <f>"212 pages, 22 cm"</f>
        <v>212 pages, 22 cm</v>
      </c>
      <c r="H311" s="1">
        <v>19</v>
      </c>
      <c r="I311">
        <v>2019</v>
      </c>
      <c r="J311" t="str">
        <f t="shared" si="53"/>
        <v>2: Fiction</v>
      </c>
      <c r="L311" t="s">
        <v>2403</v>
      </c>
      <c r="M311" t="s">
        <v>28</v>
      </c>
      <c r="N311" t="s">
        <v>2396</v>
      </c>
      <c r="O311">
        <v>3</v>
      </c>
      <c r="P311" s="2">
        <v>43788</v>
      </c>
      <c r="Q311" s="1">
        <v>31</v>
      </c>
      <c r="R311" t="s">
        <v>2579</v>
      </c>
      <c r="S311">
        <v>1037884995</v>
      </c>
    </row>
    <row r="312" spans="1:19" x14ac:dyDescent="0.2">
      <c r="A312" t="str">
        <f t="shared" si="58"/>
        <v>Adult Fiction</v>
      </c>
      <c r="B312" t="str">
        <f>"NEW F FEEHA"</f>
        <v>NEW F FEEHA</v>
      </c>
      <c r="C312" t="str">
        <f>"Dark illusion"</f>
        <v>Dark illusion</v>
      </c>
      <c r="D312">
        <v>357887</v>
      </c>
      <c r="E312" t="str">
        <f>"Feehan, Christine"</f>
        <v>Feehan, Christine</v>
      </c>
      <c r="F312" t="str">
        <f>"Dark series (33)"</f>
        <v>Dark series (33)</v>
      </c>
      <c r="G312" t="str">
        <f>"416 pages, 24 cm, genealogical tables, map"</f>
        <v>416 pages, 24 cm, genealogical tables, map</v>
      </c>
      <c r="H312" s="1">
        <v>19</v>
      </c>
      <c r="I312">
        <v>2019</v>
      </c>
      <c r="J312" t="str">
        <f t="shared" si="53"/>
        <v>2: Fiction</v>
      </c>
      <c r="L312" t="s">
        <v>2395</v>
      </c>
      <c r="M312" t="s">
        <v>28</v>
      </c>
      <c r="N312" t="s">
        <v>2404</v>
      </c>
      <c r="O312">
        <v>4</v>
      </c>
      <c r="P312" s="2">
        <v>43732</v>
      </c>
      <c r="Q312" s="1">
        <v>32</v>
      </c>
      <c r="R312" t="s">
        <v>2580</v>
      </c>
      <c r="S312">
        <v>1078894239</v>
      </c>
    </row>
    <row r="313" spans="1:19" x14ac:dyDescent="0.2">
      <c r="A313" t="str">
        <f t="shared" si="58"/>
        <v>Adult Fiction</v>
      </c>
      <c r="B313" t="str">
        <f>"NEW F FELLO"</f>
        <v>NEW F FELLO</v>
      </c>
      <c r="C313" t="str">
        <f>"The Mitford scandal"</f>
        <v>The Mitford scandal</v>
      </c>
      <c r="D313">
        <v>360443</v>
      </c>
      <c r="E313" t="str">
        <f>"Fellowes, Jessica."</f>
        <v>Fellowes, Jessica.</v>
      </c>
      <c r="F313" t="str">
        <f>"Mitford Murders series (3)"</f>
        <v>Mitford Murders series (3)</v>
      </c>
      <c r="G313" t="str">
        <f>"369 p."</f>
        <v>369 p.</v>
      </c>
      <c r="H313" s="1">
        <v>20</v>
      </c>
      <c r="I313">
        <v>2020</v>
      </c>
      <c r="J313" t="str">
        <f t="shared" si="53"/>
        <v>2: Fiction</v>
      </c>
      <c r="L313" t="s">
        <v>2395</v>
      </c>
      <c r="M313" t="s">
        <v>28</v>
      </c>
      <c r="N313" t="s">
        <v>2415</v>
      </c>
      <c r="O313">
        <v>0</v>
      </c>
      <c r="P313" s="2">
        <v>43851</v>
      </c>
      <c r="Q313" s="1">
        <v>32</v>
      </c>
      <c r="R313" t="s">
        <v>2581</v>
      </c>
      <c r="S313">
        <v>1122721189</v>
      </c>
    </row>
    <row r="314" spans="1:19" x14ac:dyDescent="0.2">
      <c r="A314" t="str">
        <f t="shared" si="58"/>
        <v>Adult Fiction</v>
      </c>
      <c r="B314" t="str">
        <f>"NEW F FELLO"</f>
        <v>NEW F FELLO</v>
      </c>
      <c r="C314" t="str">
        <f>"The Mitford scandal"</f>
        <v>The Mitford scandal</v>
      </c>
      <c r="D314">
        <v>360444</v>
      </c>
      <c r="E314" t="str">
        <f>"Fellowes, Jessica."</f>
        <v>Fellowes, Jessica.</v>
      </c>
      <c r="F314" t="str">
        <f>"Mitford Murders series (3)"</f>
        <v>Mitford Murders series (3)</v>
      </c>
      <c r="G314" t="str">
        <f>"369 p."</f>
        <v>369 p.</v>
      </c>
      <c r="H314" s="1">
        <v>20</v>
      </c>
      <c r="I314">
        <v>2020</v>
      </c>
      <c r="J314" t="str">
        <f t="shared" si="53"/>
        <v>2: Fiction</v>
      </c>
      <c r="L314" t="s">
        <v>2403</v>
      </c>
      <c r="M314" t="s">
        <v>28</v>
      </c>
      <c r="N314" t="s">
        <v>2415</v>
      </c>
      <c r="O314">
        <v>0</v>
      </c>
      <c r="P314" s="2">
        <v>43851</v>
      </c>
      <c r="Q314" s="1">
        <v>32</v>
      </c>
      <c r="R314" t="s">
        <v>2581</v>
      </c>
      <c r="S314">
        <v>1122721189</v>
      </c>
    </row>
    <row r="315" spans="1:19" x14ac:dyDescent="0.2">
      <c r="A315" t="str">
        <f t="shared" si="58"/>
        <v>Adult Fiction</v>
      </c>
      <c r="B315" t="str">
        <f>"NEW F FERET"</f>
        <v>NEW F FERET</v>
      </c>
      <c r="C315" t="str">
        <f>"The girl who reads on the m�tro"</f>
        <v>The girl who reads on the m�tro</v>
      </c>
      <c r="D315">
        <v>359022</v>
      </c>
      <c r="E315" t="str">
        <f>"F�ret-Fleury, Christine"</f>
        <v>F�ret-Fleury, Christine</v>
      </c>
      <c r="G315" t="str">
        <f>"175 pages, 19 cm"</f>
        <v>175 pages, 19 cm</v>
      </c>
      <c r="H315" s="1">
        <v>19</v>
      </c>
      <c r="I315">
        <v>2019</v>
      </c>
      <c r="J315" t="str">
        <f t="shared" si="53"/>
        <v>2: Fiction</v>
      </c>
      <c r="L315" t="s">
        <v>2403</v>
      </c>
      <c r="M315" t="s">
        <v>28</v>
      </c>
      <c r="N315" t="s">
        <v>2404</v>
      </c>
      <c r="O315">
        <v>5</v>
      </c>
      <c r="P315" s="2">
        <v>43776</v>
      </c>
      <c r="Q315" s="1">
        <v>28</v>
      </c>
      <c r="R315" t="s">
        <v>2582</v>
      </c>
      <c r="S315">
        <v>1110656567</v>
      </c>
    </row>
    <row r="316" spans="1:19" x14ac:dyDescent="0.2">
      <c r="A316" t="str">
        <f t="shared" si="58"/>
        <v>Adult Fiction</v>
      </c>
      <c r="B316" t="str">
        <f>"NEW F FERNS"</f>
        <v>NEW F FERNS</v>
      </c>
      <c r="C316" t="str">
        <f>"Ripple effect: because of the war"</f>
        <v>Ripple effect: because of the war</v>
      </c>
      <c r="D316">
        <v>357004</v>
      </c>
      <c r="E316" t="str">
        <f>"Ferns, Jenny."</f>
        <v>Ferns, Jenny.</v>
      </c>
      <c r="G316" t="str">
        <f>"325 p."</f>
        <v>325 p.</v>
      </c>
      <c r="H316" s="1">
        <v>19</v>
      </c>
      <c r="I316">
        <v>2019</v>
      </c>
      <c r="J316" t="str">
        <f t="shared" si="53"/>
        <v>2: Fiction</v>
      </c>
      <c r="L316" t="s">
        <v>2403</v>
      </c>
      <c r="M316" t="s">
        <v>28</v>
      </c>
      <c r="N316" t="s">
        <v>2396</v>
      </c>
      <c r="O316">
        <v>1</v>
      </c>
      <c r="P316" s="2">
        <v>43696</v>
      </c>
      <c r="Q316" s="1">
        <v>33</v>
      </c>
      <c r="R316" t="s">
        <v>2583</v>
      </c>
    </row>
    <row r="317" spans="1:19" x14ac:dyDescent="0.2">
      <c r="A317" t="str">
        <f t="shared" si="58"/>
        <v>Adult Fiction</v>
      </c>
      <c r="B317" t="str">
        <f>"NEW F FINDE"</f>
        <v>NEW F FINDE</v>
      </c>
      <c r="C317" t="str">
        <f>"House on fire: a novel"</f>
        <v>House on fire: a novel</v>
      </c>
      <c r="D317">
        <v>360478</v>
      </c>
      <c r="E317" t="str">
        <f>"Finder, Joseph"</f>
        <v>Finder, Joseph</v>
      </c>
      <c r="F317" t="str">
        <f>"Nick Heller series (4)"</f>
        <v>Nick Heller series (4)</v>
      </c>
      <c r="G317" t="str">
        <f>"368 p."</f>
        <v>368 p.</v>
      </c>
      <c r="H317" s="1">
        <v>20</v>
      </c>
      <c r="I317">
        <v>2020</v>
      </c>
      <c r="J317" t="str">
        <f t="shared" si="53"/>
        <v>2: Fiction</v>
      </c>
      <c r="L317" t="s">
        <v>2395</v>
      </c>
      <c r="M317" t="s">
        <v>28</v>
      </c>
      <c r="N317" t="str">
        <f>"Reserve Cart"</f>
        <v>Reserve Cart</v>
      </c>
      <c r="O317">
        <v>0</v>
      </c>
      <c r="P317" s="2">
        <v>43851</v>
      </c>
      <c r="Q317" s="1">
        <v>33</v>
      </c>
      <c r="R317" t="s">
        <v>2584</v>
      </c>
      <c r="S317">
        <v>1099566871</v>
      </c>
    </row>
    <row r="318" spans="1:19" x14ac:dyDescent="0.2">
      <c r="A318" t="str">
        <f t="shared" si="58"/>
        <v>Adult Fiction</v>
      </c>
      <c r="B318" t="str">
        <f>"NEW F FINDE"</f>
        <v>NEW F FINDE</v>
      </c>
      <c r="C318" t="str">
        <f>"House on fire: a novel"</f>
        <v>House on fire: a novel</v>
      </c>
      <c r="D318">
        <v>360479</v>
      </c>
      <c r="E318" t="str">
        <f>"Finder, Joseph"</f>
        <v>Finder, Joseph</v>
      </c>
      <c r="F318" t="str">
        <f>"Nick Heller series (4)"</f>
        <v>Nick Heller series (4)</v>
      </c>
      <c r="G318" t="str">
        <f>"368 p."</f>
        <v>368 p.</v>
      </c>
      <c r="H318" s="1">
        <v>20</v>
      </c>
      <c r="I318">
        <v>2020</v>
      </c>
      <c r="J318" t="str">
        <f t="shared" si="53"/>
        <v>2: Fiction</v>
      </c>
      <c r="L318" t="s">
        <v>2395</v>
      </c>
      <c r="M318" t="s">
        <v>28</v>
      </c>
      <c r="N318" t="str">
        <f>"Reserve Cart"</f>
        <v>Reserve Cart</v>
      </c>
      <c r="O318">
        <v>0</v>
      </c>
      <c r="P318" s="2">
        <v>43851</v>
      </c>
      <c r="Q318" s="1">
        <v>33</v>
      </c>
      <c r="R318" t="s">
        <v>2584</v>
      </c>
      <c r="S318">
        <v>1099566871</v>
      </c>
    </row>
    <row r="319" spans="1:19" x14ac:dyDescent="0.2">
      <c r="A319" t="str">
        <f t="shared" si="58"/>
        <v>Adult Fiction</v>
      </c>
      <c r="B319" t="str">
        <f>"NEW F FISHE"</f>
        <v>NEW F FISHE</v>
      </c>
      <c r="C319" t="str">
        <f>"Stitches in time"</f>
        <v>Stitches in time</v>
      </c>
      <c r="D319">
        <v>359881</v>
      </c>
      <c r="E319" t="str">
        <f>"Fisher, Suzanne Woods."</f>
        <v>Fisher, Suzanne Woods.</v>
      </c>
      <c r="G319" t="str">
        <f>"329 pages, 23 cm"</f>
        <v>329 pages, 23 cm</v>
      </c>
      <c r="H319" s="1">
        <v>19</v>
      </c>
      <c r="I319">
        <v>2019</v>
      </c>
      <c r="J319" t="str">
        <f t="shared" ref="J319:J382" si="64">"2: Fiction"</f>
        <v>2: Fiction</v>
      </c>
      <c r="L319" t="s">
        <v>2395</v>
      </c>
      <c r="M319" t="s">
        <v>28</v>
      </c>
      <c r="N319" t="s">
        <v>2396</v>
      </c>
      <c r="O319">
        <v>1</v>
      </c>
      <c r="P319" s="2">
        <v>43815</v>
      </c>
      <c r="Q319" s="1">
        <v>21</v>
      </c>
      <c r="R319" t="s">
        <v>2585</v>
      </c>
      <c r="S319">
        <v>1088527544</v>
      </c>
    </row>
    <row r="320" spans="1:19" x14ac:dyDescent="0.2">
      <c r="A320" t="str">
        <f t="shared" si="58"/>
        <v>Adult Fiction</v>
      </c>
      <c r="B320" t="str">
        <f>"NEW F FISHE"</f>
        <v>NEW F FISHE</v>
      </c>
      <c r="C320" t="str">
        <f>"The wives"</f>
        <v>The wives</v>
      </c>
      <c r="D320">
        <v>360112</v>
      </c>
      <c r="E320" t="str">
        <f>"Fisher, Tarryn"</f>
        <v>Fisher, Tarryn</v>
      </c>
      <c r="G320" t="str">
        <f>"320 pages, 24 cm"</f>
        <v>320 pages, 24 cm</v>
      </c>
      <c r="H320" s="1">
        <v>19</v>
      </c>
      <c r="I320">
        <v>2019</v>
      </c>
      <c r="J320" t="str">
        <f t="shared" si="64"/>
        <v>2: Fiction</v>
      </c>
      <c r="L320" t="s">
        <v>2395</v>
      </c>
      <c r="M320" t="s">
        <v>28</v>
      </c>
      <c r="N320" t="s">
        <v>2404</v>
      </c>
      <c r="O320">
        <v>2</v>
      </c>
      <c r="P320" s="2">
        <v>43829</v>
      </c>
      <c r="Q320" s="1">
        <v>33</v>
      </c>
      <c r="R320" t="s">
        <v>2586</v>
      </c>
      <c r="S320">
        <v>1111205169</v>
      </c>
    </row>
    <row r="321" spans="1:19" x14ac:dyDescent="0.2">
      <c r="A321" t="str">
        <f t="shared" si="58"/>
        <v>Adult Fiction</v>
      </c>
      <c r="B321" t="str">
        <f>"NEW F FISHE"</f>
        <v>NEW F FISHE</v>
      </c>
      <c r="C321" t="str">
        <f>"The wives"</f>
        <v>The wives</v>
      </c>
      <c r="D321">
        <v>360643</v>
      </c>
      <c r="E321" t="str">
        <f>"Fisher, Tarryn"</f>
        <v>Fisher, Tarryn</v>
      </c>
      <c r="G321" t="str">
        <f>"320 pages, 24 cm"</f>
        <v>320 pages, 24 cm</v>
      </c>
      <c r="H321" s="1">
        <v>20</v>
      </c>
      <c r="I321">
        <v>2019</v>
      </c>
      <c r="J321" t="str">
        <f t="shared" si="64"/>
        <v>2: Fiction</v>
      </c>
      <c r="L321" t="s">
        <v>2395</v>
      </c>
      <c r="M321" t="s">
        <v>28</v>
      </c>
      <c r="N321" t="str">
        <f>"Reserve Cart"</f>
        <v>Reserve Cart</v>
      </c>
      <c r="O321">
        <v>0</v>
      </c>
      <c r="P321" s="2">
        <v>43859</v>
      </c>
      <c r="Q321" s="1">
        <v>22</v>
      </c>
      <c r="R321" t="s">
        <v>2586</v>
      </c>
      <c r="S321">
        <v>1111205169</v>
      </c>
    </row>
    <row r="322" spans="1:19" x14ac:dyDescent="0.2">
      <c r="A322" t="str">
        <f t="shared" si="58"/>
        <v>Adult Fiction</v>
      </c>
      <c r="B322" t="str">
        <f>"NEW F FLEIS"</f>
        <v>NEW F FLEIS</v>
      </c>
      <c r="C322" t="str">
        <f>"How quickly she disappears"</f>
        <v>How quickly she disappears</v>
      </c>
      <c r="D322">
        <v>360609</v>
      </c>
      <c r="E322" t="str">
        <f>"Fleischmann, Raymond"</f>
        <v>Fleischmann, Raymond</v>
      </c>
      <c r="G322" t="str">
        <f>"309 pages, 24 cm"</f>
        <v>309 pages, 24 cm</v>
      </c>
      <c r="H322" s="1">
        <v>20</v>
      </c>
      <c r="I322">
        <v>2020</v>
      </c>
      <c r="J322" t="str">
        <f t="shared" si="64"/>
        <v>2: Fiction</v>
      </c>
      <c r="L322" t="s">
        <v>2395</v>
      </c>
      <c r="M322" t="s">
        <v>28</v>
      </c>
      <c r="N322" t="s">
        <v>2495</v>
      </c>
      <c r="O322">
        <v>0</v>
      </c>
      <c r="P322" s="2">
        <v>43859</v>
      </c>
      <c r="Q322" s="1">
        <v>31</v>
      </c>
      <c r="R322" t="s">
        <v>2587</v>
      </c>
      <c r="S322">
        <v>1098336185</v>
      </c>
    </row>
    <row r="323" spans="1:19" x14ac:dyDescent="0.2">
      <c r="A323" t="str">
        <f t="shared" si="58"/>
        <v>Adult Fiction</v>
      </c>
      <c r="B323" t="str">
        <f t="shared" ref="B323:B328" si="65">"NEW F FLYNN"</f>
        <v>NEW F FLYNN</v>
      </c>
      <c r="C323" t="str">
        <f t="shared" ref="C323:C328" si="66">"Lethal agent"</f>
        <v>Lethal agent</v>
      </c>
      <c r="D323">
        <v>357846</v>
      </c>
      <c r="E323" t="str">
        <f t="shared" ref="E323:E328" si="67">"Mills, Kyle"</f>
        <v>Mills, Kyle</v>
      </c>
      <c r="F323" t="str">
        <f t="shared" ref="F323:F328" si="68">"Mitch Rapp series (19)"</f>
        <v>Mitch Rapp series (19)</v>
      </c>
      <c r="G323" t="str">
        <f t="shared" ref="G323:G328" si="69">"370 p., 24 cm"</f>
        <v>370 p., 24 cm</v>
      </c>
      <c r="H323" s="1">
        <v>19</v>
      </c>
      <c r="I323">
        <v>2019</v>
      </c>
      <c r="J323" t="str">
        <f t="shared" si="64"/>
        <v>2: Fiction</v>
      </c>
      <c r="L323" t="s">
        <v>2395</v>
      </c>
      <c r="M323" t="s">
        <v>28</v>
      </c>
      <c r="N323" t="s">
        <v>2396</v>
      </c>
      <c r="O323">
        <v>6</v>
      </c>
      <c r="P323" s="2">
        <v>43731</v>
      </c>
      <c r="Q323" s="1">
        <v>34</v>
      </c>
      <c r="R323" t="s">
        <v>2588</v>
      </c>
      <c r="S323">
        <v>1084677580</v>
      </c>
    </row>
    <row r="324" spans="1:19" x14ac:dyDescent="0.2">
      <c r="A324" t="str">
        <f t="shared" si="58"/>
        <v>Adult Fiction</v>
      </c>
      <c r="B324" t="str">
        <f t="shared" si="65"/>
        <v>NEW F FLYNN</v>
      </c>
      <c r="C324" t="str">
        <f t="shared" si="66"/>
        <v>Lethal agent</v>
      </c>
      <c r="D324">
        <v>357847</v>
      </c>
      <c r="E324" t="str">
        <f t="shared" si="67"/>
        <v>Mills, Kyle</v>
      </c>
      <c r="F324" t="str">
        <f t="shared" si="68"/>
        <v>Mitch Rapp series (19)</v>
      </c>
      <c r="G324" t="str">
        <f t="shared" si="69"/>
        <v>370 p., 24 cm</v>
      </c>
      <c r="H324" s="1">
        <v>19</v>
      </c>
      <c r="I324">
        <v>2019</v>
      </c>
      <c r="J324" t="str">
        <f t="shared" si="64"/>
        <v>2: Fiction</v>
      </c>
      <c r="L324" t="s">
        <v>2395</v>
      </c>
      <c r="M324" t="s">
        <v>28</v>
      </c>
      <c r="N324" t="s">
        <v>2404</v>
      </c>
      <c r="O324">
        <v>10</v>
      </c>
      <c r="P324" s="2">
        <v>43731</v>
      </c>
      <c r="Q324" s="1">
        <v>34</v>
      </c>
      <c r="R324" t="s">
        <v>2588</v>
      </c>
      <c r="S324">
        <v>1084677580</v>
      </c>
    </row>
    <row r="325" spans="1:19" x14ac:dyDescent="0.2">
      <c r="A325" t="str">
        <f t="shared" si="58"/>
        <v>Adult Fiction</v>
      </c>
      <c r="B325" t="str">
        <f t="shared" si="65"/>
        <v>NEW F FLYNN</v>
      </c>
      <c r="C325" t="str">
        <f t="shared" si="66"/>
        <v>Lethal agent</v>
      </c>
      <c r="D325">
        <v>357848</v>
      </c>
      <c r="E325" t="str">
        <f t="shared" si="67"/>
        <v>Mills, Kyle</v>
      </c>
      <c r="F325" t="str">
        <f t="shared" si="68"/>
        <v>Mitch Rapp series (19)</v>
      </c>
      <c r="G325" t="str">
        <f t="shared" si="69"/>
        <v>370 p., 24 cm</v>
      </c>
      <c r="H325" s="1">
        <v>19</v>
      </c>
      <c r="I325">
        <v>2019</v>
      </c>
      <c r="J325" t="str">
        <f t="shared" si="64"/>
        <v>2: Fiction</v>
      </c>
      <c r="L325" t="s">
        <v>2403</v>
      </c>
      <c r="M325" t="s">
        <v>28</v>
      </c>
      <c r="N325" t="s">
        <v>2404</v>
      </c>
      <c r="O325">
        <v>7</v>
      </c>
      <c r="P325" s="2">
        <v>43731</v>
      </c>
      <c r="Q325" s="1">
        <v>34</v>
      </c>
      <c r="R325" t="s">
        <v>2588</v>
      </c>
      <c r="S325">
        <v>1084677580</v>
      </c>
    </row>
    <row r="326" spans="1:19" x14ac:dyDescent="0.2">
      <c r="A326" t="str">
        <f t="shared" si="58"/>
        <v>Adult Fiction</v>
      </c>
      <c r="B326" t="str">
        <f t="shared" si="65"/>
        <v>NEW F FLYNN</v>
      </c>
      <c r="C326" t="str">
        <f t="shared" si="66"/>
        <v>Lethal agent</v>
      </c>
      <c r="D326">
        <v>357849</v>
      </c>
      <c r="E326" t="str">
        <f t="shared" si="67"/>
        <v>Mills, Kyle</v>
      </c>
      <c r="F326" t="str">
        <f t="shared" si="68"/>
        <v>Mitch Rapp series (19)</v>
      </c>
      <c r="G326" t="str">
        <f t="shared" si="69"/>
        <v>370 p., 24 cm</v>
      </c>
      <c r="H326" s="1">
        <v>19</v>
      </c>
      <c r="I326">
        <v>2019</v>
      </c>
      <c r="J326" t="str">
        <f t="shared" si="64"/>
        <v>2: Fiction</v>
      </c>
      <c r="L326" t="s">
        <v>2395</v>
      </c>
      <c r="M326" t="s">
        <v>28</v>
      </c>
      <c r="N326" t="s">
        <v>2404</v>
      </c>
      <c r="O326">
        <v>6</v>
      </c>
      <c r="P326" s="2">
        <v>43731</v>
      </c>
      <c r="Q326" s="1">
        <v>34</v>
      </c>
      <c r="R326" t="s">
        <v>2588</v>
      </c>
      <c r="S326">
        <v>1084677580</v>
      </c>
    </row>
    <row r="327" spans="1:19" x14ac:dyDescent="0.2">
      <c r="A327" t="str">
        <f t="shared" ref="A327:A390" si="70">"Adult Fiction"</f>
        <v>Adult Fiction</v>
      </c>
      <c r="B327" t="str">
        <f t="shared" si="65"/>
        <v>NEW F FLYNN</v>
      </c>
      <c r="C327" t="str">
        <f t="shared" si="66"/>
        <v>Lethal agent</v>
      </c>
      <c r="D327">
        <v>357850</v>
      </c>
      <c r="E327" t="str">
        <f t="shared" si="67"/>
        <v>Mills, Kyle</v>
      </c>
      <c r="F327" t="str">
        <f t="shared" si="68"/>
        <v>Mitch Rapp series (19)</v>
      </c>
      <c r="G327" t="str">
        <f t="shared" si="69"/>
        <v>370 p., 24 cm</v>
      </c>
      <c r="H327" s="1">
        <v>19</v>
      </c>
      <c r="I327">
        <v>2019</v>
      </c>
      <c r="J327" t="str">
        <f t="shared" si="64"/>
        <v>2: Fiction</v>
      </c>
      <c r="L327" t="s">
        <v>2403</v>
      </c>
      <c r="M327" t="s">
        <v>28</v>
      </c>
      <c r="N327" t="s">
        <v>2404</v>
      </c>
      <c r="O327">
        <v>9</v>
      </c>
      <c r="P327" s="2">
        <v>43731</v>
      </c>
      <c r="Q327" s="1">
        <v>34</v>
      </c>
      <c r="R327" t="s">
        <v>2588</v>
      </c>
      <c r="S327">
        <v>1084677580</v>
      </c>
    </row>
    <row r="328" spans="1:19" x14ac:dyDescent="0.2">
      <c r="A328" t="str">
        <f t="shared" si="70"/>
        <v>Adult Fiction</v>
      </c>
      <c r="B328" t="str">
        <f t="shared" si="65"/>
        <v>NEW F FLYNN</v>
      </c>
      <c r="C328" t="str">
        <f t="shared" si="66"/>
        <v>Lethal agent</v>
      </c>
      <c r="D328">
        <v>357851</v>
      </c>
      <c r="E328" t="str">
        <f t="shared" si="67"/>
        <v>Mills, Kyle</v>
      </c>
      <c r="F328" t="str">
        <f t="shared" si="68"/>
        <v>Mitch Rapp series (19)</v>
      </c>
      <c r="G328" t="str">
        <f t="shared" si="69"/>
        <v>370 p., 24 cm</v>
      </c>
      <c r="H328" s="1">
        <v>19</v>
      </c>
      <c r="I328">
        <v>2019</v>
      </c>
      <c r="J328" t="str">
        <f t="shared" si="64"/>
        <v>2: Fiction</v>
      </c>
      <c r="L328" t="s">
        <v>2395</v>
      </c>
      <c r="M328" t="s">
        <v>28</v>
      </c>
      <c r="N328" t="s">
        <v>2404</v>
      </c>
      <c r="O328">
        <v>7</v>
      </c>
      <c r="P328" s="2">
        <v>43731</v>
      </c>
      <c r="Q328" s="1">
        <v>34</v>
      </c>
      <c r="R328" t="s">
        <v>2588</v>
      </c>
      <c r="S328">
        <v>1084677580</v>
      </c>
    </row>
    <row r="329" spans="1:19" x14ac:dyDescent="0.2">
      <c r="A329" t="str">
        <f t="shared" si="70"/>
        <v>Adult Fiction</v>
      </c>
      <c r="B329" t="str">
        <f>"NEW F FOLAR"</f>
        <v>NEW F FOLAR</v>
      </c>
      <c r="C329" t="str">
        <f>"A particular kind of black man"</f>
        <v>A particular kind of black man</v>
      </c>
      <c r="D329">
        <v>357113</v>
      </c>
      <c r="E329" t="str">
        <f>"Folarin, Tope,"</f>
        <v>Folarin, Tope,</v>
      </c>
      <c r="G329" t="str">
        <f>"261 pages, 22 cm"</f>
        <v>261 pages, 22 cm</v>
      </c>
      <c r="H329" s="1">
        <v>19</v>
      </c>
      <c r="I329">
        <v>2019</v>
      </c>
      <c r="J329" t="str">
        <f t="shared" si="64"/>
        <v>2: Fiction</v>
      </c>
      <c r="L329" t="s">
        <v>2395</v>
      </c>
      <c r="M329" t="s">
        <v>28</v>
      </c>
      <c r="N329" t="s">
        <v>2396</v>
      </c>
      <c r="O329">
        <v>4</v>
      </c>
      <c r="P329" s="2">
        <v>43704</v>
      </c>
      <c r="Q329" s="1">
        <v>31</v>
      </c>
      <c r="R329" t="s">
        <v>2589</v>
      </c>
      <c r="S329">
        <v>1056731361</v>
      </c>
    </row>
    <row r="330" spans="1:19" x14ac:dyDescent="0.2">
      <c r="A330" t="str">
        <f t="shared" si="70"/>
        <v>Adult Fiction</v>
      </c>
      <c r="B330" t="str">
        <f>"NEW F FORBE"</f>
        <v>NEW F FORBE</v>
      </c>
      <c r="C330" t="str">
        <f>"A tall history of sugar"</f>
        <v>A tall history of sugar</v>
      </c>
      <c r="D330">
        <v>357862</v>
      </c>
      <c r="E330" t="str">
        <f>"Forbes, Curdella"</f>
        <v>Forbes, Curdella</v>
      </c>
      <c r="G330" t="str">
        <f>"366 p., 24 cm"</f>
        <v>366 p., 24 cm</v>
      </c>
      <c r="H330" s="1">
        <v>19</v>
      </c>
      <c r="I330">
        <v>2019</v>
      </c>
      <c r="J330" t="str">
        <f t="shared" si="64"/>
        <v>2: Fiction</v>
      </c>
      <c r="L330" t="s">
        <v>2395</v>
      </c>
      <c r="M330" t="s">
        <v>28</v>
      </c>
      <c r="N330" t="s">
        <v>2396</v>
      </c>
      <c r="O330">
        <v>4</v>
      </c>
      <c r="P330" s="2">
        <v>43731</v>
      </c>
      <c r="Q330" s="1">
        <v>34</v>
      </c>
      <c r="R330" t="s">
        <v>2590</v>
      </c>
      <c r="S330">
        <v>1109826219</v>
      </c>
    </row>
    <row r="331" spans="1:19" x14ac:dyDescent="0.2">
      <c r="A331" t="str">
        <f t="shared" si="70"/>
        <v>Adult Fiction</v>
      </c>
      <c r="B331" t="str">
        <f>"NEW F FOSSU"</f>
        <v>NEW F FOSSU</v>
      </c>
      <c r="C331" t="str">
        <f>"The whisperer"</f>
        <v>The whisperer</v>
      </c>
      <c r="D331">
        <v>356843</v>
      </c>
      <c r="E331" t="str">
        <f>"Fossum, Karin"</f>
        <v>Fossum, Karin</v>
      </c>
      <c r="F331" t="str">
        <f>"Inspector Sejer Mystery series (13)"</f>
        <v>Inspector Sejer Mystery series (13)</v>
      </c>
      <c r="G331" t="str">
        <f>"324 pages, 24 cm"</f>
        <v>324 pages, 24 cm</v>
      </c>
      <c r="H331" s="1">
        <v>19</v>
      </c>
      <c r="I331">
        <v>2019</v>
      </c>
      <c r="J331" t="str">
        <f t="shared" si="64"/>
        <v>2: Fiction</v>
      </c>
      <c r="L331" t="s">
        <v>2403</v>
      </c>
      <c r="M331" t="s">
        <v>28</v>
      </c>
      <c r="N331" t="s">
        <v>2396</v>
      </c>
      <c r="O331">
        <v>12</v>
      </c>
      <c r="P331" s="2">
        <v>43691</v>
      </c>
      <c r="Q331" s="1">
        <v>29</v>
      </c>
      <c r="R331" t="s">
        <v>2591</v>
      </c>
      <c r="S331">
        <v>1080553765</v>
      </c>
    </row>
    <row r="332" spans="1:19" x14ac:dyDescent="0.2">
      <c r="A332" t="str">
        <f t="shared" si="70"/>
        <v>Adult Fiction</v>
      </c>
      <c r="B332" t="str">
        <f>"NEW F FRANC"</f>
        <v>NEW F FRANC</v>
      </c>
      <c r="C332" t="str">
        <f>"Guilty not guilty"</f>
        <v>Guilty not guilty</v>
      </c>
      <c r="D332">
        <v>359505</v>
      </c>
      <c r="E332" t="str">
        <f>"Francis, Dick"</f>
        <v>Francis, Dick</v>
      </c>
      <c r="G332" t="str">
        <f>"x, 374 pages, 24 cm"</f>
        <v>x, 374 pages, 24 cm</v>
      </c>
      <c r="H332" s="1">
        <v>19</v>
      </c>
      <c r="I332">
        <v>2019</v>
      </c>
      <c r="J332" t="str">
        <f t="shared" si="64"/>
        <v>2: Fiction</v>
      </c>
      <c r="L332" t="s">
        <v>2395</v>
      </c>
      <c r="M332" t="s">
        <v>28</v>
      </c>
      <c r="N332" t="s">
        <v>2404</v>
      </c>
      <c r="O332">
        <v>2</v>
      </c>
      <c r="P332" s="2">
        <v>43802</v>
      </c>
      <c r="Q332" s="1">
        <v>32</v>
      </c>
      <c r="R332" t="s">
        <v>2592</v>
      </c>
      <c r="S332">
        <v>1126650783</v>
      </c>
    </row>
    <row r="333" spans="1:19" x14ac:dyDescent="0.2">
      <c r="A333" t="str">
        <f t="shared" si="70"/>
        <v>Adult Fiction</v>
      </c>
      <c r="B333" t="str">
        <f>"NEW F FRANC"</f>
        <v>NEW F FRANC</v>
      </c>
      <c r="C333" t="str">
        <f>"Guilty not guilty"</f>
        <v>Guilty not guilty</v>
      </c>
      <c r="D333">
        <v>359506</v>
      </c>
      <c r="E333" t="str">
        <f>"Francis, Dick"</f>
        <v>Francis, Dick</v>
      </c>
      <c r="G333" t="str">
        <f>"x, 374 pages, 24 cm"</f>
        <v>x, 374 pages, 24 cm</v>
      </c>
      <c r="H333" s="1">
        <v>19</v>
      </c>
      <c r="I333">
        <v>2019</v>
      </c>
      <c r="J333" t="str">
        <f t="shared" si="64"/>
        <v>2: Fiction</v>
      </c>
      <c r="L333" t="s">
        <v>2395</v>
      </c>
      <c r="M333" t="s">
        <v>28</v>
      </c>
      <c r="N333" t="s">
        <v>2404</v>
      </c>
      <c r="O333">
        <v>4</v>
      </c>
      <c r="P333" s="2">
        <v>43802</v>
      </c>
      <c r="Q333" s="1">
        <v>32</v>
      </c>
      <c r="R333" t="s">
        <v>2592</v>
      </c>
      <c r="S333">
        <v>1126650783</v>
      </c>
    </row>
    <row r="334" spans="1:19" x14ac:dyDescent="0.2">
      <c r="A334" t="str">
        <f t="shared" si="70"/>
        <v>Adult Fiction</v>
      </c>
      <c r="B334" t="str">
        <f>"NEW F FRANC"</f>
        <v>NEW F FRANC</v>
      </c>
      <c r="C334" t="str">
        <f>"Guilty not guilty"</f>
        <v>Guilty not guilty</v>
      </c>
      <c r="D334">
        <v>359507</v>
      </c>
      <c r="E334" t="str">
        <f>"Francis, Dick"</f>
        <v>Francis, Dick</v>
      </c>
      <c r="G334" t="str">
        <f>"x, 374 pages, 24 cm"</f>
        <v>x, 374 pages, 24 cm</v>
      </c>
      <c r="H334" s="1">
        <v>19</v>
      </c>
      <c r="I334">
        <v>2019</v>
      </c>
      <c r="J334" t="str">
        <f t="shared" si="64"/>
        <v>2: Fiction</v>
      </c>
      <c r="L334" t="s">
        <v>2395</v>
      </c>
      <c r="M334" t="s">
        <v>28</v>
      </c>
      <c r="N334" t="s">
        <v>2404</v>
      </c>
      <c r="O334">
        <v>5</v>
      </c>
      <c r="P334" s="2">
        <v>43802</v>
      </c>
      <c r="Q334" s="1">
        <v>32</v>
      </c>
      <c r="R334" t="s">
        <v>2592</v>
      </c>
      <c r="S334">
        <v>1126650783</v>
      </c>
    </row>
    <row r="335" spans="1:19" x14ac:dyDescent="0.2">
      <c r="A335" t="str">
        <f t="shared" si="70"/>
        <v>Adult Fiction</v>
      </c>
      <c r="B335" t="str">
        <f>"NEW F FREEM"</f>
        <v>NEW F FREEM</v>
      </c>
      <c r="C335" t="str">
        <f>"Alter ego"</f>
        <v>Alter ego</v>
      </c>
      <c r="D335">
        <v>357686</v>
      </c>
      <c r="E335" t="str">
        <f>"Freeman, Brian"</f>
        <v>Freeman, Brian</v>
      </c>
      <c r="F335" t="str">
        <f>"Jonathan Stride series (9)"</f>
        <v>Jonathan Stride series (9)</v>
      </c>
      <c r="G335" t="str">
        <f>"369 pages, 24 cm"</f>
        <v>369 pages, 24 cm</v>
      </c>
      <c r="H335" s="1">
        <v>19</v>
      </c>
      <c r="I335">
        <v>2018</v>
      </c>
      <c r="J335" t="str">
        <f t="shared" si="64"/>
        <v>2: Fiction</v>
      </c>
      <c r="L335" t="s">
        <v>2403</v>
      </c>
      <c r="M335" t="s">
        <v>28</v>
      </c>
      <c r="N335" t="s">
        <v>2404</v>
      </c>
      <c r="O335">
        <v>7</v>
      </c>
      <c r="P335" s="2">
        <v>43725</v>
      </c>
      <c r="Q335" s="1">
        <v>32</v>
      </c>
      <c r="R335" t="s">
        <v>2593</v>
      </c>
      <c r="S335">
        <v>1013776545</v>
      </c>
    </row>
    <row r="336" spans="1:19" x14ac:dyDescent="0.2">
      <c r="A336" t="str">
        <f t="shared" si="70"/>
        <v>Adult Fiction</v>
      </c>
      <c r="B336" t="str">
        <f>"NEW F FRENC"</f>
        <v>NEW F FRENC</v>
      </c>
      <c r="C336" t="str">
        <f>"The lying room"</f>
        <v>The lying room</v>
      </c>
      <c r="D336">
        <v>358154</v>
      </c>
      <c r="E336" t="str">
        <f>"French, Nicci"</f>
        <v>French, Nicci</v>
      </c>
      <c r="G336" t="str">
        <f>"417 p."</f>
        <v>417 p.</v>
      </c>
      <c r="H336" s="1">
        <v>19</v>
      </c>
      <c r="I336">
        <v>2019</v>
      </c>
      <c r="J336" t="str">
        <f t="shared" si="64"/>
        <v>2: Fiction</v>
      </c>
      <c r="L336" t="s">
        <v>2403</v>
      </c>
      <c r="M336" t="s">
        <v>28</v>
      </c>
      <c r="N336" t="s">
        <v>2396</v>
      </c>
      <c r="O336">
        <v>5</v>
      </c>
      <c r="P336" s="2">
        <v>43740</v>
      </c>
      <c r="Q336" s="1">
        <v>32</v>
      </c>
      <c r="R336" t="s">
        <v>2594</v>
      </c>
      <c r="S336">
        <v>1120721615</v>
      </c>
    </row>
    <row r="337" spans="1:19" x14ac:dyDescent="0.2">
      <c r="A337" t="str">
        <f t="shared" si="70"/>
        <v>Adult Fiction</v>
      </c>
      <c r="B337" t="str">
        <f>"NEW F FRENC"</f>
        <v>NEW F FRENC</v>
      </c>
      <c r="C337" t="str">
        <f>"The lying room"</f>
        <v>The lying room</v>
      </c>
      <c r="D337">
        <v>358155</v>
      </c>
      <c r="E337" t="str">
        <f>"French, Nicci"</f>
        <v>French, Nicci</v>
      </c>
      <c r="G337" t="str">
        <f>"417 p."</f>
        <v>417 p.</v>
      </c>
      <c r="H337" s="1">
        <v>19</v>
      </c>
      <c r="I337">
        <v>2019</v>
      </c>
      <c r="J337" t="str">
        <f t="shared" si="64"/>
        <v>2: Fiction</v>
      </c>
      <c r="L337" t="s">
        <v>2403</v>
      </c>
      <c r="M337" t="s">
        <v>28</v>
      </c>
      <c r="N337" t="s">
        <v>2404</v>
      </c>
      <c r="O337">
        <v>6</v>
      </c>
      <c r="P337" s="2">
        <v>43740</v>
      </c>
      <c r="Q337" s="1">
        <v>32</v>
      </c>
      <c r="R337" t="s">
        <v>2594</v>
      </c>
      <c r="S337">
        <v>1120721615</v>
      </c>
    </row>
    <row r="338" spans="1:19" x14ac:dyDescent="0.2">
      <c r="A338" t="str">
        <f t="shared" si="70"/>
        <v>Adult Fiction</v>
      </c>
      <c r="B338" t="str">
        <f>"NEW F FRENC"</f>
        <v>NEW F FRENC</v>
      </c>
      <c r="C338" t="str">
        <f>"The lying room"</f>
        <v>The lying room</v>
      </c>
      <c r="D338">
        <v>358156</v>
      </c>
      <c r="E338" t="str">
        <f>"French, Nicci"</f>
        <v>French, Nicci</v>
      </c>
      <c r="G338" t="str">
        <f>"417 p."</f>
        <v>417 p.</v>
      </c>
      <c r="H338" s="1">
        <v>19</v>
      </c>
      <c r="I338">
        <v>2019</v>
      </c>
      <c r="J338" t="str">
        <f t="shared" si="64"/>
        <v>2: Fiction</v>
      </c>
      <c r="L338" t="s">
        <v>2395</v>
      </c>
      <c r="M338" t="s">
        <v>28</v>
      </c>
      <c r="N338" t="s">
        <v>2404</v>
      </c>
      <c r="O338">
        <v>9</v>
      </c>
      <c r="P338" s="2">
        <v>43740</v>
      </c>
      <c r="Q338" s="1">
        <v>32</v>
      </c>
      <c r="R338" t="s">
        <v>2594</v>
      </c>
      <c r="S338">
        <v>1120721615</v>
      </c>
    </row>
    <row r="339" spans="1:19" x14ac:dyDescent="0.2">
      <c r="A339" t="str">
        <f t="shared" si="70"/>
        <v>Adult Fiction</v>
      </c>
      <c r="B339" t="str">
        <f>"NEW F FRENC"</f>
        <v>NEW F FRENC</v>
      </c>
      <c r="C339" t="str">
        <f>"The lying room"</f>
        <v>The lying room</v>
      </c>
      <c r="D339">
        <v>358157</v>
      </c>
      <c r="E339" t="str">
        <f>"French, Nicci"</f>
        <v>French, Nicci</v>
      </c>
      <c r="G339" t="str">
        <f>"417 p."</f>
        <v>417 p.</v>
      </c>
      <c r="H339" s="1">
        <v>19</v>
      </c>
      <c r="I339">
        <v>2019</v>
      </c>
      <c r="J339" t="str">
        <f t="shared" si="64"/>
        <v>2: Fiction</v>
      </c>
      <c r="L339" t="s">
        <v>2403</v>
      </c>
      <c r="M339" t="s">
        <v>28</v>
      </c>
      <c r="N339" t="s">
        <v>2404</v>
      </c>
      <c r="O339">
        <v>5</v>
      </c>
      <c r="P339" s="2">
        <v>43740</v>
      </c>
      <c r="Q339" s="1">
        <v>32</v>
      </c>
      <c r="R339" t="s">
        <v>2594</v>
      </c>
      <c r="S339">
        <v>1120721615</v>
      </c>
    </row>
    <row r="340" spans="1:19" x14ac:dyDescent="0.2">
      <c r="A340" t="str">
        <f t="shared" si="70"/>
        <v>Adult Fiction</v>
      </c>
      <c r="B340" t="str">
        <f>"NEW F FURST"</f>
        <v>NEW F FURST</v>
      </c>
      <c r="C340" t="str">
        <f>"Under occupation: a novel"</f>
        <v>Under occupation: a novel</v>
      </c>
      <c r="D340">
        <v>359585</v>
      </c>
      <c r="E340" t="str">
        <f>"Furst, Alan"</f>
        <v>Furst, Alan</v>
      </c>
      <c r="G340" t="str">
        <f>"206 pages, 24 cm, maps"</f>
        <v>206 pages, 24 cm, maps</v>
      </c>
      <c r="H340" s="1">
        <v>19</v>
      </c>
      <c r="I340">
        <v>2019</v>
      </c>
      <c r="J340" t="str">
        <f t="shared" si="64"/>
        <v>2: Fiction</v>
      </c>
      <c r="L340" t="s">
        <v>2395</v>
      </c>
      <c r="M340" t="s">
        <v>28</v>
      </c>
      <c r="N340" t="s">
        <v>2404</v>
      </c>
      <c r="O340">
        <v>3</v>
      </c>
      <c r="P340" s="2">
        <v>43802</v>
      </c>
      <c r="Q340" s="1">
        <v>32</v>
      </c>
      <c r="R340" t="s">
        <v>2595</v>
      </c>
      <c r="S340">
        <v>1089289605</v>
      </c>
    </row>
    <row r="341" spans="1:19" x14ac:dyDescent="0.2">
      <c r="A341" t="str">
        <f t="shared" si="70"/>
        <v>Adult Fiction</v>
      </c>
      <c r="B341" t="str">
        <f>"NEW F FURST"</f>
        <v>NEW F FURST</v>
      </c>
      <c r="C341" t="str">
        <f>"Under occupation: a novel"</f>
        <v>Under occupation: a novel</v>
      </c>
      <c r="D341">
        <v>359586</v>
      </c>
      <c r="E341" t="str">
        <f>"Furst, Alan"</f>
        <v>Furst, Alan</v>
      </c>
      <c r="G341" t="str">
        <f>"206 pages, 24 cm, maps"</f>
        <v>206 pages, 24 cm, maps</v>
      </c>
      <c r="H341" s="1">
        <v>19</v>
      </c>
      <c r="I341">
        <v>2019</v>
      </c>
      <c r="J341" t="str">
        <f t="shared" si="64"/>
        <v>2: Fiction</v>
      </c>
      <c r="L341" t="s">
        <v>2403</v>
      </c>
      <c r="M341" t="s">
        <v>28</v>
      </c>
      <c r="N341" t="s">
        <v>2404</v>
      </c>
      <c r="O341">
        <v>4</v>
      </c>
      <c r="P341" s="2">
        <v>43802</v>
      </c>
      <c r="Q341" s="1">
        <v>32</v>
      </c>
      <c r="R341" t="s">
        <v>2595</v>
      </c>
      <c r="S341">
        <v>1089289605</v>
      </c>
    </row>
    <row r="342" spans="1:19" x14ac:dyDescent="0.2">
      <c r="A342" t="str">
        <f t="shared" si="70"/>
        <v>Adult Fiction</v>
      </c>
      <c r="B342" t="str">
        <f>"NEW F GALA"</f>
        <v>NEW F GALA</v>
      </c>
      <c r="C342" t="str">
        <f>"The Black cathedral"</f>
        <v>The Black cathedral</v>
      </c>
      <c r="D342">
        <v>360207</v>
      </c>
      <c r="E342" t="str">
        <f>"Gala, Marcial,"</f>
        <v>Gala, Marcial,</v>
      </c>
      <c r="G342" t="str">
        <f>"209 pages, 22 cm"</f>
        <v>209 pages, 22 cm</v>
      </c>
      <c r="H342" s="1">
        <v>19</v>
      </c>
      <c r="I342">
        <v>2020</v>
      </c>
      <c r="J342" t="str">
        <f t="shared" si="64"/>
        <v>2: Fiction</v>
      </c>
      <c r="L342" t="s">
        <v>2395</v>
      </c>
      <c r="M342" t="s">
        <v>28</v>
      </c>
      <c r="N342" t="s">
        <v>2404</v>
      </c>
      <c r="O342">
        <v>1</v>
      </c>
      <c r="P342" s="2">
        <v>43844</v>
      </c>
      <c r="Q342" s="1">
        <v>31</v>
      </c>
      <c r="R342" t="s">
        <v>2596</v>
      </c>
      <c r="S342">
        <v>1102187005</v>
      </c>
    </row>
    <row r="343" spans="1:19" x14ac:dyDescent="0.2">
      <c r="A343" t="str">
        <f t="shared" si="70"/>
        <v>Adult Fiction</v>
      </c>
      <c r="B343" t="str">
        <f t="shared" ref="B343:B348" si="71">"NEW F GARDN"</f>
        <v>NEW F GARDN</v>
      </c>
      <c r="C343" t="str">
        <f t="shared" ref="C343:C348" si="72">"When you see me"</f>
        <v>When you see me</v>
      </c>
      <c r="D343">
        <v>360553</v>
      </c>
      <c r="E343" t="str">
        <f t="shared" ref="E343:E348" si="73">"Gardner, Lisa"</f>
        <v>Gardner, Lisa</v>
      </c>
      <c r="G343" t="str">
        <f t="shared" ref="G343:G348" si="74">"385 pages, 24 cm"</f>
        <v>385 pages, 24 cm</v>
      </c>
      <c r="H343" s="1">
        <v>20</v>
      </c>
      <c r="I343">
        <v>2020</v>
      </c>
      <c r="J343" t="str">
        <f t="shared" si="64"/>
        <v>2: Fiction</v>
      </c>
      <c r="L343" t="s">
        <v>2395</v>
      </c>
      <c r="M343" t="s">
        <v>28</v>
      </c>
      <c r="N343" t="s">
        <v>2495</v>
      </c>
      <c r="O343">
        <v>0</v>
      </c>
      <c r="P343" s="2">
        <v>43858</v>
      </c>
      <c r="Q343" s="1">
        <v>32</v>
      </c>
      <c r="R343" t="s">
        <v>2597</v>
      </c>
      <c r="S343">
        <v>1101493143</v>
      </c>
    </row>
    <row r="344" spans="1:19" x14ac:dyDescent="0.2">
      <c r="A344" t="str">
        <f t="shared" si="70"/>
        <v>Adult Fiction</v>
      </c>
      <c r="B344" t="str">
        <f t="shared" si="71"/>
        <v>NEW F GARDN</v>
      </c>
      <c r="C344" t="str">
        <f t="shared" si="72"/>
        <v>When you see me</v>
      </c>
      <c r="D344">
        <v>360554</v>
      </c>
      <c r="E344" t="str">
        <f t="shared" si="73"/>
        <v>Gardner, Lisa</v>
      </c>
      <c r="G344" t="str">
        <f t="shared" si="74"/>
        <v>385 pages, 24 cm</v>
      </c>
      <c r="H344" s="1">
        <v>20</v>
      </c>
      <c r="I344">
        <v>2020</v>
      </c>
      <c r="J344" t="str">
        <f t="shared" si="64"/>
        <v>2: Fiction</v>
      </c>
      <c r="L344" t="s">
        <v>2403</v>
      </c>
      <c r="M344" t="s">
        <v>28</v>
      </c>
      <c r="N344" t="s">
        <v>2495</v>
      </c>
      <c r="O344">
        <v>0</v>
      </c>
      <c r="P344" s="2">
        <v>43858</v>
      </c>
      <c r="Q344" s="1">
        <v>32</v>
      </c>
      <c r="R344" t="s">
        <v>2597</v>
      </c>
      <c r="S344">
        <v>1101493143</v>
      </c>
    </row>
    <row r="345" spans="1:19" x14ac:dyDescent="0.2">
      <c r="A345" t="str">
        <f t="shared" si="70"/>
        <v>Adult Fiction</v>
      </c>
      <c r="B345" t="str">
        <f t="shared" si="71"/>
        <v>NEW F GARDN</v>
      </c>
      <c r="C345" t="str">
        <f t="shared" si="72"/>
        <v>When you see me</v>
      </c>
      <c r="D345">
        <v>360555</v>
      </c>
      <c r="E345" t="str">
        <f t="shared" si="73"/>
        <v>Gardner, Lisa</v>
      </c>
      <c r="G345" t="str">
        <f t="shared" si="74"/>
        <v>385 pages, 24 cm</v>
      </c>
      <c r="H345" s="1">
        <v>20</v>
      </c>
      <c r="I345">
        <v>2020</v>
      </c>
      <c r="J345" t="str">
        <f t="shared" si="64"/>
        <v>2: Fiction</v>
      </c>
      <c r="L345" t="s">
        <v>2403</v>
      </c>
      <c r="M345" t="s">
        <v>28</v>
      </c>
      <c r="N345" t="s">
        <v>2495</v>
      </c>
      <c r="O345">
        <v>0</v>
      </c>
      <c r="P345" s="2">
        <v>43858</v>
      </c>
      <c r="Q345" s="1">
        <v>32</v>
      </c>
      <c r="R345" t="s">
        <v>2597</v>
      </c>
      <c r="S345">
        <v>1101493143</v>
      </c>
    </row>
    <row r="346" spans="1:19" x14ac:dyDescent="0.2">
      <c r="A346" t="str">
        <f t="shared" si="70"/>
        <v>Adult Fiction</v>
      </c>
      <c r="B346" t="str">
        <f t="shared" si="71"/>
        <v>NEW F GARDN</v>
      </c>
      <c r="C346" t="str">
        <f t="shared" si="72"/>
        <v>When you see me</v>
      </c>
      <c r="D346">
        <v>360556</v>
      </c>
      <c r="E346" t="str">
        <f t="shared" si="73"/>
        <v>Gardner, Lisa</v>
      </c>
      <c r="G346" t="str">
        <f t="shared" si="74"/>
        <v>385 pages, 24 cm</v>
      </c>
      <c r="H346" s="1">
        <v>20</v>
      </c>
      <c r="I346">
        <v>2020</v>
      </c>
      <c r="J346" t="str">
        <f t="shared" si="64"/>
        <v>2: Fiction</v>
      </c>
      <c r="L346" t="s">
        <v>2403</v>
      </c>
      <c r="M346" t="s">
        <v>28</v>
      </c>
      <c r="N346" t="s">
        <v>2495</v>
      </c>
      <c r="O346">
        <v>0</v>
      </c>
      <c r="P346" s="2">
        <v>43858</v>
      </c>
      <c r="Q346" s="1">
        <v>32</v>
      </c>
      <c r="R346" t="s">
        <v>2597</v>
      </c>
      <c r="S346">
        <v>1101493143</v>
      </c>
    </row>
    <row r="347" spans="1:19" x14ac:dyDescent="0.2">
      <c r="A347" t="str">
        <f t="shared" si="70"/>
        <v>Adult Fiction</v>
      </c>
      <c r="B347" t="str">
        <f t="shared" si="71"/>
        <v>NEW F GARDN</v>
      </c>
      <c r="C347" t="str">
        <f t="shared" si="72"/>
        <v>When you see me</v>
      </c>
      <c r="D347">
        <v>360557</v>
      </c>
      <c r="E347" t="str">
        <f t="shared" si="73"/>
        <v>Gardner, Lisa</v>
      </c>
      <c r="G347" t="str">
        <f t="shared" si="74"/>
        <v>385 pages, 24 cm</v>
      </c>
      <c r="H347" s="1">
        <v>20</v>
      </c>
      <c r="I347">
        <v>2020</v>
      </c>
      <c r="J347" t="str">
        <f t="shared" si="64"/>
        <v>2: Fiction</v>
      </c>
      <c r="L347" t="s">
        <v>2395</v>
      </c>
      <c r="M347" t="s">
        <v>28</v>
      </c>
      <c r="N347" t="s">
        <v>2495</v>
      </c>
      <c r="O347">
        <v>0</v>
      </c>
      <c r="P347" s="2">
        <v>43858</v>
      </c>
      <c r="Q347" s="1">
        <v>32</v>
      </c>
      <c r="R347" t="s">
        <v>2597</v>
      </c>
      <c r="S347">
        <v>1101493143</v>
      </c>
    </row>
    <row r="348" spans="1:19" x14ac:dyDescent="0.2">
      <c r="A348" t="str">
        <f t="shared" si="70"/>
        <v>Adult Fiction</v>
      </c>
      <c r="B348" t="str">
        <f t="shared" si="71"/>
        <v>NEW F GARDN</v>
      </c>
      <c r="C348" t="str">
        <f t="shared" si="72"/>
        <v>When you see me</v>
      </c>
      <c r="D348">
        <v>360558</v>
      </c>
      <c r="E348" t="str">
        <f t="shared" si="73"/>
        <v>Gardner, Lisa</v>
      </c>
      <c r="G348" t="str">
        <f t="shared" si="74"/>
        <v>385 pages, 24 cm</v>
      </c>
      <c r="H348" s="1">
        <v>20</v>
      </c>
      <c r="I348">
        <v>2020</v>
      </c>
      <c r="J348" t="str">
        <f t="shared" si="64"/>
        <v>2: Fiction</v>
      </c>
      <c r="L348" t="s">
        <v>2395</v>
      </c>
      <c r="M348" t="s">
        <v>28</v>
      </c>
      <c r="N348" t="s">
        <v>2495</v>
      </c>
      <c r="O348">
        <v>0</v>
      </c>
      <c r="P348" s="2">
        <v>43858</v>
      </c>
      <c r="Q348" s="1">
        <v>32</v>
      </c>
      <c r="R348" t="s">
        <v>2597</v>
      </c>
      <c r="S348">
        <v>1101493143</v>
      </c>
    </row>
    <row r="349" spans="1:19" x14ac:dyDescent="0.2">
      <c r="A349" t="str">
        <f t="shared" si="70"/>
        <v>Adult Fiction</v>
      </c>
      <c r="B349" t="str">
        <f>"NEW F GAYNO"</f>
        <v>NEW F GAYNO</v>
      </c>
      <c r="C349" t="str">
        <f>"Meet me in Monaco: a novel of Grace Kelly's royal wedding"</f>
        <v>Meet me in Monaco: a novel of Grace Kelly's royal wedding</v>
      </c>
      <c r="D349">
        <v>356491</v>
      </c>
      <c r="E349" t="str">
        <f>"Gaynor, Hazel"</f>
        <v>Gaynor, Hazel</v>
      </c>
      <c r="G349" t="str">
        <f>"358 p., 24 cm"</f>
        <v>358 p., 24 cm</v>
      </c>
      <c r="H349" s="1">
        <v>19</v>
      </c>
      <c r="I349">
        <v>2019</v>
      </c>
      <c r="J349" t="str">
        <f t="shared" si="64"/>
        <v>2: Fiction</v>
      </c>
      <c r="L349" t="s">
        <v>2395</v>
      </c>
      <c r="M349" t="s">
        <v>28</v>
      </c>
      <c r="N349" t="s">
        <v>2404</v>
      </c>
      <c r="O349">
        <v>7</v>
      </c>
      <c r="P349" s="2">
        <v>43675</v>
      </c>
      <c r="Q349" s="1">
        <v>32</v>
      </c>
      <c r="R349" t="s">
        <v>2598</v>
      </c>
      <c r="S349">
        <v>1108618945</v>
      </c>
    </row>
    <row r="350" spans="1:19" x14ac:dyDescent="0.2">
      <c r="A350" t="str">
        <f t="shared" si="70"/>
        <v>Adult Fiction</v>
      </c>
      <c r="B350" t="str">
        <f>"NEW F GAYNO"</f>
        <v>NEW F GAYNO</v>
      </c>
      <c r="C350" t="str">
        <f>"Meet me in Monaco: a novel of Grace Kelly's royal wedding"</f>
        <v>Meet me in Monaco: a novel of Grace Kelly's royal wedding</v>
      </c>
      <c r="D350">
        <v>356492</v>
      </c>
      <c r="E350" t="str">
        <f>"Gaynor, Hazel"</f>
        <v>Gaynor, Hazel</v>
      </c>
      <c r="G350" t="str">
        <f>"358 p., 24 cm"</f>
        <v>358 p., 24 cm</v>
      </c>
      <c r="H350" s="1">
        <v>19</v>
      </c>
      <c r="I350">
        <v>2019</v>
      </c>
      <c r="J350" t="str">
        <f t="shared" si="64"/>
        <v>2: Fiction</v>
      </c>
      <c r="L350" t="s">
        <v>2395</v>
      </c>
      <c r="M350" t="s">
        <v>28</v>
      </c>
      <c r="N350" t="s">
        <v>2404</v>
      </c>
      <c r="O350">
        <v>10</v>
      </c>
      <c r="P350" s="2">
        <v>43675</v>
      </c>
      <c r="Q350" s="1">
        <v>32</v>
      </c>
      <c r="R350" t="s">
        <v>2598</v>
      </c>
      <c r="S350">
        <v>1108618945</v>
      </c>
    </row>
    <row r="351" spans="1:19" x14ac:dyDescent="0.2">
      <c r="A351" t="str">
        <f t="shared" si="70"/>
        <v>Adult Fiction</v>
      </c>
      <c r="B351" t="str">
        <f t="shared" ref="B351:B356" si="75">"NEW F GERRI"</f>
        <v>NEW F GERRI</v>
      </c>
      <c r="C351" t="str">
        <f t="shared" ref="C351:C356" si="76">"The shape of night: a novel"</f>
        <v>The shape of night: a novel</v>
      </c>
      <c r="D351">
        <v>358145</v>
      </c>
      <c r="E351" t="str">
        <f t="shared" ref="E351:E356" si="77">"Gerritsen, Tess"</f>
        <v>Gerritsen, Tess</v>
      </c>
      <c r="G351" t="str">
        <f t="shared" ref="G351:G356" si="78">"pages cm"</f>
        <v>pages cm</v>
      </c>
      <c r="H351" s="1">
        <v>19</v>
      </c>
      <c r="I351">
        <v>2019</v>
      </c>
      <c r="J351" t="str">
        <f t="shared" si="64"/>
        <v>2: Fiction</v>
      </c>
      <c r="L351" t="s">
        <v>2403</v>
      </c>
      <c r="M351" t="s">
        <v>28</v>
      </c>
      <c r="N351" t="s">
        <v>2404</v>
      </c>
      <c r="O351">
        <v>7</v>
      </c>
      <c r="P351" s="2">
        <v>43740</v>
      </c>
      <c r="Q351" s="1">
        <v>33</v>
      </c>
      <c r="R351" t="s">
        <v>2599</v>
      </c>
      <c r="S351">
        <v>1083225082</v>
      </c>
    </row>
    <row r="352" spans="1:19" x14ac:dyDescent="0.2">
      <c r="A352" t="str">
        <f t="shared" si="70"/>
        <v>Adult Fiction</v>
      </c>
      <c r="B352" t="str">
        <f t="shared" si="75"/>
        <v>NEW F GERRI</v>
      </c>
      <c r="C352" t="str">
        <f t="shared" si="76"/>
        <v>The shape of night: a novel</v>
      </c>
      <c r="D352">
        <v>358146</v>
      </c>
      <c r="E352" t="str">
        <f t="shared" si="77"/>
        <v>Gerritsen, Tess</v>
      </c>
      <c r="G352" t="str">
        <f t="shared" si="78"/>
        <v>pages cm</v>
      </c>
      <c r="H352" s="1">
        <v>19</v>
      </c>
      <c r="I352">
        <v>2019</v>
      </c>
      <c r="J352" t="str">
        <f t="shared" si="64"/>
        <v>2: Fiction</v>
      </c>
      <c r="L352" t="s">
        <v>2395</v>
      </c>
      <c r="M352" t="s">
        <v>28</v>
      </c>
      <c r="N352" t="s">
        <v>2396</v>
      </c>
      <c r="O352">
        <v>8</v>
      </c>
      <c r="P352" s="2">
        <v>43740</v>
      </c>
      <c r="Q352" s="1">
        <v>33</v>
      </c>
      <c r="R352" t="s">
        <v>2599</v>
      </c>
      <c r="S352">
        <v>1083225082</v>
      </c>
    </row>
    <row r="353" spans="1:19" x14ac:dyDescent="0.2">
      <c r="A353" t="str">
        <f t="shared" si="70"/>
        <v>Adult Fiction</v>
      </c>
      <c r="B353" t="str">
        <f t="shared" si="75"/>
        <v>NEW F GERRI</v>
      </c>
      <c r="C353" t="str">
        <f t="shared" si="76"/>
        <v>The shape of night: a novel</v>
      </c>
      <c r="D353">
        <v>358147</v>
      </c>
      <c r="E353" t="str">
        <f t="shared" si="77"/>
        <v>Gerritsen, Tess</v>
      </c>
      <c r="G353" t="str">
        <f t="shared" si="78"/>
        <v>pages cm</v>
      </c>
      <c r="H353" s="1">
        <v>19</v>
      </c>
      <c r="I353">
        <v>2019</v>
      </c>
      <c r="J353" t="str">
        <f t="shared" si="64"/>
        <v>2: Fiction</v>
      </c>
      <c r="L353" t="s">
        <v>2395</v>
      </c>
      <c r="M353" t="s">
        <v>28</v>
      </c>
      <c r="N353" t="s">
        <v>2404</v>
      </c>
      <c r="O353">
        <v>5</v>
      </c>
      <c r="P353" s="2">
        <v>43740</v>
      </c>
      <c r="Q353" s="1">
        <v>33</v>
      </c>
      <c r="R353" t="s">
        <v>2599</v>
      </c>
      <c r="S353">
        <v>1083225082</v>
      </c>
    </row>
    <row r="354" spans="1:19" x14ac:dyDescent="0.2">
      <c r="A354" t="str">
        <f t="shared" si="70"/>
        <v>Adult Fiction</v>
      </c>
      <c r="B354" t="str">
        <f t="shared" si="75"/>
        <v>NEW F GERRI</v>
      </c>
      <c r="C354" t="str">
        <f t="shared" si="76"/>
        <v>The shape of night: a novel</v>
      </c>
      <c r="D354">
        <v>358148</v>
      </c>
      <c r="E354" t="str">
        <f t="shared" si="77"/>
        <v>Gerritsen, Tess</v>
      </c>
      <c r="G354" t="str">
        <f t="shared" si="78"/>
        <v>pages cm</v>
      </c>
      <c r="H354" s="1">
        <v>19</v>
      </c>
      <c r="I354">
        <v>2019</v>
      </c>
      <c r="J354" t="str">
        <f t="shared" si="64"/>
        <v>2: Fiction</v>
      </c>
      <c r="L354" t="s">
        <v>2403</v>
      </c>
      <c r="M354" t="s">
        <v>28</v>
      </c>
      <c r="N354" t="s">
        <v>2404</v>
      </c>
      <c r="O354">
        <v>8</v>
      </c>
      <c r="P354" s="2">
        <v>43740</v>
      </c>
      <c r="Q354" s="1">
        <v>33</v>
      </c>
      <c r="R354" t="s">
        <v>2599</v>
      </c>
      <c r="S354">
        <v>1083225082</v>
      </c>
    </row>
    <row r="355" spans="1:19" x14ac:dyDescent="0.2">
      <c r="A355" t="str">
        <f t="shared" si="70"/>
        <v>Adult Fiction</v>
      </c>
      <c r="B355" t="str">
        <f t="shared" si="75"/>
        <v>NEW F GERRI</v>
      </c>
      <c r="C355" t="str">
        <f t="shared" si="76"/>
        <v>The shape of night: a novel</v>
      </c>
      <c r="D355">
        <v>358149</v>
      </c>
      <c r="E355" t="str">
        <f t="shared" si="77"/>
        <v>Gerritsen, Tess</v>
      </c>
      <c r="G355" t="str">
        <f t="shared" si="78"/>
        <v>pages cm</v>
      </c>
      <c r="H355" s="1">
        <v>19</v>
      </c>
      <c r="I355">
        <v>2019</v>
      </c>
      <c r="J355" t="str">
        <f t="shared" si="64"/>
        <v>2: Fiction</v>
      </c>
      <c r="L355" t="s">
        <v>2395</v>
      </c>
      <c r="M355" t="s">
        <v>28</v>
      </c>
      <c r="N355" t="s">
        <v>2396</v>
      </c>
      <c r="O355">
        <v>6</v>
      </c>
      <c r="P355" s="2">
        <v>43740</v>
      </c>
      <c r="Q355" s="1">
        <v>33</v>
      </c>
      <c r="R355" t="s">
        <v>2599</v>
      </c>
      <c r="S355">
        <v>1083225082</v>
      </c>
    </row>
    <row r="356" spans="1:19" x14ac:dyDescent="0.2">
      <c r="A356" t="str">
        <f t="shared" si="70"/>
        <v>Adult Fiction</v>
      </c>
      <c r="B356" t="str">
        <f t="shared" si="75"/>
        <v>NEW F GERRI</v>
      </c>
      <c r="C356" t="str">
        <f t="shared" si="76"/>
        <v>The shape of night: a novel</v>
      </c>
      <c r="D356">
        <v>358150</v>
      </c>
      <c r="E356" t="str">
        <f t="shared" si="77"/>
        <v>Gerritsen, Tess</v>
      </c>
      <c r="G356" t="str">
        <f t="shared" si="78"/>
        <v>pages cm</v>
      </c>
      <c r="H356" s="1">
        <v>19</v>
      </c>
      <c r="I356">
        <v>2019</v>
      </c>
      <c r="J356" t="str">
        <f t="shared" si="64"/>
        <v>2: Fiction</v>
      </c>
      <c r="L356" t="s">
        <v>2395</v>
      </c>
      <c r="M356" t="s">
        <v>28</v>
      </c>
      <c r="N356" t="s">
        <v>2404</v>
      </c>
      <c r="O356">
        <v>9</v>
      </c>
      <c r="P356" s="2">
        <v>43740</v>
      </c>
      <c r="Q356" s="1">
        <v>33</v>
      </c>
      <c r="R356" t="s">
        <v>2599</v>
      </c>
      <c r="S356">
        <v>1083225082</v>
      </c>
    </row>
    <row r="357" spans="1:19" x14ac:dyDescent="0.2">
      <c r="A357" t="str">
        <f t="shared" si="70"/>
        <v>Adult Fiction</v>
      </c>
      <c r="B357" t="str">
        <f>"NEW F GIBSO"</f>
        <v>NEW F GIBSO</v>
      </c>
      <c r="C357" t="s">
        <v>2600</v>
      </c>
      <c r="D357">
        <v>360587</v>
      </c>
      <c r="E357" t="str">
        <f>"Gibson, William"</f>
        <v>Gibson, William</v>
      </c>
      <c r="F357" t="str">
        <f>"The Peripheral series (2)"</f>
        <v>The Peripheral series (2)</v>
      </c>
      <c r="G357" t="str">
        <f>"402 pages, 24 cm"</f>
        <v>402 pages, 24 cm</v>
      </c>
      <c r="H357" s="1">
        <v>20</v>
      </c>
      <c r="I357">
        <v>2020</v>
      </c>
      <c r="J357" t="str">
        <f t="shared" si="64"/>
        <v>2: Fiction</v>
      </c>
      <c r="L357" t="s">
        <v>2395</v>
      </c>
      <c r="M357" t="s">
        <v>28</v>
      </c>
      <c r="N357" t="s">
        <v>2495</v>
      </c>
      <c r="O357">
        <v>0</v>
      </c>
      <c r="P357" s="2">
        <v>43859</v>
      </c>
      <c r="Q357" s="1">
        <v>33</v>
      </c>
      <c r="R357" t="s">
        <v>2601</v>
      </c>
      <c r="S357">
        <v>1135323664</v>
      </c>
    </row>
    <row r="358" spans="1:19" x14ac:dyDescent="0.2">
      <c r="A358" t="str">
        <f t="shared" si="70"/>
        <v>Adult Fiction</v>
      </c>
      <c r="B358" t="str">
        <f>"NEW F GILBE"</f>
        <v>NEW F GILBE</v>
      </c>
      <c r="C358" t="str">
        <f>"City of girls"</f>
        <v>City of girls</v>
      </c>
      <c r="D358">
        <v>355182</v>
      </c>
      <c r="E358" t="str">
        <f>"Gilbert, Elizabeth"</f>
        <v>Gilbert, Elizabeth</v>
      </c>
      <c r="G358" t="str">
        <f>"470 pages, 24 cm"</f>
        <v>470 pages, 24 cm</v>
      </c>
      <c r="H358" s="1">
        <v>19</v>
      </c>
      <c r="I358">
        <v>2019</v>
      </c>
      <c r="J358" t="str">
        <f t="shared" si="64"/>
        <v>2: Fiction</v>
      </c>
      <c r="L358" t="s">
        <v>2395</v>
      </c>
      <c r="M358" t="s">
        <v>28</v>
      </c>
      <c r="N358" t="s">
        <v>2404</v>
      </c>
      <c r="O358">
        <v>14</v>
      </c>
      <c r="P358" s="2">
        <v>43620</v>
      </c>
      <c r="Q358" s="1">
        <v>33</v>
      </c>
      <c r="R358" t="s">
        <v>2602</v>
      </c>
      <c r="S358">
        <v>1089884084</v>
      </c>
    </row>
    <row r="359" spans="1:19" x14ac:dyDescent="0.2">
      <c r="A359" t="str">
        <f t="shared" si="70"/>
        <v>Adult Fiction</v>
      </c>
      <c r="B359" t="str">
        <f>"NEW F GILBE"</f>
        <v>NEW F GILBE</v>
      </c>
      <c r="C359" t="str">
        <f>"City of girls"</f>
        <v>City of girls</v>
      </c>
      <c r="D359">
        <v>355752</v>
      </c>
      <c r="E359" t="str">
        <f>"Gilbert, Elizabeth"</f>
        <v>Gilbert, Elizabeth</v>
      </c>
      <c r="G359" t="str">
        <f>"470 pages, 24 cm"</f>
        <v>470 pages, 24 cm</v>
      </c>
      <c r="H359" s="1">
        <v>19</v>
      </c>
      <c r="I359">
        <v>2019</v>
      </c>
      <c r="J359" t="str">
        <f t="shared" si="64"/>
        <v>2: Fiction</v>
      </c>
      <c r="L359" t="s">
        <v>2395</v>
      </c>
      <c r="M359" t="s">
        <v>28</v>
      </c>
      <c r="N359" t="s">
        <v>2404</v>
      </c>
      <c r="O359">
        <v>12</v>
      </c>
      <c r="P359" s="2">
        <v>43640</v>
      </c>
      <c r="Q359" s="1">
        <v>33</v>
      </c>
      <c r="R359" t="s">
        <v>2602</v>
      </c>
      <c r="S359">
        <v>1089884084</v>
      </c>
    </row>
    <row r="360" spans="1:19" x14ac:dyDescent="0.2">
      <c r="A360" t="str">
        <f t="shared" si="70"/>
        <v>Adult Fiction</v>
      </c>
      <c r="B360" t="str">
        <f>"NEW F GILBE"</f>
        <v>NEW F GILBE</v>
      </c>
      <c r="C360" t="str">
        <f>"City of girls"</f>
        <v>City of girls</v>
      </c>
      <c r="D360">
        <v>356111</v>
      </c>
      <c r="E360" t="str">
        <f>"Gilbert, Elizabeth"</f>
        <v>Gilbert, Elizabeth</v>
      </c>
      <c r="G360" t="str">
        <f>"470 pages, 24 cm"</f>
        <v>470 pages, 24 cm</v>
      </c>
      <c r="H360" s="1">
        <v>19</v>
      </c>
      <c r="I360">
        <v>2019</v>
      </c>
      <c r="J360" t="str">
        <f t="shared" si="64"/>
        <v>2: Fiction</v>
      </c>
      <c r="L360" t="s">
        <v>2403</v>
      </c>
      <c r="M360" t="s">
        <v>28</v>
      </c>
      <c r="N360" t="s">
        <v>2396</v>
      </c>
      <c r="O360">
        <v>12</v>
      </c>
      <c r="P360" s="2">
        <v>43655</v>
      </c>
      <c r="Q360" s="1">
        <v>33</v>
      </c>
      <c r="R360" t="s">
        <v>2602</v>
      </c>
      <c r="S360">
        <v>1089884084</v>
      </c>
    </row>
    <row r="361" spans="1:19" x14ac:dyDescent="0.2">
      <c r="A361" t="str">
        <f t="shared" si="70"/>
        <v>Adult Fiction</v>
      </c>
      <c r="B361" t="str">
        <f>"NEW F GIORD"</f>
        <v>NEW F GIORD</v>
      </c>
      <c r="C361" t="str">
        <f>"Your second life begins when you realize you only have one"</f>
        <v>Your second life begins when you realize you only have one</v>
      </c>
      <c r="D361">
        <v>358579</v>
      </c>
      <c r="E361" t="str">
        <f>"Giordano, Rapha�lle,"</f>
        <v>Giordano, Rapha�lle,</v>
      </c>
      <c r="G361" t="str">
        <f>"244 pages, 19 cm"</f>
        <v>244 pages, 19 cm</v>
      </c>
      <c r="H361" s="1">
        <v>19</v>
      </c>
      <c r="I361">
        <v>2018</v>
      </c>
      <c r="J361" t="str">
        <f t="shared" si="64"/>
        <v>2: Fiction</v>
      </c>
      <c r="L361" t="s">
        <v>2403</v>
      </c>
      <c r="M361" t="s">
        <v>28</v>
      </c>
      <c r="N361" t="s">
        <v>2404</v>
      </c>
      <c r="O361">
        <v>5</v>
      </c>
      <c r="P361" s="2">
        <v>43756</v>
      </c>
      <c r="Q361" s="1">
        <v>21</v>
      </c>
      <c r="R361" t="s">
        <v>2603</v>
      </c>
      <c r="S361">
        <v>1030445940</v>
      </c>
    </row>
    <row r="362" spans="1:19" x14ac:dyDescent="0.2">
      <c r="A362" t="str">
        <f t="shared" si="70"/>
        <v>Adult Fiction</v>
      </c>
      <c r="B362" t="str">
        <f>"NEW F GOLDB"</f>
        <v>NEW F GOLDB</v>
      </c>
      <c r="C362" t="str">
        <f>"Hard mouth: a novel"</f>
        <v>Hard mouth: a novel</v>
      </c>
      <c r="D362">
        <v>357289</v>
      </c>
      <c r="E362" t="str">
        <f>"Goldblatt, Amanda"</f>
        <v>Goldblatt, Amanda</v>
      </c>
      <c r="G362" t="str">
        <f>"242 p."</f>
        <v>242 p.</v>
      </c>
      <c r="H362" s="1">
        <v>19</v>
      </c>
      <c r="I362">
        <v>2019</v>
      </c>
      <c r="J362" t="str">
        <f t="shared" si="64"/>
        <v>2: Fiction</v>
      </c>
      <c r="L362" t="s">
        <v>2395</v>
      </c>
      <c r="M362" t="s">
        <v>28</v>
      </c>
      <c r="N362" t="s">
        <v>2404</v>
      </c>
      <c r="O362">
        <v>2</v>
      </c>
      <c r="P362" s="2">
        <v>43711</v>
      </c>
      <c r="Q362" s="1">
        <v>22</v>
      </c>
      <c r="R362" t="s">
        <v>2604</v>
      </c>
      <c r="S362">
        <v>1083180026</v>
      </c>
    </row>
    <row r="363" spans="1:19" x14ac:dyDescent="0.2">
      <c r="A363" t="str">
        <f t="shared" si="70"/>
        <v>Adult Fiction</v>
      </c>
      <c r="B363" t="str">
        <f>"NEW F GOLDR"</f>
        <v>NEW F GOLDR</v>
      </c>
      <c r="C363" t="str">
        <f>"My name is Eva"</f>
        <v>My name is Eva</v>
      </c>
      <c r="D363">
        <v>358168</v>
      </c>
      <c r="E363" t="str">
        <f>"Goldring, Suzanne."</f>
        <v>Goldring, Suzanne.</v>
      </c>
      <c r="G363" t="str">
        <f>"318 p."</f>
        <v>318 p.</v>
      </c>
      <c r="H363" s="1">
        <v>19</v>
      </c>
      <c r="I363">
        <v>2019</v>
      </c>
      <c r="J363" t="str">
        <f t="shared" si="64"/>
        <v>2: Fiction</v>
      </c>
      <c r="L363" t="s">
        <v>2403</v>
      </c>
      <c r="M363" t="s">
        <v>28</v>
      </c>
      <c r="N363" t="s">
        <v>2404</v>
      </c>
      <c r="O363">
        <v>6</v>
      </c>
      <c r="P363" s="2">
        <v>43740</v>
      </c>
      <c r="Q363" s="1">
        <v>16</v>
      </c>
      <c r="R363" t="s">
        <v>2605</v>
      </c>
      <c r="S363">
        <v>1119744521</v>
      </c>
    </row>
    <row r="364" spans="1:19" x14ac:dyDescent="0.2">
      <c r="A364" t="str">
        <f t="shared" si="70"/>
        <v>Adult Fiction</v>
      </c>
      <c r="B364" t="str">
        <f>"NEW F GOODK"</f>
        <v>NEW F GOODK</v>
      </c>
      <c r="C364" t="str">
        <f>"Heart of black ice"</f>
        <v>Heart of black ice</v>
      </c>
      <c r="D364">
        <v>360263</v>
      </c>
      <c r="E364" t="str">
        <f>"Goodkind, Terry"</f>
        <v>Goodkind, Terry</v>
      </c>
      <c r="F364" t="str">
        <f>"Nicci Chronicles (4)"</f>
        <v>Nicci Chronicles (4)</v>
      </c>
      <c r="G364" t="str">
        <f>"525 pages"</f>
        <v>525 pages</v>
      </c>
      <c r="H364" s="1">
        <v>19</v>
      </c>
      <c r="I364">
        <v>2020</v>
      </c>
      <c r="J364" t="str">
        <f t="shared" si="64"/>
        <v>2: Fiction</v>
      </c>
      <c r="L364" t="s">
        <v>2395</v>
      </c>
      <c r="M364" t="s">
        <v>28</v>
      </c>
      <c r="N364" t="s">
        <v>2404</v>
      </c>
      <c r="O364">
        <v>1</v>
      </c>
      <c r="P364" s="2">
        <v>43844</v>
      </c>
      <c r="Q364" s="1">
        <v>35</v>
      </c>
      <c r="R364" t="s">
        <v>2606</v>
      </c>
      <c r="S364">
        <v>1135350346</v>
      </c>
    </row>
    <row r="365" spans="1:19" x14ac:dyDescent="0.2">
      <c r="A365" t="str">
        <f t="shared" si="70"/>
        <v>Adult Fiction</v>
      </c>
      <c r="B365" t="str">
        <f>"NEW F GOODK"</f>
        <v>NEW F GOODK</v>
      </c>
      <c r="C365" t="str">
        <f>"Heart of black ice"</f>
        <v>Heart of black ice</v>
      </c>
      <c r="D365">
        <v>360264</v>
      </c>
      <c r="E365" t="str">
        <f>"Goodkind, Terry"</f>
        <v>Goodkind, Terry</v>
      </c>
      <c r="F365" t="str">
        <f>"Nicci Chronicles (4)"</f>
        <v>Nicci Chronicles (4)</v>
      </c>
      <c r="G365" t="str">
        <f>"525 pages"</f>
        <v>525 pages</v>
      </c>
      <c r="H365" s="1">
        <v>19</v>
      </c>
      <c r="I365">
        <v>2020</v>
      </c>
      <c r="J365" t="str">
        <f t="shared" si="64"/>
        <v>2: Fiction</v>
      </c>
      <c r="L365" t="s">
        <v>2395</v>
      </c>
      <c r="M365" t="s">
        <v>28</v>
      </c>
      <c r="N365" t="s">
        <v>2404</v>
      </c>
      <c r="O365">
        <v>1</v>
      </c>
      <c r="P365" s="2">
        <v>43844</v>
      </c>
      <c r="Q365" s="1">
        <v>35</v>
      </c>
      <c r="R365" t="s">
        <v>2606</v>
      </c>
      <c r="S365">
        <v>1135350346</v>
      </c>
    </row>
    <row r="366" spans="1:19" x14ac:dyDescent="0.2">
      <c r="A366" t="str">
        <f t="shared" si="70"/>
        <v>Adult Fiction</v>
      </c>
      <c r="B366" t="str">
        <f>"NEW F GORTN"</f>
        <v>NEW F GORTN</v>
      </c>
      <c r="C366" t="str">
        <f>"Mademoiselle Chanel"</f>
        <v>Mademoiselle Chanel</v>
      </c>
      <c r="D366">
        <v>360621</v>
      </c>
      <c r="E366" t="str">
        <f>"Gortner, C. W."</f>
        <v>Gortner, C. W.</v>
      </c>
      <c r="G366" t="str">
        <f>"406, 13 pages, 21 cm"</f>
        <v>406, 13 pages, 21 cm</v>
      </c>
      <c r="H366" s="1">
        <v>20</v>
      </c>
      <c r="I366">
        <v>2015</v>
      </c>
      <c r="J366" t="str">
        <f t="shared" si="64"/>
        <v>2: Fiction</v>
      </c>
      <c r="L366" t="s">
        <v>2395</v>
      </c>
      <c r="M366" t="s">
        <v>28</v>
      </c>
      <c r="N366" t="s">
        <v>2495</v>
      </c>
      <c r="O366">
        <v>0</v>
      </c>
      <c r="P366" s="2">
        <v>43859</v>
      </c>
      <c r="Q366" s="1">
        <v>21</v>
      </c>
      <c r="R366" t="s">
        <v>2607</v>
      </c>
      <c r="S366">
        <v>933580220</v>
      </c>
    </row>
    <row r="367" spans="1:19" x14ac:dyDescent="0.2">
      <c r="A367" t="str">
        <f t="shared" si="70"/>
        <v>Adult Fiction</v>
      </c>
      <c r="B367" t="str">
        <f>"NEW F GOSS"</f>
        <v>NEW F GOSS</v>
      </c>
      <c r="C367" t="str">
        <f>"The sinister mystery of the mesmerizing girl"</f>
        <v>The sinister mystery of the mesmerizing girl</v>
      </c>
      <c r="D367">
        <v>358348</v>
      </c>
      <c r="E367" t="str">
        <f>"Goss, Theodora."</f>
        <v>Goss, Theodora.</v>
      </c>
      <c r="F367" t="str">
        <f>"Extraordinary Adventures of the Athena Club series (3)"</f>
        <v>Extraordinary Adventures of the Athena Club series (3)</v>
      </c>
      <c r="G367" t="str">
        <f>"436 pages, 22 cm"</f>
        <v>436 pages, 22 cm</v>
      </c>
      <c r="H367" s="1">
        <v>19</v>
      </c>
      <c r="I367">
        <v>2019</v>
      </c>
      <c r="J367" t="str">
        <f t="shared" si="64"/>
        <v>2: Fiction</v>
      </c>
      <c r="L367" t="s">
        <v>2395</v>
      </c>
      <c r="M367" t="s">
        <v>28</v>
      </c>
      <c r="N367" t="s">
        <v>2404</v>
      </c>
      <c r="O367">
        <v>6</v>
      </c>
      <c r="P367" s="2">
        <v>43749</v>
      </c>
      <c r="Q367" s="1">
        <v>30</v>
      </c>
      <c r="R367" t="s">
        <v>2608</v>
      </c>
      <c r="S367">
        <v>1057241471</v>
      </c>
    </row>
    <row r="368" spans="1:19" x14ac:dyDescent="0.2">
      <c r="A368" t="str">
        <f t="shared" si="70"/>
        <v>Adult Fiction</v>
      </c>
      <c r="B368" t="str">
        <f>"NEW F GRAHA"</f>
        <v>NEW F GRAHA</v>
      </c>
      <c r="C368" t="str">
        <f>"The seekers"</f>
        <v>The seekers</v>
      </c>
      <c r="D368">
        <v>356366</v>
      </c>
      <c r="E368" t="str">
        <f>"Graham, Heather"</f>
        <v>Graham, Heather</v>
      </c>
      <c r="F368" t="str">
        <f>"Krewe of Hunters series (28)"</f>
        <v>Krewe of Hunters series (28)</v>
      </c>
      <c r="G368" t="str">
        <f>"297 pages, 24 cm"</f>
        <v>297 pages, 24 cm</v>
      </c>
      <c r="H368" s="1">
        <v>19</v>
      </c>
      <c r="I368">
        <v>2019</v>
      </c>
      <c r="J368" t="str">
        <f t="shared" si="64"/>
        <v>2: Fiction</v>
      </c>
      <c r="L368" t="s">
        <v>2403</v>
      </c>
      <c r="M368" t="s">
        <v>28</v>
      </c>
      <c r="N368" t="s">
        <v>2404</v>
      </c>
      <c r="O368">
        <v>9</v>
      </c>
      <c r="P368" s="2">
        <v>43669</v>
      </c>
      <c r="Q368" s="1">
        <v>33</v>
      </c>
      <c r="R368" t="s">
        <v>2609</v>
      </c>
      <c r="S368">
        <v>1090893309</v>
      </c>
    </row>
    <row r="369" spans="1:19" x14ac:dyDescent="0.2">
      <c r="A369" t="str">
        <f t="shared" si="70"/>
        <v>Adult Fiction</v>
      </c>
      <c r="B369" t="str">
        <f>"NEW F GRAHA"</f>
        <v>NEW F GRAHA</v>
      </c>
      <c r="C369" t="str">
        <f>"The stalking"</f>
        <v>The stalking</v>
      </c>
      <c r="D369">
        <v>357639</v>
      </c>
      <c r="E369" t="str">
        <f>"Graham, Heather"</f>
        <v>Graham, Heather</v>
      </c>
      <c r="F369" t="str">
        <f>"Krewe of Hunters series (29)"</f>
        <v>Krewe of Hunters series (29)</v>
      </c>
      <c r="G369" t="str">
        <f>"297 pages, 24 cm"</f>
        <v>297 pages, 24 cm</v>
      </c>
      <c r="H369" s="1">
        <v>19</v>
      </c>
      <c r="I369">
        <v>2019</v>
      </c>
      <c r="J369" t="str">
        <f t="shared" si="64"/>
        <v>2: Fiction</v>
      </c>
      <c r="L369" t="s">
        <v>2395</v>
      </c>
      <c r="M369" t="s">
        <v>28</v>
      </c>
      <c r="N369" t="s">
        <v>2404</v>
      </c>
      <c r="O369">
        <v>7</v>
      </c>
      <c r="P369" s="2">
        <v>43725</v>
      </c>
      <c r="Q369" s="1">
        <v>33</v>
      </c>
      <c r="R369" t="s">
        <v>2610</v>
      </c>
      <c r="S369">
        <v>1112704548</v>
      </c>
    </row>
    <row r="370" spans="1:19" x14ac:dyDescent="0.2">
      <c r="A370" t="str">
        <f t="shared" si="70"/>
        <v>Adult Fiction</v>
      </c>
      <c r="B370" t="str">
        <f>"NEW F GRAHA"</f>
        <v>NEW F GRAHA</v>
      </c>
      <c r="C370" t="str">
        <f>"The stalking"</f>
        <v>The stalking</v>
      </c>
      <c r="D370">
        <v>357640</v>
      </c>
      <c r="E370" t="str">
        <f>"Graham, Heather"</f>
        <v>Graham, Heather</v>
      </c>
      <c r="F370" t="str">
        <f>"Krewe of Hunters series (29)"</f>
        <v>Krewe of Hunters series (29)</v>
      </c>
      <c r="G370" t="str">
        <f>"297 pages, 24 cm"</f>
        <v>297 pages, 24 cm</v>
      </c>
      <c r="H370" s="1">
        <v>19</v>
      </c>
      <c r="I370">
        <v>2019</v>
      </c>
      <c r="J370" t="str">
        <f t="shared" si="64"/>
        <v>2: Fiction</v>
      </c>
      <c r="L370" t="s">
        <v>2403</v>
      </c>
      <c r="M370" t="s">
        <v>28</v>
      </c>
      <c r="N370" t="s">
        <v>2404</v>
      </c>
      <c r="O370">
        <v>6</v>
      </c>
      <c r="P370" s="2">
        <v>43725</v>
      </c>
      <c r="Q370" s="1">
        <v>33</v>
      </c>
      <c r="R370" t="s">
        <v>2610</v>
      </c>
      <c r="S370">
        <v>1112704548</v>
      </c>
    </row>
    <row r="371" spans="1:19" x14ac:dyDescent="0.2">
      <c r="A371" t="str">
        <f t="shared" si="70"/>
        <v>Adult Fiction</v>
      </c>
      <c r="B371" t="str">
        <f>"NEW F GREAN"</f>
        <v>NEW F GREAN</v>
      </c>
      <c r="C371" t="str">
        <f>"Red metal"</f>
        <v>Red metal</v>
      </c>
      <c r="D371">
        <v>357309</v>
      </c>
      <c r="E371" t="str">
        <f>"Greaney, Mark."</f>
        <v>Greaney, Mark.</v>
      </c>
      <c r="G371" t="str">
        <f>"xiv, 638 pages, 24 cm, maps"</f>
        <v>xiv, 638 pages, 24 cm, maps</v>
      </c>
      <c r="H371" s="1">
        <v>19</v>
      </c>
      <c r="I371">
        <v>2019</v>
      </c>
      <c r="J371" t="str">
        <f t="shared" si="64"/>
        <v>2: Fiction</v>
      </c>
      <c r="L371" t="s">
        <v>2395</v>
      </c>
      <c r="M371" t="s">
        <v>28</v>
      </c>
      <c r="N371" t="s">
        <v>2404</v>
      </c>
      <c r="O371">
        <v>7</v>
      </c>
      <c r="P371" s="2">
        <v>43711</v>
      </c>
      <c r="Q371" s="1">
        <v>32</v>
      </c>
      <c r="R371" t="s">
        <v>2611</v>
      </c>
      <c r="S371">
        <v>1057859591</v>
      </c>
    </row>
    <row r="372" spans="1:19" x14ac:dyDescent="0.2">
      <c r="A372" t="str">
        <f t="shared" si="70"/>
        <v>Adult Fiction</v>
      </c>
      <c r="B372" t="str">
        <f>"NEW F GREEL"</f>
        <v>NEW F GREEL</v>
      </c>
      <c r="C372" t="str">
        <f>"The clergyman's wife: a Pride &amp; prejudice novel"</f>
        <v>The clergyman's wife: a Pride &amp; prejudice novel</v>
      </c>
      <c r="D372">
        <v>359847</v>
      </c>
      <c r="E372" t="str">
        <f>"Greeley, Molly"</f>
        <v>Greeley, Molly</v>
      </c>
      <c r="H372" s="1">
        <v>19</v>
      </c>
      <c r="I372">
        <v>2019</v>
      </c>
      <c r="J372" t="str">
        <f t="shared" si="64"/>
        <v>2: Fiction</v>
      </c>
      <c r="L372" t="s">
        <v>2403</v>
      </c>
      <c r="M372" t="s">
        <v>28</v>
      </c>
      <c r="N372" t="s">
        <v>2404</v>
      </c>
      <c r="O372">
        <v>3</v>
      </c>
      <c r="P372" s="2">
        <v>43815</v>
      </c>
      <c r="Q372" s="1">
        <v>21</v>
      </c>
      <c r="R372" t="s">
        <v>2612</v>
      </c>
      <c r="S372">
        <v>1115003413</v>
      </c>
    </row>
    <row r="373" spans="1:19" x14ac:dyDescent="0.2">
      <c r="A373" t="str">
        <f t="shared" si="70"/>
        <v>Adult Fiction</v>
      </c>
      <c r="B373" t="str">
        <f>"NEW F GREEN"</f>
        <v>NEW F GREEN</v>
      </c>
      <c r="C373" t="s">
        <v>2613</v>
      </c>
      <c r="D373">
        <v>360426</v>
      </c>
      <c r="E373" t="str">
        <f>"Greenwell, Garth"</f>
        <v>Greenwell, Garth</v>
      </c>
      <c r="G373" t="str">
        <f>"223 pages, 22 cm"</f>
        <v>223 pages, 22 cm</v>
      </c>
      <c r="H373" s="1">
        <v>20</v>
      </c>
      <c r="I373">
        <v>2020</v>
      </c>
      <c r="J373" t="str">
        <f t="shared" si="64"/>
        <v>2: Fiction</v>
      </c>
      <c r="L373" t="s">
        <v>2395</v>
      </c>
      <c r="M373" t="s">
        <v>28</v>
      </c>
      <c r="N373" t="s">
        <v>2396</v>
      </c>
      <c r="O373">
        <v>0</v>
      </c>
      <c r="P373" s="2">
        <v>43851</v>
      </c>
      <c r="Q373" s="1">
        <v>31</v>
      </c>
      <c r="R373" t="s">
        <v>2614</v>
      </c>
      <c r="S373">
        <v>1102179469</v>
      </c>
    </row>
    <row r="374" spans="1:19" x14ac:dyDescent="0.2">
      <c r="A374" t="str">
        <f t="shared" si="70"/>
        <v>Adult Fiction</v>
      </c>
      <c r="B374" t="str">
        <f>"NEW F GREEN"</f>
        <v>NEW F GREEN</v>
      </c>
      <c r="C374" t="str">
        <f>"The reckless oath we made"</f>
        <v>The reckless oath we made</v>
      </c>
      <c r="D374">
        <v>357723</v>
      </c>
      <c r="E374" t="str">
        <f>"Greenwood, Bryn"</f>
        <v>Greenwood, Bryn</v>
      </c>
      <c r="G374" t="str">
        <f>"436 pages, 24 cm"</f>
        <v>436 pages, 24 cm</v>
      </c>
      <c r="H374" s="1">
        <v>19</v>
      </c>
      <c r="I374">
        <v>2019</v>
      </c>
      <c r="J374" t="str">
        <f t="shared" si="64"/>
        <v>2: Fiction</v>
      </c>
      <c r="L374" t="s">
        <v>2403</v>
      </c>
      <c r="M374" t="s">
        <v>28</v>
      </c>
      <c r="N374" t="s">
        <v>2404</v>
      </c>
      <c r="O374">
        <v>4</v>
      </c>
      <c r="P374" s="2">
        <v>43725</v>
      </c>
      <c r="Q374" s="1">
        <v>31</v>
      </c>
      <c r="R374" t="s">
        <v>2615</v>
      </c>
      <c r="S374">
        <v>1083683156</v>
      </c>
    </row>
    <row r="375" spans="1:19" x14ac:dyDescent="0.2">
      <c r="A375" t="str">
        <f t="shared" si="70"/>
        <v>Adult Fiction</v>
      </c>
      <c r="B375" t="str">
        <f>"NEW F GREEN"</f>
        <v>NEW F GREEN</v>
      </c>
      <c r="C375" t="str">
        <f>"Keeping Lucy"</f>
        <v>Keeping Lucy</v>
      </c>
      <c r="D375">
        <v>357106</v>
      </c>
      <c r="E375" t="str">
        <f>"Greenwood, T."</f>
        <v>Greenwood, T.</v>
      </c>
      <c r="G375" t="str">
        <f>"vii, 301 p., 25 cm"</f>
        <v>vii, 301 p., 25 cm</v>
      </c>
      <c r="H375" s="1">
        <v>19</v>
      </c>
      <c r="I375">
        <v>2019</v>
      </c>
      <c r="J375" t="str">
        <f t="shared" si="64"/>
        <v>2: Fiction</v>
      </c>
      <c r="L375" t="s">
        <v>2395</v>
      </c>
      <c r="M375" t="s">
        <v>28</v>
      </c>
      <c r="N375" t="s">
        <v>2396</v>
      </c>
      <c r="O375">
        <v>9</v>
      </c>
      <c r="P375" s="2">
        <v>43704</v>
      </c>
      <c r="Q375" s="1">
        <v>33</v>
      </c>
      <c r="R375" t="s">
        <v>2616</v>
      </c>
      <c r="S375">
        <v>1048942456</v>
      </c>
    </row>
    <row r="376" spans="1:19" x14ac:dyDescent="0.2">
      <c r="A376" t="str">
        <f t="shared" si="70"/>
        <v>Adult Fiction</v>
      </c>
      <c r="B376" t="str">
        <f>"NEW F GREGO"</f>
        <v>NEW F GREGO</v>
      </c>
      <c r="C376" t="s">
        <v>2617</v>
      </c>
      <c r="D376">
        <v>356958</v>
      </c>
      <c r="E376" t="str">
        <f>"Gregory, Philippa"</f>
        <v>Gregory, Philippa</v>
      </c>
      <c r="F376" t="str">
        <f>"Fairmile series (1)"</f>
        <v>Fairmile series (1)</v>
      </c>
      <c r="G376" t="str">
        <f>"455 pages, 24 cm"</f>
        <v>455 pages, 24 cm</v>
      </c>
      <c r="H376" s="1">
        <v>19</v>
      </c>
      <c r="I376">
        <v>2019</v>
      </c>
      <c r="J376" t="str">
        <f t="shared" si="64"/>
        <v>2: Fiction</v>
      </c>
      <c r="L376" t="s">
        <v>2395</v>
      </c>
      <c r="M376" t="s">
        <v>28</v>
      </c>
      <c r="N376" t="s">
        <v>2404</v>
      </c>
      <c r="O376">
        <v>9</v>
      </c>
      <c r="P376" s="2">
        <v>43696</v>
      </c>
      <c r="Q376" s="1">
        <v>33</v>
      </c>
      <c r="R376" t="s">
        <v>2618</v>
      </c>
      <c r="S376">
        <v>1086405599</v>
      </c>
    </row>
    <row r="377" spans="1:19" x14ac:dyDescent="0.2">
      <c r="A377" t="str">
        <f t="shared" si="70"/>
        <v>Adult Fiction</v>
      </c>
      <c r="B377" t="str">
        <f>"NEW F GREGO"</f>
        <v>NEW F GREGO</v>
      </c>
      <c r="C377" t="s">
        <v>2617</v>
      </c>
      <c r="D377">
        <v>356960</v>
      </c>
      <c r="E377" t="str">
        <f>"Gregory, Philippa"</f>
        <v>Gregory, Philippa</v>
      </c>
      <c r="F377" t="str">
        <f>"Fairmile series (1)"</f>
        <v>Fairmile series (1)</v>
      </c>
      <c r="G377" t="str">
        <f>"455 pages, 24 cm"</f>
        <v>455 pages, 24 cm</v>
      </c>
      <c r="H377" s="1">
        <v>19</v>
      </c>
      <c r="I377">
        <v>2019</v>
      </c>
      <c r="J377" t="str">
        <f t="shared" si="64"/>
        <v>2: Fiction</v>
      </c>
      <c r="L377" t="s">
        <v>2403</v>
      </c>
      <c r="M377" t="s">
        <v>28</v>
      </c>
      <c r="N377" t="s">
        <v>2404</v>
      </c>
      <c r="O377">
        <v>8</v>
      </c>
      <c r="P377" s="2">
        <v>43696</v>
      </c>
      <c r="Q377" s="1">
        <v>33</v>
      </c>
      <c r="R377" t="s">
        <v>2618</v>
      </c>
      <c r="S377">
        <v>1086405599</v>
      </c>
    </row>
    <row r="378" spans="1:19" x14ac:dyDescent="0.2">
      <c r="A378" t="str">
        <f t="shared" si="70"/>
        <v>Adult Fiction</v>
      </c>
      <c r="B378" t="str">
        <f>"NEW F GREY"</f>
        <v>NEW F GREY</v>
      </c>
      <c r="C378" t="str">
        <f>"The glittering hour"</f>
        <v>The glittering hour</v>
      </c>
      <c r="D378">
        <v>359857</v>
      </c>
      <c r="E378" t="str">
        <f>"Grey, Iona,"</f>
        <v>Grey, Iona,</v>
      </c>
      <c r="G378" t="str">
        <f>"471 pages, 25 cm"</f>
        <v>471 pages, 25 cm</v>
      </c>
      <c r="H378" s="1">
        <v>19</v>
      </c>
      <c r="I378">
        <v>2019</v>
      </c>
      <c r="J378" t="str">
        <f t="shared" si="64"/>
        <v>2: Fiction</v>
      </c>
      <c r="L378" t="s">
        <v>2395</v>
      </c>
      <c r="M378" t="s">
        <v>28</v>
      </c>
      <c r="N378" t="s">
        <v>2404</v>
      </c>
      <c r="O378">
        <v>3</v>
      </c>
      <c r="P378" s="2">
        <v>43815</v>
      </c>
      <c r="Q378" s="1">
        <v>34</v>
      </c>
      <c r="R378" t="s">
        <v>2619</v>
      </c>
      <c r="S378">
        <v>1079847581</v>
      </c>
    </row>
    <row r="379" spans="1:19" x14ac:dyDescent="0.2">
      <c r="A379" t="str">
        <f t="shared" si="70"/>
        <v>Adult Fiction</v>
      </c>
      <c r="B379" t="str">
        <f>"NEW F GRIME"</f>
        <v>NEW F GRIME</v>
      </c>
      <c r="C379" t="str">
        <f>"The old success"</f>
        <v>The old success</v>
      </c>
      <c r="D379">
        <v>358822</v>
      </c>
      <c r="E379" t="str">
        <f>"Grimes, Martha"</f>
        <v>Grimes, Martha</v>
      </c>
      <c r="F379" t="str">
        <f>"Richard Jury Mystery series (25)"</f>
        <v>Richard Jury Mystery series (25)</v>
      </c>
      <c r="G379" t="str">
        <f>"243 pages, 24 cm"</f>
        <v>243 pages, 24 cm</v>
      </c>
      <c r="H379" s="1">
        <v>19</v>
      </c>
      <c r="I379">
        <v>2019</v>
      </c>
      <c r="J379" t="str">
        <f t="shared" si="64"/>
        <v>2: Fiction</v>
      </c>
      <c r="L379" t="s">
        <v>2403</v>
      </c>
      <c r="M379" t="s">
        <v>28</v>
      </c>
      <c r="N379" t="s">
        <v>2404</v>
      </c>
      <c r="O379">
        <v>7</v>
      </c>
      <c r="P379" s="2">
        <v>43766</v>
      </c>
      <c r="Q379" s="1">
        <v>31</v>
      </c>
      <c r="R379" t="s">
        <v>2620</v>
      </c>
      <c r="S379">
        <v>1123216244</v>
      </c>
    </row>
    <row r="380" spans="1:19" x14ac:dyDescent="0.2">
      <c r="A380" t="str">
        <f t="shared" si="70"/>
        <v>Adult Fiction</v>
      </c>
      <c r="B380" t="str">
        <f>"NEW F GRIME"</f>
        <v>NEW F GRIME</v>
      </c>
      <c r="C380" t="str">
        <f>"The old success"</f>
        <v>The old success</v>
      </c>
      <c r="D380">
        <v>358823</v>
      </c>
      <c r="E380" t="str">
        <f>"Grimes, Martha"</f>
        <v>Grimes, Martha</v>
      </c>
      <c r="F380" t="str">
        <f>"Richard Jury Mystery series (25)"</f>
        <v>Richard Jury Mystery series (25)</v>
      </c>
      <c r="G380" t="str">
        <f>"243 pages, 24 cm"</f>
        <v>243 pages, 24 cm</v>
      </c>
      <c r="H380" s="1">
        <v>19</v>
      </c>
      <c r="I380">
        <v>2019</v>
      </c>
      <c r="J380" t="str">
        <f t="shared" si="64"/>
        <v>2: Fiction</v>
      </c>
      <c r="L380" t="s">
        <v>2395</v>
      </c>
      <c r="M380" t="s">
        <v>28</v>
      </c>
      <c r="N380" t="s">
        <v>2404</v>
      </c>
      <c r="O380">
        <v>7</v>
      </c>
      <c r="P380" s="2">
        <v>43766</v>
      </c>
      <c r="Q380" s="1">
        <v>31</v>
      </c>
      <c r="R380" t="s">
        <v>2620</v>
      </c>
      <c r="S380">
        <v>1123216244</v>
      </c>
    </row>
    <row r="381" spans="1:19" x14ac:dyDescent="0.2">
      <c r="A381" t="str">
        <f t="shared" si="70"/>
        <v>Adult Fiction</v>
      </c>
      <c r="B381" t="str">
        <f t="shared" ref="B381:B398" si="79">"NEW F GRISH"</f>
        <v>NEW F GRISH</v>
      </c>
      <c r="C381" t="str">
        <f t="shared" ref="C381:C396" si="80">"The Guardians"</f>
        <v>The Guardians</v>
      </c>
      <c r="D381">
        <v>358474</v>
      </c>
      <c r="E381" t="str">
        <f t="shared" ref="E381:E398" si="81">"Grisham, John"</f>
        <v>Grisham, John</v>
      </c>
      <c r="G381" t="str">
        <f t="shared" ref="G381:G396" si="82">"370 p."</f>
        <v>370 p.</v>
      </c>
      <c r="H381" s="1">
        <v>19</v>
      </c>
      <c r="I381">
        <v>2019</v>
      </c>
      <c r="J381" t="str">
        <f t="shared" si="64"/>
        <v>2: Fiction</v>
      </c>
      <c r="L381" t="s">
        <v>2403</v>
      </c>
      <c r="M381" t="s">
        <v>28</v>
      </c>
      <c r="N381" t="s">
        <v>2404</v>
      </c>
      <c r="O381">
        <v>8</v>
      </c>
      <c r="P381" s="2">
        <v>43753</v>
      </c>
      <c r="Q381" s="1">
        <v>35</v>
      </c>
      <c r="R381" t="s">
        <v>2621</v>
      </c>
      <c r="S381">
        <v>1107215200</v>
      </c>
    </row>
    <row r="382" spans="1:19" x14ac:dyDescent="0.2">
      <c r="A382" t="str">
        <f t="shared" si="70"/>
        <v>Adult Fiction</v>
      </c>
      <c r="B382" t="str">
        <f t="shared" si="79"/>
        <v>NEW F GRISH</v>
      </c>
      <c r="C382" t="str">
        <f t="shared" si="80"/>
        <v>The Guardians</v>
      </c>
      <c r="D382">
        <v>358475</v>
      </c>
      <c r="E382" t="str">
        <f t="shared" si="81"/>
        <v>Grisham, John</v>
      </c>
      <c r="G382" t="str">
        <f t="shared" si="82"/>
        <v>370 p.</v>
      </c>
      <c r="H382" s="1">
        <v>19</v>
      </c>
      <c r="I382">
        <v>2019</v>
      </c>
      <c r="J382" t="str">
        <f t="shared" si="64"/>
        <v>2: Fiction</v>
      </c>
      <c r="L382" t="s">
        <v>2395</v>
      </c>
      <c r="M382" t="s">
        <v>28</v>
      </c>
      <c r="N382" t="s">
        <v>2404</v>
      </c>
      <c r="O382">
        <v>7</v>
      </c>
      <c r="P382" s="2">
        <v>43753</v>
      </c>
      <c r="Q382" s="1">
        <v>35</v>
      </c>
      <c r="R382" t="s">
        <v>2621</v>
      </c>
      <c r="S382">
        <v>1107215200</v>
      </c>
    </row>
    <row r="383" spans="1:19" x14ac:dyDescent="0.2">
      <c r="A383" t="str">
        <f t="shared" si="70"/>
        <v>Adult Fiction</v>
      </c>
      <c r="B383" t="str">
        <f t="shared" si="79"/>
        <v>NEW F GRISH</v>
      </c>
      <c r="C383" t="str">
        <f t="shared" si="80"/>
        <v>The Guardians</v>
      </c>
      <c r="D383">
        <v>358476</v>
      </c>
      <c r="E383" t="str">
        <f t="shared" si="81"/>
        <v>Grisham, John</v>
      </c>
      <c r="G383" t="str">
        <f t="shared" si="82"/>
        <v>370 p.</v>
      </c>
      <c r="H383" s="1">
        <v>19</v>
      </c>
      <c r="I383">
        <v>2019</v>
      </c>
      <c r="J383" t="str">
        <f t="shared" ref="J383:J446" si="83">"2: Fiction"</f>
        <v>2: Fiction</v>
      </c>
      <c r="L383" t="s">
        <v>2395</v>
      </c>
      <c r="M383" t="s">
        <v>28</v>
      </c>
      <c r="N383" t="s">
        <v>2404</v>
      </c>
      <c r="O383">
        <v>9</v>
      </c>
      <c r="P383" s="2">
        <v>43753</v>
      </c>
      <c r="Q383" s="1">
        <v>35</v>
      </c>
      <c r="R383" t="s">
        <v>2621</v>
      </c>
      <c r="S383">
        <v>1107215200</v>
      </c>
    </row>
    <row r="384" spans="1:19" x14ac:dyDescent="0.2">
      <c r="A384" t="str">
        <f t="shared" si="70"/>
        <v>Adult Fiction</v>
      </c>
      <c r="B384" t="str">
        <f t="shared" si="79"/>
        <v>NEW F GRISH</v>
      </c>
      <c r="C384" t="str">
        <f t="shared" si="80"/>
        <v>The Guardians</v>
      </c>
      <c r="D384">
        <v>358477</v>
      </c>
      <c r="E384" t="str">
        <f t="shared" si="81"/>
        <v>Grisham, John</v>
      </c>
      <c r="G384" t="str">
        <f t="shared" si="82"/>
        <v>370 p.</v>
      </c>
      <c r="H384" s="1">
        <v>19</v>
      </c>
      <c r="I384">
        <v>2019</v>
      </c>
      <c r="J384" t="str">
        <f t="shared" si="83"/>
        <v>2: Fiction</v>
      </c>
      <c r="L384" t="s">
        <v>2395</v>
      </c>
      <c r="M384" t="s">
        <v>28</v>
      </c>
      <c r="N384" t="s">
        <v>2404</v>
      </c>
      <c r="O384">
        <v>5</v>
      </c>
      <c r="P384" s="2">
        <v>43753</v>
      </c>
      <c r="Q384" s="1">
        <v>35</v>
      </c>
      <c r="R384" t="s">
        <v>2621</v>
      </c>
      <c r="S384">
        <v>1107215200</v>
      </c>
    </row>
    <row r="385" spans="1:19" x14ac:dyDescent="0.2">
      <c r="A385" t="str">
        <f t="shared" si="70"/>
        <v>Adult Fiction</v>
      </c>
      <c r="B385" t="str">
        <f t="shared" si="79"/>
        <v>NEW F GRISH</v>
      </c>
      <c r="C385" t="str">
        <f t="shared" si="80"/>
        <v>The Guardians</v>
      </c>
      <c r="D385">
        <v>358478</v>
      </c>
      <c r="E385" t="str">
        <f t="shared" si="81"/>
        <v>Grisham, John</v>
      </c>
      <c r="G385" t="str">
        <f t="shared" si="82"/>
        <v>370 p.</v>
      </c>
      <c r="H385" s="1">
        <v>19</v>
      </c>
      <c r="I385">
        <v>2019</v>
      </c>
      <c r="J385" t="str">
        <f t="shared" si="83"/>
        <v>2: Fiction</v>
      </c>
      <c r="L385" t="s">
        <v>2395</v>
      </c>
      <c r="M385" t="s">
        <v>28</v>
      </c>
      <c r="N385" t="s">
        <v>2404</v>
      </c>
      <c r="O385">
        <v>9</v>
      </c>
      <c r="P385" s="2">
        <v>43753</v>
      </c>
      <c r="Q385" s="1">
        <v>35</v>
      </c>
      <c r="R385" t="s">
        <v>2621</v>
      </c>
      <c r="S385">
        <v>1107215200</v>
      </c>
    </row>
    <row r="386" spans="1:19" x14ac:dyDescent="0.2">
      <c r="A386" t="str">
        <f t="shared" si="70"/>
        <v>Adult Fiction</v>
      </c>
      <c r="B386" t="str">
        <f t="shared" si="79"/>
        <v>NEW F GRISH</v>
      </c>
      <c r="C386" t="str">
        <f t="shared" si="80"/>
        <v>The Guardians</v>
      </c>
      <c r="D386">
        <v>358479</v>
      </c>
      <c r="E386" t="str">
        <f t="shared" si="81"/>
        <v>Grisham, John</v>
      </c>
      <c r="G386" t="str">
        <f t="shared" si="82"/>
        <v>370 p.</v>
      </c>
      <c r="H386" s="1">
        <v>19</v>
      </c>
      <c r="I386">
        <v>2019</v>
      </c>
      <c r="J386" t="str">
        <f t="shared" si="83"/>
        <v>2: Fiction</v>
      </c>
      <c r="L386" t="s">
        <v>2395</v>
      </c>
      <c r="M386" t="s">
        <v>28</v>
      </c>
      <c r="N386" t="s">
        <v>2404</v>
      </c>
      <c r="O386">
        <v>6</v>
      </c>
      <c r="P386" s="2">
        <v>43753</v>
      </c>
      <c r="Q386" s="1">
        <v>35</v>
      </c>
      <c r="R386" t="s">
        <v>2621</v>
      </c>
      <c r="S386">
        <v>1107215200</v>
      </c>
    </row>
    <row r="387" spans="1:19" x14ac:dyDescent="0.2">
      <c r="A387" t="str">
        <f t="shared" si="70"/>
        <v>Adult Fiction</v>
      </c>
      <c r="B387" t="str">
        <f t="shared" si="79"/>
        <v>NEW F GRISH</v>
      </c>
      <c r="C387" t="str">
        <f t="shared" si="80"/>
        <v>The Guardians</v>
      </c>
      <c r="D387">
        <v>358480</v>
      </c>
      <c r="E387" t="str">
        <f t="shared" si="81"/>
        <v>Grisham, John</v>
      </c>
      <c r="G387" t="str">
        <f t="shared" si="82"/>
        <v>370 p.</v>
      </c>
      <c r="H387" s="1">
        <v>19</v>
      </c>
      <c r="I387">
        <v>2019</v>
      </c>
      <c r="J387" t="str">
        <f t="shared" si="83"/>
        <v>2: Fiction</v>
      </c>
      <c r="L387" t="s">
        <v>2395</v>
      </c>
      <c r="M387" t="s">
        <v>28</v>
      </c>
      <c r="N387" t="s">
        <v>2404</v>
      </c>
      <c r="O387">
        <v>9</v>
      </c>
      <c r="P387" s="2">
        <v>43753</v>
      </c>
      <c r="Q387" s="1">
        <v>35</v>
      </c>
      <c r="R387" t="s">
        <v>2621</v>
      </c>
      <c r="S387">
        <v>1107215200</v>
      </c>
    </row>
    <row r="388" spans="1:19" x14ac:dyDescent="0.2">
      <c r="A388" t="str">
        <f t="shared" si="70"/>
        <v>Adult Fiction</v>
      </c>
      <c r="B388" t="str">
        <f t="shared" si="79"/>
        <v>NEW F GRISH</v>
      </c>
      <c r="C388" t="str">
        <f t="shared" si="80"/>
        <v>The Guardians</v>
      </c>
      <c r="D388">
        <v>358481</v>
      </c>
      <c r="E388" t="str">
        <f t="shared" si="81"/>
        <v>Grisham, John</v>
      </c>
      <c r="G388" t="str">
        <f t="shared" si="82"/>
        <v>370 p.</v>
      </c>
      <c r="H388" s="1">
        <v>19</v>
      </c>
      <c r="I388">
        <v>2019</v>
      </c>
      <c r="J388" t="str">
        <f t="shared" si="83"/>
        <v>2: Fiction</v>
      </c>
      <c r="L388" t="s">
        <v>2403</v>
      </c>
      <c r="M388" t="s">
        <v>28</v>
      </c>
      <c r="N388" t="s">
        <v>2404</v>
      </c>
      <c r="O388">
        <v>6</v>
      </c>
      <c r="P388" s="2">
        <v>43753</v>
      </c>
      <c r="Q388" s="1">
        <v>35</v>
      </c>
      <c r="R388" t="s">
        <v>2621</v>
      </c>
      <c r="S388">
        <v>1107215200</v>
      </c>
    </row>
    <row r="389" spans="1:19" x14ac:dyDescent="0.2">
      <c r="A389" t="str">
        <f t="shared" si="70"/>
        <v>Adult Fiction</v>
      </c>
      <c r="B389" t="str">
        <f t="shared" si="79"/>
        <v>NEW F GRISH</v>
      </c>
      <c r="C389" t="str">
        <f t="shared" si="80"/>
        <v>The Guardians</v>
      </c>
      <c r="D389">
        <v>358482</v>
      </c>
      <c r="E389" t="str">
        <f t="shared" si="81"/>
        <v>Grisham, John</v>
      </c>
      <c r="G389" t="str">
        <f t="shared" si="82"/>
        <v>370 p.</v>
      </c>
      <c r="H389" s="1">
        <v>19</v>
      </c>
      <c r="I389">
        <v>2019</v>
      </c>
      <c r="J389" t="str">
        <f t="shared" si="83"/>
        <v>2: Fiction</v>
      </c>
      <c r="L389" t="s">
        <v>2395</v>
      </c>
      <c r="M389" t="s">
        <v>28</v>
      </c>
      <c r="N389" t="s">
        <v>2404</v>
      </c>
      <c r="O389">
        <v>9</v>
      </c>
      <c r="P389" s="2">
        <v>43753</v>
      </c>
      <c r="Q389" s="1">
        <v>35</v>
      </c>
      <c r="R389" t="s">
        <v>2621</v>
      </c>
      <c r="S389">
        <v>1107215200</v>
      </c>
    </row>
    <row r="390" spans="1:19" x14ac:dyDescent="0.2">
      <c r="A390" t="str">
        <f t="shared" si="70"/>
        <v>Adult Fiction</v>
      </c>
      <c r="B390" t="str">
        <f t="shared" si="79"/>
        <v>NEW F GRISH</v>
      </c>
      <c r="C390" t="str">
        <f t="shared" si="80"/>
        <v>The Guardians</v>
      </c>
      <c r="D390">
        <v>358483</v>
      </c>
      <c r="E390" t="str">
        <f t="shared" si="81"/>
        <v>Grisham, John</v>
      </c>
      <c r="G390" t="str">
        <f t="shared" si="82"/>
        <v>370 p.</v>
      </c>
      <c r="H390" s="1">
        <v>19</v>
      </c>
      <c r="I390">
        <v>2019</v>
      </c>
      <c r="J390" t="str">
        <f t="shared" si="83"/>
        <v>2: Fiction</v>
      </c>
      <c r="L390" t="s">
        <v>2395</v>
      </c>
      <c r="M390" t="s">
        <v>28</v>
      </c>
      <c r="N390" t="s">
        <v>2396</v>
      </c>
      <c r="O390">
        <v>5</v>
      </c>
      <c r="P390" s="2">
        <v>43753</v>
      </c>
      <c r="Q390" s="1">
        <v>35</v>
      </c>
      <c r="R390" t="s">
        <v>2621</v>
      </c>
      <c r="S390">
        <v>1107215200</v>
      </c>
    </row>
    <row r="391" spans="1:19" x14ac:dyDescent="0.2">
      <c r="A391" t="str">
        <f t="shared" ref="A391:A454" si="84">"Adult Fiction"</f>
        <v>Adult Fiction</v>
      </c>
      <c r="B391" t="str">
        <f t="shared" si="79"/>
        <v>NEW F GRISH</v>
      </c>
      <c r="C391" t="str">
        <f t="shared" si="80"/>
        <v>The Guardians</v>
      </c>
      <c r="D391">
        <v>358484</v>
      </c>
      <c r="E391" t="str">
        <f t="shared" si="81"/>
        <v>Grisham, John</v>
      </c>
      <c r="G391" t="str">
        <f t="shared" si="82"/>
        <v>370 p.</v>
      </c>
      <c r="H391" s="1">
        <v>19</v>
      </c>
      <c r="I391">
        <v>2019</v>
      </c>
      <c r="J391" t="str">
        <f t="shared" si="83"/>
        <v>2: Fiction</v>
      </c>
      <c r="L391" t="s">
        <v>2403</v>
      </c>
      <c r="M391" t="s">
        <v>28</v>
      </c>
      <c r="N391" t="s">
        <v>2404</v>
      </c>
      <c r="O391">
        <v>7</v>
      </c>
      <c r="P391" s="2">
        <v>43753</v>
      </c>
      <c r="Q391" s="1">
        <v>35</v>
      </c>
      <c r="R391" t="s">
        <v>2621</v>
      </c>
      <c r="S391">
        <v>1107215200</v>
      </c>
    </row>
    <row r="392" spans="1:19" x14ac:dyDescent="0.2">
      <c r="A392" t="str">
        <f t="shared" si="84"/>
        <v>Adult Fiction</v>
      </c>
      <c r="B392" t="str">
        <f t="shared" si="79"/>
        <v>NEW F GRISH</v>
      </c>
      <c r="C392" t="str">
        <f t="shared" si="80"/>
        <v>The Guardians</v>
      </c>
      <c r="D392">
        <v>358485</v>
      </c>
      <c r="E392" t="str">
        <f t="shared" si="81"/>
        <v>Grisham, John</v>
      </c>
      <c r="G392" t="str">
        <f t="shared" si="82"/>
        <v>370 p.</v>
      </c>
      <c r="H392" s="1">
        <v>19</v>
      </c>
      <c r="I392">
        <v>2019</v>
      </c>
      <c r="J392" t="str">
        <f t="shared" si="83"/>
        <v>2: Fiction</v>
      </c>
      <c r="L392" t="s">
        <v>2395</v>
      </c>
      <c r="M392" t="s">
        <v>28</v>
      </c>
      <c r="N392" t="s">
        <v>2404</v>
      </c>
      <c r="O392">
        <v>8</v>
      </c>
      <c r="P392" s="2">
        <v>43753</v>
      </c>
      <c r="Q392" s="1">
        <v>35</v>
      </c>
      <c r="R392" t="s">
        <v>2621</v>
      </c>
      <c r="S392">
        <v>1107215200</v>
      </c>
    </row>
    <row r="393" spans="1:19" x14ac:dyDescent="0.2">
      <c r="A393" t="str">
        <f t="shared" si="84"/>
        <v>Adult Fiction</v>
      </c>
      <c r="B393" t="str">
        <f t="shared" si="79"/>
        <v>NEW F GRISH</v>
      </c>
      <c r="C393" t="str">
        <f t="shared" si="80"/>
        <v>The Guardians</v>
      </c>
      <c r="D393">
        <v>358486</v>
      </c>
      <c r="E393" t="str">
        <f t="shared" si="81"/>
        <v>Grisham, John</v>
      </c>
      <c r="G393" t="str">
        <f t="shared" si="82"/>
        <v>370 p.</v>
      </c>
      <c r="H393" s="1">
        <v>19</v>
      </c>
      <c r="I393">
        <v>2019</v>
      </c>
      <c r="J393" t="str">
        <f t="shared" si="83"/>
        <v>2: Fiction</v>
      </c>
      <c r="L393" t="s">
        <v>2395</v>
      </c>
      <c r="M393" t="s">
        <v>28</v>
      </c>
      <c r="N393" t="s">
        <v>2404</v>
      </c>
      <c r="O393">
        <v>7</v>
      </c>
      <c r="P393" s="2">
        <v>43753</v>
      </c>
      <c r="Q393" s="1">
        <v>35</v>
      </c>
      <c r="R393" t="s">
        <v>2621</v>
      </c>
      <c r="S393">
        <v>1107215200</v>
      </c>
    </row>
    <row r="394" spans="1:19" x14ac:dyDescent="0.2">
      <c r="A394" t="str">
        <f t="shared" si="84"/>
        <v>Adult Fiction</v>
      </c>
      <c r="B394" t="str">
        <f t="shared" si="79"/>
        <v>NEW F GRISH</v>
      </c>
      <c r="C394" t="str">
        <f t="shared" si="80"/>
        <v>The Guardians</v>
      </c>
      <c r="D394">
        <v>358487</v>
      </c>
      <c r="E394" t="str">
        <f t="shared" si="81"/>
        <v>Grisham, John</v>
      </c>
      <c r="G394" t="str">
        <f t="shared" si="82"/>
        <v>370 p.</v>
      </c>
      <c r="H394" s="1">
        <v>19</v>
      </c>
      <c r="I394">
        <v>2019</v>
      </c>
      <c r="J394" t="str">
        <f t="shared" si="83"/>
        <v>2: Fiction</v>
      </c>
      <c r="L394" t="s">
        <v>2395</v>
      </c>
      <c r="M394" t="s">
        <v>28</v>
      </c>
      <c r="N394" t="s">
        <v>2404</v>
      </c>
      <c r="O394">
        <v>8</v>
      </c>
      <c r="P394" s="2">
        <v>43753</v>
      </c>
      <c r="Q394" s="1">
        <v>35</v>
      </c>
      <c r="R394" t="s">
        <v>2621</v>
      </c>
      <c r="S394">
        <v>1107215200</v>
      </c>
    </row>
    <row r="395" spans="1:19" x14ac:dyDescent="0.2">
      <c r="A395" t="str">
        <f t="shared" si="84"/>
        <v>Adult Fiction</v>
      </c>
      <c r="B395" t="str">
        <f t="shared" si="79"/>
        <v>NEW F GRISH</v>
      </c>
      <c r="C395" t="str">
        <f t="shared" si="80"/>
        <v>The Guardians</v>
      </c>
      <c r="D395">
        <v>358488</v>
      </c>
      <c r="E395" t="str">
        <f t="shared" si="81"/>
        <v>Grisham, John</v>
      </c>
      <c r="G395" t="str">
        <f t="shared" si="82"/>
        <v>370 p.</v>
      </c>
      <c r="H395" s="1">
        <v>19</v>
      </c>
      <c r="I395">
        <v>2019</v>
      </c>
      <c r="J395" t="str">
        <f t="shared" si="83"/>
        <v>2: Fiction</v>
      </c>
      <c r="L395" t="s">
        <v>2395</v>
      </c>
      <c r="M395" t="s">
        <v>28</v>
      </c>
      <c r="N395" t="s">
        <v>2404</v>
      </c>
      <c r="O395">
        <v>6</v>
      </c>
      <c r="P395" s="2">
        <v>43753</v>
      </c>
      <c r="Q395" s="1">
        <v>35</v>
      </c>
      <c r="R395" t="s">
        <v>2621</v>
      </c>
      <c r="S395">
        <v>1107215200</v>
      </c>
    </row>
    <row r="396" spans="1:19" x14ac:dyDescent="0.2">
      <c r="A396" t="str">
        <f t="shared" si="84"/>
        <v>Adult Fiction</v>
      </c>
      <c r="B396" t="str">
        <f t="shared" si="79"/>
        <v>NEW F GRISH</v>
      </c>
      <c r="C396" t="str">
        <f t="shared" si="80"/>
        <v>The Guardians</v>
      </c>
      <c r="D396">
        <v>358489</v>
      </c>
      <c r="E396" t="str">
        <f t="shared" si="81"/>
        <v>Grisham, John</v>
      </c>
      <c r="G396" t="str">
        <f t="shared" si="82"/>
        <v>370 p.</v>
      </c>
      <c r="H396" s="1">
        <v>19</v>
      </c>
      <c r="I396">
        <v>2019</v>
      </c>
      <c r="J396" t="str">
        <f t="shared" si="83"/>
        <v>2: Fiction</v>
      </c>
      <c r="L396" t="s">
        <v>2403</v>
      </c>
      <c r="M396" t="s">
        <v>28</v>
      </c>
      <c r="N396" t="s">
        <v>2404</v>
      </c>
      <c r="O396">
        <v>8</v>
      </c>
      <c r="P396" s="2">
        <v>43753</v>
      </c>
      <c r="Q396" s="1">
        <v>35</v>
      </c>
      <c r="R396" t="s">
        <v>2621</v>
      </c>
      <c r="S396">
        <v>1107215200</v>
      </c>
    </row>
    <row r="397" spans="1:19" x14ac:dyDescent="0.2">
      <c r="A397" t="str">
        <f t="shared" si="84"/>
        <v>Adult Fiction</v>
      </c>
      <c r="B397" t="str">
        <f t="shared" si="79"/>
        <v>NEW F GRISH</v>
      </c>
      <c r="C397" t="str">
        <f>"The Reckoning"</f>
        <v>The Reckoning</v>
      </c>
      <c r="D397">
        <v>350737</v>
      </c>
      <c r="E397" t="str">
        <f t="shared" si="81"/>
        <v>Grisham, John</v>
      </c>
      <c r="G397" t="str">
        <f>"417 p."</f>
        <v>417 p.</v>
      </c>
      <c r="H397" s="1">
        <v>18</v>
      </c>
      <c r="I397">
        <v>2018</v>
      </c>
      <c r="J397" t="str">
        <f t="shared" si="83"/>
        <v>2: Fiction</v>
      </c>
      <c r="L397" t="s">
        <v>2403</v>
      </c>
      <c r="M397" t="s">
        <v>28</v>
      </c>
      <c r="N397" t="s">
        <v>2404</v>
      </c>
      <c r="O397">
        <v>21</v>
      </c>
      <c r="P397" s="2">
        <v>43395</v>
      </c>
      <c r="Q397" s="1">
        <v>35</v>
      </c>
      <c r="R397" t="s">
        <v>2622</v>
      </c>
      <c r="S397">
        <v>1039905624</v>
      </c>
    </row>
    <row r="398" spans="1:19" x14ac:dyDescent="0.2">
      <c r="A398" t="str">
        <f t="shared" si="84"/>
        <v>Adult Fiction</v>
      </c>
      <c r="B398" t="str">
        <f t="shared" si="79"/>
        <v>NEW F GRISH</v>
      </c>
      <c r="C398" t="str">
        <f>"The Reckoning"</f>
        <v>The Reckoning</v>
      </c>
      <c r="D398">
        <v>350741</v>
      </c>
      <c r="E398" t="str">
        <f t="shared" si="81"/>
        <v>Grisham, John</v>
      </c>
      <c r="G398" t="str">
        <f>"417 p."</f>
        <v>417 p.</v>
      </c>
      <c r="H398" s="1">
        <v>18</v>
      </c>
      <c r="I398">
        <v>2018</v>
      </c>
      <c r="J398" t="str">
        <f t="shared" si="83"/>
        <v>2: Fiction</v>
      </c>
      <c r="L398" t="s">
        <v>2403</v>
      </c>
      <c r="M398" t="s">
        <v>28</v>
      </c>
      <c r="N398" t="s">
        <v>2404</v>
      </c>
      <c r="O398">
        <v>25</v>
      </c>
      <c r="P398" s="2">
        <v>43395</v>
      </c>
      <c r="Q398" s="1">
        <v>35</v>
      </c>
      <c r="R398" t="s">
        <v>2622</v>
      </c>
      <c r="S398">
        <v>1039905624</v>
      </c>
    </row>
    <row r="399" spans="1:19" x14ac:dyDescent="0.2">
      <c r="A399" t="str">
        <f t="shared" si="84"/>
        <v>Adult Fiction</v>
      </c>
      <c r="B399" t="str">
        <f>"NEW F GRITT"</f>
        <v>NEW F GRITT</v>
      </c>
      <c r="C399" t="s">
        <v>2623</v>
      </c>
      <c r="D399">
        <v>359338</v>
      </c>
      <c r="E399" t="str">
        <f>"Gritton, JP,"</f>
        <v>Gritton, JP,</v>
      </c>
      <c r="G399" t="str">
        <f>"236 pages, 22 cm"</f>
        <v>236 pages, 22 cm</v>
      </c>
      <c r="H399" s="1">
        <v>19</v>
      </c>
      <c r="I399">
        <v>2019</v>
      </c>
      <c r="J399" t="str">
        <f t="shared" si="83"/>
        <v>2: Fiction</v>
      </c>
      <c r="L399" t="s">
        <v>2403</v>
      </c>
      <c r="M399" t="s">
        <v>28</v>
      </c>
      <c r="N399" t="s">
        <v>2396</v>
      </c>
      <c r="O399">
        <v>5</v>
      </c>
      <c r="P399" s="2">
        <v>43788</v>
      </c>
      <c r="Q399" s="1">
        <v>21</v>
      </c>
      <c r="R399" t="s">
        <v>2624</v>
      </c>
      <c r="S399">
        <v>1088912810</v>
      </c>
    </row>
    <row r="400" spans="1:19" x14ac:dyDescent="0.2">
      <c r="A400" t="str">
        <f t="shared" si="84"/>
        <v>Adult Fiction</v>
      </c>
      <c r="B400" t="str">
        <f>"NEW F GUILL"</f>
        <v>NEW F GUILL</v>
      </c>
      <c r="C400" t="str">
        <f>"Royal holiday"</f>
        <v>Royal holiday</v>
      </c>
      <c r="D400">
        <v>358345</v>
      </c>
      <c r="E400" t="str">
        <f>"Guillory, Jasmine"</f>
        <v>Guillory, Jasmine</v>
      </c>
      <c r="G400" t="str">
        <f>"viii, 295 pages, 22 cm"</f>
        <v>viii, 295 pages, 22 cm</v>
      </c>
      <c r="H400" s="1">
        <v>19</v>
      </c>
      <c r="I400">
        <v>2019</v>
      </c>
      <c r="J400" t="str">
        <f t="shared" si="83"/>
        <v>2: Fiction</v>
      </c>
      <c r="L400" t="s">
        <v>2395</v>
      </c>
      <c r="M400" t="s">
        <v>28</v>
      </c>
      <c r="N400" t="s">
        <v>2396</v>
      </c>
      <c r="O400">
        <v>5</v>
      </c>
      <c r="P400" s="2">
        <v>43749</v>
      </c>
      <c r="Q400" s="1">
        <v>25</v>
      </c>
      <c r="R400" t="s">
        <v>2625</v>
      </c>
      <c r="S400">
        <v>1089265072</v>
      </c>
    </row>
    <row r="401" spans="1:19" x14ac:dyDescent="0.2">
      <c r="A401" t="str">
        <f t="shared" si="84"/>
        <v>Adult Fiction</v>
      </c>
      <c r="B401" t="str">
        <f>"NEW F GUILL"</f>
        <v>NEW F GUILL</v>
      </c>
      <c r="C401" t="str">
        <f>"Royal holiday"</f>
        <v>Royal holiday</v>
      </c>
      <c r="D401">
        <v>358346</v>
      </c>
      <c r="E401" t="str">
        <f>"Guillory, Jasmine"</f>
        <v>Guillory, Jasmine</v>
      </c>
      <c r="G401" t="str">
        <f>"viii, 295 pages, 22 cm"</f>
        <v>viii, 295 pages, 22 cm</v>
      </c>
      <c r="H401" s="1">
        <v>19</v>
      </c>
      <c r="I401">
        <v>2019</v>
      </c>
      <c r="J401" t="str">
        <f t="shared" si="83"/>
        <v>2: Fiction</v>
      </c>
      <c r="L401" t="s">
        <v>2395</v>
      </c>
      <c r="M401" t="s">
        <v>28</v>
      </c>
      <c r="N401" t="s">
        <v>2396</v>
      </c>
      <c r="O401">
        <v>6</v>
      </c>
      <c r="P401" s="2">
        <v>43749</v>
      </c>
      <c r="Q401" s="1">
        <v>25</v>
      </c>
      <c r="R401" t="s">
        <v>2625</v>
      </c>
      <c r="S401">
        <v>1089265072</v>
      </c>
    </row>
    <row r="402" spans="1:19" x14ac:dyDescent="0.2">
      <c r="A402" t="str">
        <f t="shared" si="84"/>
        <v>Adult Fiction</v>
      </c>
      <c r="B402" t="str">
        <f>"NEW F GUILL"</f>
        <v>NEW F GUILL</v>
      </c>
      <c r="C402" t="str">
        <f>"The wedding party"</f>
        <v>The wedding party</v>
      </c>
      <c r="D402">
        <v>356263</v>
      </c>
      <c r="E402" t="str">
        <f>"Guillory, Jasmine"</f>
        <v>Guillory, Jasmine</v>
      </c>
      <c r="G402" t="str">
        <f>"337 p."</f>
        <v>337 p.</v>
      </c>
      <c r="H402" s="1">
        <v>19</v>
      </c>
      <c r="I402">
        <v>2019</v>
      </c>
      <c r="J402" t="str">
        <f t="shared" si="83"/>
        <v>2: Fiction</v>
      </c>
      <c r="L402" t="s">
        <v>2395</v>
      </c>
      <c r="M402" t="s">
        <v>28</v>
      </c>
      <c r="N402" t="s">
        <v>2404</v>
      </c>
      <c r="O402">
        <v>10</v>
      </c>
      <c r="P402" s="2">
        <v>43661</v>
      </c>
      <c r="Q402" s="1">
        <v>20</v>
      </c>
      <c r="R402" t="s">
        <v>2626</v>
      </c>
      <c r="S402">
        <v>1078970334</v>
      </c>
    </row>
    <row r="403" spans="1:19" x14ac:dyDescent="0.2">
      <c r="A403" t="str">
        <f t="shared" si="84"/>
        <v>Adult Fiction</v>
      </c>
      <c r="B403" t="str">
        <f>"NEW F GUNDA"</f>
        <v>NEW F GUNDA</v>
      </c>
      <c r="C403" t="str">
        <f>"The liar"</f>
        <v>The liar</v>
      </c>
      <c r="D403">
        <v>357831</v>
      </c>
      <c r="E403" t="str">
        <f>"Gundar-Goshen, Ayelet,"</f>
        <v>Gundar-Goshen, Ayelet,</v>
      </c>
      <c r="G403" t="str">
        <f>"278 pages, 25 cm"</f>
        <v>278 pages, 25 cm</v>
      </c>
      <c r="H403" s="1">
        <v>19</v>
      </c>
      <c r="I403">
        <v>2019</v>
      </c>
      <c r="J403" t="str">
        <f t="shared" si="83"/>
        <v>2: Fiction</v>
      </c>
      <c r="L403" t="s">
        <v>2395</v>
      </c>
      <c r="M403" t="s">
        <v>28</v>
      </c>
      <c r="N403" t="s">
        <v>2404</v>
      </c>
      <c r="O403">
        <v>6</v>
      </c>
      <c r="P403" s="2">
        <v>43731</v>
      </c>
      <c r="Q403" s="1">
        <v>32</v>
      </c>
      <c r="R403" t="s">
        <v>2627</v>
      </c>
      <c r="S403">
        <v>1082249391</v>
      </c>
    </row>
    <row r="404" spans="1:19" x14ac:dyDescent="0.2">
      <c r="A404" t="str">
        <f t="shared" si="84"/>
        <v>Adult Fiction</v>
      </c>
      <c r="B404" t="str">
        <f>"NEW F HACKW"</f>
        <v>NEW F HACKW</v>
      </c>
      <c r="C404" t="str">
        <f>"The library of the unwritten"</f>
        <v>The library of the unwritten</v>
      </c>
      <c r="D404">
        <v>358143</v>
      </c>
      <c r="E404" t="str">
        <f>"Hackwith, A. J"</f>
        <v>Hackwith, A. J</v>
      </c>
      <c r="F404" t="str">
        <f>"Hell's Library series (1)"</f>
        <v>Hell's Library series (1)</v>
      </c>
      <c r="G404" t="str">
        <f>"pages cm"</f>
        <v>pages cm</v>
      </c>
      <c r="H404" s="1">
        <v>19</v>
      </c>
      <c r="I404">
        <v>2019</v>
      </c>
      <c r="J404" t="str">
        <f t="shared" si="83"/>
        <v>2: Fiction</v>
      </c>
      <c r="L404" t="s">
        <v>2395</v>
      </c>
      <c r="M404" t="s">
        <v>28</v>
      </c>
      <c r="N404" t="s">
        <v>2396</v>
      </c>
      <c r="O404">
        <v>3</v>
      </c>
      <c r="P404" s="2">
        <v>43740</v>
      </c>
      <c r="Q404" s="1">
        <v>21</v>
      </c>
      <c r="R404" t="s">
        <v>2628</v>
      </c>
      <c r="S404">
        <v>1082408592</v>
      </c>
    </row>
    <row r="405" spans="1:19" x14ac:dyDescent="0.2">
      <c r="A405" t="str">
        <f t="shared" si="84"/>
        <v>Adult Fiction</v>
      </c>
      <c r="B405" t="str">
        <f>"NEW F HADLE"</f>
        <v>NEW F HADLE</v>
      </c>
      <c r="C405" t="str">
        <f>"Late in the day: a novel"</f>
        <v>Late in the day: a novel</v>
      </c>
      <c r="D405">
        <v>360009</v>
      </c>
      <c r="E405" t="str">
        <f>"Hadley, Tessa"</f>
        <v>Hadley, Tessa</v>
      </c>
      <c r="G405" t="str">
        <f>"273 p., 24 cm"</f>
        <v>273 p., 24 cm</v>
      </c>
      <c r="H405" s="1">
        <v>19</v>
      </c>
      <c r="I405">
        <v>2019</v>
      </c>
      <c r="J405" t="str">
        <f t="shared" si="83"/>
        <v>2: Fiction</v>
      </c>
      <c r="L405" t="s">
        <v>2403</v>
      </c>
      <c r="M405" t="s">
        <v>28</v>
      </c>
      <c r="N405" t="s">
        <v>2415</v>
      </c>
      <c r="O405">
        <v>0</v>
      </c>
      <c r="P405" s="2">
        <v>43826</v>
      </c>
      <c r="Q405" s="1">
        <v>32</v>
      </c>
      <c r="R405" t="s">
        <v>2629</v>
      </c>
      <c r="S405">
        <v>1055572946</v>
      </c>
    </row>
    <row r="406" spans="1:19" x14ac:dyDescent="0.2">
      <c r="A406" t="str">
        <f t="shared" si="84"/>
        <v>Adult Fiction</v>
      </c>
      <c r="B406" t="str">
        <f>"NEW F HALE"</f>
        <v>NEW F HALE</v>
      </c>
      <c r="C406" t="str">
        <f>"Where the light falls: selected stories of Nancy Hale"</f>
        <v>Where the light falls: selected stories of Nancy Hale</v>
      </c>
      <c r="D406">
        <v>357833</v>
      </c>
      <c r="E406" t="str">
        <f>"Hale, Nancy,"</f>
        <v>Hale, Nancy,</v>
      </c>
      <c r="G406" t="str">
        <f>"384 p."</f>
        <v>384 p.</v>
      </c>
      <c r="H406" s="1">
        <v>19</v>
      </c>
      <c r="I406">
        <v>2019</v>
      </c>
      <c r="J406" t="str">
        <f t="shared" si="83"/>
        <v>2: Fiction</v>
      </c>
      <c r="L406" t="s">
        <v>2395</v>
      </c>
      <c r="M406" t="s">
        <v>28</v>
      </c>
      <c r="N406" t="s">
        <v>2396</v>
      </c>
      <c r="O406">
        <v>0</v>
      </c>
      <c r="P406" s="2">
        <v>43731</v>
      </c>
      <c r="Q406" s="1">
        <v>31</v>
      </c>
      <c r="R406" t="s">
        <v>2630</v>
      </c>
      <c r="S406">
        <v>1112372386</v>
      </c>
    </row>
    <row r="407" spans="1:19" x14ac:dyDescent="0.2">
      <c r="A407" t="str">
        <f t="shared" si="84"/>
        <v>Adult Fiction</v>
      </c>
      <c r="B407" t="str">
        <f>"NEW F HANNO"</f>
        <v>NEW F HANNO</v>
      </c>
      <c r="C407" t="str">
        <f>"Dark ambitions"</f>
        <v>Dark ambitions</v>
      </c>
      <c r="D407">
        <v>359653</v>
      </c>
      <c r="E407" t="str">
        <f>"Hannon, Irene"</f>
        <v>Hannon, Irene</v>
      </c>
      <c r="F407" t="str">
        <f>"Code of Honor series (3)"</f>
        <v>Code of Honor series (3)</v>
      </c>
      <c r="G407" t="str">
        <f>"367 pages, 23 cm"</f>
        <v>367 pages, 23 cm</v>
      </c>
      <c r="H407" s="1">
        <v>19</v>
      </c>
      <c r="I407">
        <v>2019</v>
      </c>
      <c r="J407" t="str">
        <f t="shared" si="83"/>
        <v>2: Fiction</v>
      </c>
      <c r="L407" t="s">
        <v>2403</v>
      </c>
      <c r="M407" t="s">
        <v>28</v>
      </c>
      <c r="N407" t="s">
        <v>2404</v>
      </c>
      <c r="O407">
        <v>2</v>
      </c>
      <c r="P407" s="2">
        <v>43804</v>
      </c>
      <c r="Q407" s="1">
        <v>21</v>
      </c>
      <c r="R407" t="s">
        <v>2631</v>
      </c>
      <c r="S407">
        <v>1088528169</v>
      </c>
    </row>
    <row r="408" spans="1:19" x14ac:dyDescent="0.2">
      <c r="A408" t="str">
        <f t="shared" si="84"/>
        <v>Adult Fiction</v>
      </c>
      <c r="B408" t="str">
        <f>"NEW F HARIT"</f>
        <v>NEW F HARIT</v>
      </c>
      <c r="C408" t="str">
        <f>"Celestial bodies: a novel"</f>
        <v>Celestial bodies: a novel</v>
      </c>
      <c r="D408">
        <v>359007</v>
      </c>
      <c r="E408" t="str">
        <f>"Alharthi, Jokha"</f>
        <v>Alharthi, Jokha</v>
      </c>
      <c r="G408" t="str">
        <f>"xi, 243 pages, 21 cm"</f>
        <v>xi, 243 pages, 21 cm</v>
      </c>
      <c r="H408" s="1">
        <v>19</v>
      </c>
      <c r="I408">
        <v>2019</v>
      </c>
      <c r="J408" t="str">
        <f t="shared" si="83"/>
        <v>2: Fiction</v>
      </c>
      <c r="L408" t="s">
        <v>2395</v>
      </c>
      <c r="M408" t="s">
        <v>28</v>
      </c>
      <c r="N408" t="s">
        <v>2396</v>
      </c>
      <c r="O408">
        <v>3</v>
      </c>
      <c r="P408" s="2">
        <v>43776</v>
      </c>
      <c r="Q408" s="1">
        <v>22</v>
      </c>
      <c r="R408" t="s">
        <v>2632</v>
      </c>
      <c r="S408">
        <v>1104862738</v>
      </c>
    </row>
    <row r="409" spans="1:19" x14ac:dyDescent="0.2">
      <c r="A409" t="str">
        <f t="shared" si="84"/>
        <v>Adult Fiction</v>
      </c>
      <c r="B409" t="str">
        <f>"NEW F HARME"</f>
        <v>NEW F HARME</v>
      </c>
      <c r="C409" t="str">
        <f>"The winemaker's wife"</f>
        <v>The winemaker's wife</v>
      </c>
      <c r="D409">
        <v>356944</v>
      </c>
      <c r="E409" t="str">
        <f>"Harmel, Kristin"</f>
        <v>Harmel, Kristin</v>
      </c>
      <c r="G409" t="str">
        <f>"389 pages, 24 cm"</f>
        <v>389 pages, 24 cm</v>
      </c>
      <c r="H409" s="1">
        <v>19</v>
      </c>
      <c r="I409">
        <v>2019</v>
      </c>
      <c r="J409" t="str">
        <f t="shared" si="83"/>
        <v>2: Fiction</v>
      </c>
      <c r="L409" t="s">
        <v>2403</v>
      </c>
      <c r="M409" t="s">
        <v>28</v>
      </c>
      <c r="N409" t="s">
        <v>2404</v>
      </c>
      <c r="O409">
        <v>13</v>
      </c>
      <c r="P409" s="2">
        <v>43696</v>
      </c>
      <c r="Q409" s="1">
        <v>33</v>
      </c>
      <c r="R409" t="s">
        <v>2633</v>
      </c>
      <c r="S409">
        <v>1056725450</v>
      </c>
    </row>
    <row r="410" spans="1:19" x14ac:dyDescent="0.2">
      <c r="A410" t="str">
        <f t="shared" si="84"/>
        <v>Adult Fiction</v>
      </c>
      <c r="B410" t="str">
        <f>"NEW F HARNE"</f>
        <v>NEW F HARNE</v>
      </c>
      <c r="C410" t="str">
        <f>"White elephant"</f>
        <v>White elephant</v>
      </c>
      <c r="D410">
        <v>359068</v>
      </c>
      <c r="E410" t="str">
        <f>"Harnetiaux, Trish"</f>
        <v>Harnetiaux, Trish</v>
      </c>
      <c r="G410" t="str">
        <f>"228 p., 22 cm"</f>
        <v>228 p., 22 cm</v>
      </c>
      <c r="H410" s="1">
        <v>19</v>
      </c>
      <c r="I410">
        <v>2019</v>
      </c>
      <c r="J410" t="str">
        <f t="shared" si="83"/>
        <v>2: Fiction</v>
      </c>
      <c r="L410" t="s">
        <v>2395</v>
      </c>
      <c r="M410" t="s">
        <v>28</v>
      </c>
      <c r="N410" t="s">
        <v>2404</v>
      </c>
      <c r="O410">
        <v>2</v>
      </c>
      <c r="P410" s="2">
        <v>43776</v>
      </c>
      <c r="Q410" s="1">
        <v>30</v>
      </c>
      <c r="R410" t="s">
        <v>2634</v>
      </c>
      <c r="S410">
        <v>1023607250</v>
      </c>
    </row>
    <row r="411" spans="1:19" x14ac:dyDescent="0.2">
      <c r="A411" t="str">
        <f t="shared" si="84"/>
        <v>Adult Fiction</v>
      </c>
      <c r="B411" t="str">
        <f>"NEW F HARPE"</f>
        <v>NEW F HARPE</v>
      </c>
      <c r="D411">
        <v>402553</v>
      </c>
      <c r="H411" s="1">
        <v>19</v>
      </c>
      <c r="J411" t="str">
        <f t="shared" si="83"/>
        <v>2: Fiction</v>
      </c>
      <c r="L411" t="s">
        <v>2395</v>
      </c>
      <c r="M411" t="s">
        <v>2495</v>
      </c>
      <c r="N411" t="s">
        <v>2495</v>
      </c>
      <c r="O411">
        <v>0</v>
      </c>
      <c r="P411" s="2">
        <v>43579</v>
      </c>
      <c r="Q411" s="1">
        <v>21</v>
      </c>
    </row>
    <row r="412" spans="1:19" x14ac:dyDescent="0.2">
      <c r="A412" t="str">
        <f t="shared" si="84"/>
        <v>Adult Fiction</v>
      </c>
      <c r="B412" t="str">
        <f>"NEW F HARRI"</f>
        <v>NEW F HARRI</v>
      </c>
      <c r="C412" t="str">
        <f>"A longer fall"</f>
        <v>A longer fall</v>
      </c>
      <c r="D412">
        <v>360393</v>
      </c>
      <c r="E412" t="str">
        <f>"Harris, Charlaine"</f>
        <v>Harris, Charlaine</v>
      </c>
      <c r="F412" t="str">
        <f>"Gunnie Rose series (2)"</f>
        <v>Gunnie Rose series (2)</v>
      </c>
      <c r="G412" t="str">
        <f>"291 pages, 24 cm, map"</f>
        <v>291 pages, 24 cm, map</v>
      </c>
      <c r="H412" s="1">
        <v>20</v>
      </c>
      <c r="I412">
        <v>2020</v>
      </c>
      <c r="J412" t="str">
        <f t="shared" si="83"/>
        <v>2: Fiction</v>
      </c>
      <c r="L412" t="s">
        <v>2403</v>
      </c>
      <c r="M412" t="s">
        <v>28</v>
      </c>
      <c r="N412" t="s">
        <v>2404</v>
      </c>
      <c r="O412">
        <v>1</v>
      </c>
      <c r="P412" s="2">
        <v>43851</v>
      </c>
      <c r="Q412" s="1">
        <v>32</v>
      </c>
      <c r="R412" t="s">
        <v>2635</v>
      </c>
      <c r="S412">
        <v>1104477902</v>
      </c>
    </row>
    <row r="413" spans="1:19" x14ac:dyDescent="0.2">
      <c r="A413" t="str">
        <f t="shared" si="84"/>
        <v>Adult Fiction</v>
      </c>
      <c r="B413" t="str">
        <f>"NEW F HARRI"</f>
        <v>NEW F HARRI</v>
      </c>
      <c r="C413" t="str">
        <f>"A longer fall"</f>
        <v>A longer fall</v>
      </c>
      <c r="D413">
        <v>360394</v>
      </c>
      <c r="E413" t="str">
        <f>"Harris, Charlaine"</f>
        <v>Harris, Charlaine</v>
      </c>
      <c r="F413" t="str">
        <f>"Gunnie Rose series (2)"</f>
        <v>Gunnie Rose series (2)</v>
      </c>
      <c r="G413" t="str">
        <f>"291 pages, 24 cm, map"</f>
        <v>291 pages, 24 cm, map</v>
      </c>
      <c r="H413" s="1">
        <v>20</v>
      </c>
      <c r="I413">
        <v>2020</v>
      </c>
      <c r="J413" t="str">
        <f t="shared" si="83"/>
        <v>2: Fiction</v>
      </c>
      <c r="L413" t="s">
        <v>2395</v>
      </c>
      <c r="M413" t="s">
        <v>28</v>
      </c>
      <c r="N413" t="s">
        <v>2404</v>
      </c>
      <c r="O413">
        <v>2</v>
      </c>
      <c r="P413" s="2">
        <v>43851</v>
      </c>
      <c r="Q413" s="1">
        <v>32</v>
      </c>
      <c r="R413" t="s">
        <v>2635</v>
      </c>
      <c r="S413">
        <v>1104477902</v>
      </c>
    </row>
    <row r="414" spans="1:19" x14ac:dyDescent="0.2">
      <c r="A414" t="str">
        <f t="shared" si="84"/>
        <v>Adult Fiction</v>
      </c>
      <c r="B414" t="str">
        <f>"NEW F HARRI"</f>
        <v>NEW F HARRI</v>
      </c>
      <c r="C414" t="str">
        <f>"A longer fall"</f>
        <v>A longer fall</v>
      </c>
      <c r="D414">
        <v>360395</v>
      </c>
      <c r="E414" t="str">
        <f>"Harris, Charlaine"</f>
        <v>Harris, Charlaine</v>
      </c>
      <c r="F414" t="str">
        <f>"Gunnie Rose series (2)"</f>
        <v>Gunnie Rose series (2)</v>
      </c>
      <c r="G414" t="str">
        <f>"291 pages, 24 cm, map"</f>
        <v>291 pages, 24 cm, map</v>
      </c>
      <c r="H414" s="1">
        <v>20</v>
      </c>
      <c r="I414">
        <v>2020</v>
      </c>
      <c r="J414" t="str">
        <f t="shared" si="83"/>
        <v>2: Fiction</v>
      </c>
      <c r="L414" t="s">
        <v>2395</v>
      </c>
      <c r="M414" t="s">
        <v>28</v>
      </c>
      <c r="N414" t="s">
        <v>2404</v>
      </c>
      <c r="O414">
        <v>2</v>
      </c>
      <c r="P414" s="2">
        <v>43851</v>
      </c>
      <c r="Q414" s="1">
        <v>32</v>
      </c>
      <c r="R414" t="s">
        <v>2635</v>
      </c>
      <c r="S414">
        <v>1104477902</v>
      </c>
    </row>
    <row r="415" spans="1:19" x14ac:dyDescent="0.2">
      <c r="A415" t="str">
        <f t="shared" si="84"/>
        <v>Adult Fiction</v>
      </c>
      <c r="B415" t="str">
        <f>"NEW F HARRI"</f>
        <v>NEW F HARRI</v>
      </c>
      <c r="C415" t="str">
        <f>"A longer fall"</f>
        <v>A longer fall</v>
      </c>
      <c r="D415">
        <v>360396</v>
      </c>
      <c r="E415" t="str">
        <f>"Harris, Charlaine"</f>
        <v>Harris, Charlaine</v>
      </c>
      <c r="F415" t="str">
        <f>"Gunnie Rose series (2)"</f>
        <v>Gunnie Rose series (2)</v>
      </c>
      <c r="G415" t="str">
        <f>"291 pages, 24 cm, map"</f>
        <v>291 pages, 24 cm, map</v>
      </c>
      <c r="H415" s="1">
        <v>20</v>
      </c>
      <c r="I415">
        <v>2020</v>
      </c>
      <c r="J415" t="str">
        <f t="shared" si="83"/>
        <v>2: Fiction</v>
      </c>
      <c r="L415" t="s">
        <v>2395</v>
      </c>
      <c r="M415" t="s">
        <v>28</v>
      </c>
      <c r="N415" t="str">
        <f>"Reserve Cart"</f>
        <v>Reserve Cart</v>
      </c>
      <c r="O415">
        <v>1</v>
      </c>
      <c r="P415" s="2">
        <v>43851</v>
      </c>
      <c r="Q415" s="1">
        <v>32</v>
      </c>
      <c r="R415" t="s">
        <v>2635</v>
      </c>
      <c r="S415">
        <v>1104477902</v>
      </c>
    </row>
    <row r="416" spans="1:19" x14ac:dyDescent="0.2">
      <c r="A416" t="str">
        <f t="shared" si="84"/>
        <v>Adult Fiction</v>
      </c>
      <c r="B416" t="str">
        <f>"NEW F HARRI"</f>
        <v>NEW F HARRI</v>
      </c>
      <c r="C416" t="str">
        <f>"The second sleep: a novel"</f>
        <v>The second sleep: a novel</v>
      </c>
      <c r="D416">
        <v>359331</v>
      </c>
      <c r="E416" t="str">
        <f>"Harris, Robert"</f>
        <v>Harris, Robert</v>
      </c>
      <c r="G416" t="str">
        <f>"pages ; cm"</f>
        <v>pages ; cm</v>
      </c>
      <c r="H416" s="1">
        <v>19</v>
      </c>
      <c r="I416">
        <v>2019</v>
      </c>
      <c r="J416" t="str">
        <f t="shared" si="83"/>
        <v>2: Fiction</v>
      </c>
      <c r="L416" t="s">
        <v>2395</v>
      </c>
      <c r="M416" t="s">
        <v>28</v>
      </c>
      <c r="N416" t="s">
        <v>2404</v>
      </c>
      <c r="O416">
        <v>4</v>
      </c>
      <c r="P416" s="2">
        <v>43788</v>
      </c>
      <c r="Q416" s="1">
        <v>32</v>
      </c>
      <c r="R416" t="s">
        <v>2636</v>
      </c>
      <c r="S416">
        <v>1088908754</v>
      </c>
    </row>
    <row r="417" spans="1:19" x14ac:dyDescent="0.2">
      <c r="A417" t="str">
        <f t="shared" si="84"/>
        <v>Adult Fiction</v>
      </c>
      <c r="B417" t="str">
        <f>"NEW F HARRO"</f>
        <v>NEW F HARRO</v>
      </c>
      <c r="C417" t="str">
        <f>"The ten thousand doors of January"</f>
        <v>The ten thousand doors of January</v>
      </c>
      <c r="D417">
        <v>357727</v>
      </c>
      <c r="E417" t="str">
        <f>"Harrow, Alix E"</f>
        <v>Harrow, Alix E</v>
      </c>
      <c r="G417" t="str">
        <f>"374 pages, 24 cm"</f>
        <v>374 pages, 24 cm</v>
      </c>
      <c r="H417" s="1">
        <v>19</v>
      </c>
      <c r="I417">
        <v>2019</v>
      </c>
      <c r="J417" t="str">
        <f t="shared" si="83"/>
        <v>2: Fiction</v>
      </c>
      <c r="L417" t="s">
        <v>2395</v>
      </c>
      <c r="M417" t="s">
        <v>28</v>
      </c>
      <c r="N417" t="s">
        <v>2404</v>
      </c>
      <c r="O417">
        <v>6</v>
      </c>
      <c r="P417" s="2">
        <v>43725</v>
      </c>
      <c r="Q417" s="1">
        <v>32</v>
      </c>
      <c r="R417" t="s">
        <v>2637</v>
      </c>
      <c r="S417">
        <v>1053903758</v>
      </c>
    </row>
    <row r="418" spans="1:19" x14ac:dyDescent="0.2">
      <c r="A418" t="str">
        <f t="shared" si="84"/>
        <v>Adult Fiction</v>
      </c>
      <c r="B418" t="str">
        <f>"NEW F HART"</f>
        <v>NEW F HART</v>
      </c>
      <c r="C418" t="str">
        <f>"The Warehouse"</f>
        <v>The Warehouse</v>
      </c>
      <c r="D418">
        <v>356963</v>
      </c>
      <c r="E418" t="str">
        <f>"Hart, Rob."</f>
        <v>Hart, Rob.</v>
      </c>
      <c r="G418" t="str">
        <f>"355 p."</f>
        <v>355 p.</v>
      </c>
      <c r="H418" s="1">
        <v>19</v>
      </c>
      <c r="I418">
        <v>2019</v>
      </c>
      <c r="J418" t="str">
        <f t="shared" si="83"/>
        <v>2: Fiction</v>
      </c>
      <c r="L418" t="s">
        <v>2395</v>
      </c>
      <c r="M418" t="s">
        <v>28</v>
      </c>
      <c r="N418" t="s">
        <v>2404</v>
      </c>
      <c r="O418">
        <v>8</v>
      </c>
      <c r="P418" s="2">
        <v>43696</v>
      </c>
      <c r="Q418" s="1">
        <v>32</v>
      </c>
      <c r="R418" t="s">
        <v>2638</v>
      </c>
      <c r="S418">
        <v>1111684791</v>
      </c>
    </row>
    <row r="419" spans="1:19" x14ac:dyDescent="0.2">
      <c r="A419" t="str">
        <f t="shared" si="84"/>
        <v>Adult Fiction</v>
      </c>
      <c r="B419" t="str">
        <f>"NEW F HASSI"</f>
        <v>NEW F HASSI</v>
      </c>
      <c r="C419" t="str">
        <f>"A pure heart: a novel"</f>
        <v>A pure heart: a novel</v>
      </c>
      <c r="D419">
        <v>356674</v>
      </c>
      <c r="E419" t="str">
        <f>"Hassib, Rajia"</f>
        <v>Hassib, Rajia</v>
      </c>
      <c r="G419" t="str">
        <f>"305 p. cm"</f>
        <v>305 p. cm</v>
      </c>
      <c r="H419" s="1">
        <v>19</v>
      </c>
      <c r="I419">
        <v>2019</v>
      </c>
      <c r="J419" t="str">
        <f t="shared" si="83"/>
        <v>2: Fiction</v>
      </c>
      <c r="L419" t="s">
        <v>2403</v>
      </c>
      <c r="M419" t="s">
        <v>28</v>
      </c>
      <c r="N419" t="s">
        <v>2404</v>
      </c>
      <c r="O419">
        <v>4</v>
      </c>
      <c r="P419" s="2">
        <v>43689</v>
      </c>
      <c r="Q419" s="1">
        <v>32</v>
      </c>
      <c r="R419" t="s">
        <v>2639</v>
      </c>
      <c r="S419">
        <v>1065918198</v>
      </c>
    </row>
    <row r="420" spans="1:19" x14ac:dyDescent="0.2">
      <c r="A420" t="str">
        <f t="shared" si="84"/>
        <v>Adult Fiction</v>
      </c>
      <c r="B420" t="str">
        <f>"NEW F HASSM"</f>
        <v>NEW F HASSM</v>
      </c>
      <c r="C420" t="str">
        <f>"Gods with a little g"</f>
        <v>Gods with a little g</v>
      </c>
      <c r="D420">
        <v>357287</v>
      </c>
      <c r="E420" t="str">
        <f>"Hassman, Tupelo,"</f>
        <v>Hassman, Tupelo,</v>
      </c>
      <c r="G420" t="str">
        <f>"356 pages, 22 cm"</f>
        <v>356 pages, 22 cm</v>
      </c>
      <c r="H420" s="1">
        <v>19</v>
      </c>
      <c r="I420">
        <v>2019</v>
      </c>
      <c r="J420" t="str">
        <f t="shared" si="83"/>
        <v>2: Fiction</v>
      </c>
      <c r="L420" t="s">
        <v>2395</v>
      </c>
      <c r="M420" t="s">
        <v>28</v>
      </c>
      <c r="N420" t="s">
        <v>2404</v>
      </c>
      <c r="O420">
        <v>3</v>
      </c>
      <c r="P420" s="2">
        <v>43711</v>
      </c>
      <c r="Q420" s="1">
        <v>32</v>
      </c>
      <c r="R420" t="s">
        <v>2640</v>
      </c>
      <c r="S420">
        <v>1053570865</v>
      </c>
    </row>
    <row r="421" spans="1:19" x14ac:dyDescent="0.2">
      <c r="A421" t="str">
        <f t="shared" si="84"/>
        <v>Adult Fiction</v>
      </c>
      <c r="B421" t="str">
        <f>"NEW F HAUTY"</f>
        <v>NEW F HAUTY</v>
      </c>
      <c r="C421" t="str">
        <f>"Deep state"</f>
        <v>Deep state</v>
      </c>
      <c r="D421">
        <v>360304</v>
      </c>
      <c r="E421" t="str">
        <f>"Hauty, Chris"</f>
        <v>Hauty, Chris</v>
      </c>
      <c r="G421" t="str">
        <f>"281 pages"</f>
        <v>281 pages</v>
      </c>
      <c r="H421" s="1">
        <v>19</v>
      </c>
      <c r="I421">
        <v>2020</v>
      </c>
      <c r="J421" t="str">
        <f t="shared" si="83"/>
        <v>2: Fiction</v>
      </c>
      <c r="L421" t="s">
        <v>2395</v>
      </c>
      <c r="M421" t="s">
        <v>28</v>
      </c>
      <c r="N421" t="s">
        <v>2404</v>
      </c>
      <c r="O421">
        <v>1</v>
      </c>
      <c r="P421" s="2">
        <v>43844</v>
      </c>
      <c r="Q421" s="1">
        <v>32</v>
      </c>
      <c r="R421" t="s">
        <v>2641</v>
      </c>
    </row>
    <row r="422" spans="1:19" x14ac:dyDescent="0.2">
      <c r="A422" t="str">
        <f t="shared" si="84"/>
        <v>Adult Fiction</v>
      </c>
      <c r="B422" t="str">
        <f>"NEW F HAYES"</f>
        <v>NEW F HAYES</v>
      </c>
      <c r="C422" t="str">
        <f>"The imaginary corpse"</f>
        <v>The imaginary corpse</v>
      </c>
      <c r="D422">
        <v>357651</v>
      </c>
      <c r="E422" t="str">
        <f>"Hayes, Tyler."</f>
        <v>Hayes, Tyler.</v>
      </c>
      <c r="G422" t="str">
        <f>"297 p."</f>
        <v>297 p.</v>
      </c>
      <c r="H422" s="1">
        <v>19</v>
      </c>
      <c r="I422">
        <v>2019</v>
      </c>
      <c r="J422" t="str">
        <f t="shared" si="83"/>
        <v>2: Fiction</v>
      </c>
      <c r="L422" t="s">
        <v>2395</v>
      </c>
      <c r="M422" t="s">
        <v>28</v>
      </c>
      <c r="N422" t="s">
        <v>2404</v>
      </c>
      <c r="O422">
        <v>2</v>
      </c>
      <c r="P422" s="2">
        <v>43725</v>
      </c>
      <c r="Q422" s="1">
        <v>18</v>
      </c>
      <c r="R422" t="s">
        <v>2642</v>
      </c>
    </row>
    <row r="423" spans="1:19" x14ac:dyDescent="0.2">
      <c r="A423" t="str">
        <f t="shared" si="84"/>
        <v>Adult Fiction</v>
      </c>
      <c r="B423" t="str">
        <f>"NEW F HERRO"</f>
        <v>NEW F HERRO</v>
      </c>
      <c r="C423" t="str">
        <f>"Stolen things: a novel"</f>
        <v>Stolen things: a novel</v>
      </c>
      <c r="D423">
        <v>356964</v>
      </c>
      <c r="E423" t="str">
        <f>"Herron, Rachael"</f>
        <v>Herron, Rachael</v>
      </c>
      <c r="G423" t="str">
        <f>"351 p."</f>
        <v>351 p.</v>
      </c>
      <c r="H423" s="1">
        <v>19</v>
      </c>
      <c r="I423">
        <v>2019</v>
      </c>
      <c r="J423" t="str">
        <f t="shared" si="83"/>
        <v>2: Fiction</v>
      </c>
      <c r="L423" t="s">
        <v>2395</v>
      </c>
      <c r="M423" t="s">
        <v>28</v>
      </c>
      <c r="N423" t="s">
        <v>2404</v>
      </c>
      <c r="O423">
        <v>9</v>
      </c>
      <c r="P423" s="2">
        <v>43696</v>
      </c>
      <c r="Q423" s="1">
        <v>31</v>
      </c>
      <c r="R423" t="s">
        <v>2643</v>
      </c>
      <c r="S423">
        <v>1056202798</v>
      </c>
    </row>
    <row r="424" spans="1:19" x14ac:dyDescent="0.2">
      <c r="A424" t="str">
        <f t="shared" si="84"/>
        <v>Adult Fiction</v>
      </c>
      <c r="B424" t="str">
        <f>"NEW F HESS"</f>
        <v>NEW F HESS</v>
      </c>
      <c r="C424" t="str">
        <f>"The German house: a novel"</f>
        <v>The German house: a novel</v>
      </c>
      <c r="D424">
        <v>359771</v>
      </c>
      <c r="E424" t="str">
        <f>"Hess, Annette"</f>
        <v>Hess, Annette</v>
      </c>
      <c r="G424" t="str">
        <f>"332 pages, 24 cm"</f>
        <v>332 pages, 24 cm</v>
      </c>
      <c r="H424" s="1">
        <v>19</v>
      </c>
      <c r="I424">
        <v>2019</v>
      </c>
      <c r="J424" t="str">
        <f t="shared" si="83"/>
        <v>2: Fiction</v>
      </c>
      <c r="L424" t="s">
        <v>2403</v>
      </c>
      <c r="M424" t="s">
        <v>28</v>
      </c>
      <c r="N424" t="s">
        <v>2404</v>
      </c>
      <c r="O424">
        <v>2</v>
      </c>
      <c r="P424" s="2">
        <v>43811</v>
      </c>
      <c r="Q424" s="1">
        <v>26.99</v>
      </c>
      <c r="R424" t="s">
        <v>2644</v>
      </c>
      <c r="S424">
        <v>1091692260</v>
      </c>
    </row>
    <row r="425" spans="1:19" x14ac:dyDescent="0.2">
      <c r="A425" t="str">
        <f t="shared" si="84"/>
        <v>Adult Fiction</v>
      </c>
      <c r="B425" t="str">
        <f>"NEW F HIBBE"</f>
        <v>NEW F HIBBE</v>
      </c>
      <c r="C425" t="str">
        <f>"Get a life, Chloe Brown: a novel"</f>
        <v>Get a life, Chloe Brown: a novel</v>
      </c>
      <c r="D425">
        <v>359148</v>
      </c>
      <c r="E425" t="str">
        <f>"Hibbert, Talia"</f>
        <v>Hibbert, Talia</v>
      </c>
      <c r="G425" t="str">
        <f>"viii, 369 p., 21 cm"</f>
        <v>viii, 369 p., 21 cm</v>
      </c>
      <c r="H425" s="1">
        <v>19</v>
      </c>
      <c r="I425">
        <v>2019</v>
      </c>
      <c r="J425" t="str">
        <f t="shared" si="83"/>
        <v>2: Fiction</v>
      </c>
      <c r="L425" t="s">
        <v>2403</v>
      </c>
      <c r="M425" t="s">
        <v>28</v>
      </c>
      <c r="N425" t="s">
        <v>2396</v>
      </c>
      <c r="O425">
        <v>4</v>
      </c>
      <c r="P425" s="2">
        <v>43781</v>
      </c>
      <c r="Q425" s="1">
        <v>21</v>
      </c>
      <c r="R425" t="s">
        <v>2645</v>
      </c>
      <c r="S425">
        <v>1112211941</v>
      </c>
    </row>
    <row r="426" spans="1:19" x14ac:dyDescent="0.2">
      <c r="A426" t="str">
        <f t="shared" si="84"/>
        <v>Adult Fiction</v>
      </c>
      <c r="B426" t="str">
        <f>"NEW F HIGGI"</f>
        <v>NEW F HIGGI</v>
      </c>
      <c r="C426" t="str">
        <f>"The First Lady and the rebel"</f>
        <v>The First Lady and the rebel</v>
      </c>
      <c r="D426">
        <v>358072</v>
      </c>
      <c r="E426" t="str">
        <f>"Higginbotham, Susan"</f>
        <v>Higginbotham, Susan</v>
      </c>
      <c r="G426" t="str">
        <f>"pages cm"</f>
        <v>pages cm</v>
      </c>
      <c r="H426" s="1">
        <v>19</v>
      </c>
      <c r="I426">
        <v>2019</v>
      </c>
      <c r="J426" t="str">
        <f t="shared" si="83"/>
        <v>2: Fiction</v>
      </c>
      <c r="L426" t="s">
        <v>2403</v>
      </c>
      <c r="M426" t="s">
        <v>28</v>
      </c>
      <c r="N426" t="s">
        <v>2404</v>
      </c>
      <c r="O426">
        <v>4</v>
      </c>
      <c r="P426" s="2">
        <v>43740</v>
      </c>
      <c r="Q426" s="1">
        <v>21</v>
      </c>
      <c r="R426" t="s">
        <v>2646</v>
      </c>
      <c r="S426">
        <v>1080246129</v>
      </c>
    </row>
    <row r="427" spans="1:19" x14ac:dyDescent="0.2">
      <c r="A427" t="str">
        <f t="shared" si="84"/>
        <v>Adult Fiction</v>
      </c>
      <c r="B427" t="str">
        <f t="shared" ref="B427:B433" si="85">"NEW F HILDE"</f>
        <v>NEW F HILDE</v>
      </c>
      <c r="C427" t="str">
        <f>"Summer of '69"</f>
        <v>Summer of '69</v>
      </c>
      <c r="D427">
        <v>355446</v>
      </c>
      <c r="E427" t="str">
        <f t="shared" ref="E427:E433" si="86">"Hilderbrand, Elin"</f>
        <v>Hilderbrand, Elin</v>
      </c>
      <c r="G427" t="str">
        <f>"418 p."</f>
        <v>418 p.</v>
      </c>
      <c r="H427" s="1">
        <v>19</v>
      </c>
      <c r="I427">
        <v>2019</v>
      </c>
      <c r="J427" t="str">
        <f t="shared" si="83"/>
        <v>2: Fiction</v>
      </c>
      <c r="L427" t="s">
        <v>2395</v>
      </c>
      <c r="M427" t="s">
        <v>28</v>
      </c>
      <c r="N427" t="s">
        <v>2404</v>
      </c>
      <c r="O427">
        <v>14</v>
      </c>
      <c r="P427" s="2">
        <v>43626</v>
      </c>
      <c r="Q427" s="1">
        <v>33</v>
      </c>
      <c r="R427" t="s">
        <v>2647</v>
      </c>
    </row>
    <row r="428" spans="1:19" x14ac:dyDescent="0.2">
      <c r="A428" t="str">
        <f t="shared" si="84"/>
        <v>Adult Fiction</v>
      </c>
      <c r="B428" t="str">
        <f t="shared" si="85"/>
        <v>NEW F HILDE</v>
      </c>
      <c r="C428" t="str">
        <f>"Summer of '69"</f>
        <v>Summer of '69</v>
      </c>
      <c r="D428">
        <v>355448</v>
      </c>
      <c r="E428" t="str">
        <f t="shared" si="86"/>
        <v>Hilderbrand, Elin</v>
      </c>
      <c r="G428" t="str">
        <f>"418 p."</f>
        <v>418 p.</v>
      </c>
      <c r="H428" s="1">
        <v>19</v>
      </c>
      <c r="I428">
        <v>2019</v>
      </c>
      <c r="J428" t="str">
        <f t="shared" si="83"/>
        <v>2: Fiction</v>
      </c>
      <c r="L428" t="s">
        <v>2403</v>
      </c>
      <c r="M428" t="s">
        <v>28</v>
      </c>
      <c r="N428" t="s">
        <v>2396</v>
      </c>
      <c r="O428">
        <v>13</v>
      </c>
      <c r="P428" s="2">
        <v>43626</v>
      </c>
      <c r="Q428" s="1">
        <v>33</v>
      </c>
      <c r="R428" t="s">
        <v>2647</v>
      </c>
    </row>
    <row r="429" spans="1:19" x14ac:dyDescent="0.2">
      <c r="A429" t="str">
        <f t="shared" si="84"/>
        <v>Adult Fiction</v>
      </c>
      <c r="B429" t="str">
        <f t="shared" si="85"/>
        <v>NEW F HILDE</v>
      </c>
      <c r="C429" t="str">
        <f>"What happens in paradise: a novel"</f>
        <v>What happens in paradise: a novel</v>
      </c>
      <c r="D429">
        <v>358255</v>
      </c>
      <c r="E429" t="str">
        <f t="shared" si="86"/>
        <v>Hilderbrand, Elin</v>
      </c>
      <c r="G429" t="str">
        <f>"vii, 323 pages, 25 cm"</f>
        <v>vii, 323 pages, 25 cm</v>
      </c>
      <c r="H429" s="1">
        <v>19</v>
      </c>
      <c r="I429">
        <v>2019</v>
      </c>
      <c r="J429" t="str">
        <f t="shared" si="83"/>
        <v>2: Fiction</v>
      </c>
      <c r="L429" t="s">
        <v>2395</v>
      </c>
      <c r="M429" t="s">
        <v>28</v>
      </c>
      <c r="N429" t="s">
        <v>2404</v>
      </c>
      <c r="O429">
        <v>7</v>
      </c>
      <c r="P429" s="2">
        <v>43745</v>
      </c>
      <c r="Q429" s="1">
        <v>33</v>
      </c>
      <c r="R429" t="s">
        <v>2648</v>
      </c>
      <c r="S429">
        <v>1085592358</v>
      </c>
    </row>
    <row r="430" spans="1:19" x14ac:dyDescent="0.2">
      <c r="A430" t="str">
        <f t="shared" si="84"/>
        <v>Adult Fiction</v>
      </c>
      <c r="B430" t="str">
        <f t="shared" si="85"/>
        <v>NEW F HILDE</v>
      </c>
      <c r="C430" t="str">
        <f>"What happens in paradise: a novel"</f>
        <v>What happens in paradise: a novel</v>
      </c>
      <c r="D430">
        <v>358256</v>
      </c>
      <c r="E430" t="str">
        <f t="shared" si="86"/>
        <v>Hilderbrand, Elin</v>
      </c>
      <c r="G430" t="str">
        <f>"vii, 323 pages, 25 cm"</f>
        <v>vii, 323 pages, 25 cm</v>
      </c>
      <c r="H430" s="1">
        <v>19</v>
      </c>
      <c r="I430">
        <v>2019</v>
      </c>
      <c r="J430" t="str">
        <f t="shared" si="83"/>
        <v>2: Fiction</v>
      </c>
      <c r="L430" t="s">
        <v>2395</v>
      </c>
      <c r="M430" t="s">
        <v>28</v>
      </c>
      <c r="N430" t="s">
        <v>2404</v>
      </c>
      <c r="O430">
        <v>8</v>
      </c>
      <c r="P430" s="2">
        <v>43745</v>
      </c>
      <c r="Q430" s="1">
        <v>33</v>
      </c>
      <c r="R430" t="s">
        <v>2648</v>
      </c>
      <c r="S430">
        <v>1085592358</v>
      </c>
    </row>
    <row r="431" spans="1:19" x14ac:dyDescent="0.2">
      <c r="A431" t="str">
        <f t="shared" si="84"/>
        <v>Adult Fiction</v>
      </c>
      <c r="B431" t="str">
        <f t="shared" si="85"/>
        <v>NEW F HILDE</v>
      </c>
      <c r="C431" t="str">
        <f>"What happens in paradise: a novel"</f>
        <v>What happens in paradise: a novel</v>
      </c>
      <c r="D431">
        <v>358257</v>
      </c>
      <c r="E431" t="str">
        <f t="shared" si="86"/>
        <v>Hilderbrand, Elin</v>
      </c>
      <c r="G431" t="str">
        <f>"vii, 323 pages, 25 cm"</f>
        <v>vii, 323 pages, 25 cm</v>
      </c>
      <c r="H431" s="1">
        <v>19</v>
      </c>
      <c r="I431">
        <v>2019</v>
      </c>
      <c r="J431" t="str">
        <f t="shared" si="83"/>
        <v>2: Fiction</v>
      </c>
      <c r="L431" t="s">
        <v>2403</v>
      </c>
      <c r="M431" t="s">
        <v>28</v>
      </c>
      <c r="N431" t="s">
        <v>2396</v>
      </c>
      <c r="O431">
        <v>9</v>
      </c>
      <c r="P431" s="2">
        <v>43745</v>
      </c>
      <c r="Q431" s="1">
        <v>33</v>
      </c>
      <c r="R431" t="s">
        <v>2648</v>
      </c>
      <c r="S431">
        <v>1085592358</v>
      </c>
    </row>
    <row r="432" spans="1:19" x14ac:dyDescent="0.2">
      <c r="A432" t="str">
        <f t="shared" si="84"/>
        <v>Adult Fiction</v>
      </c>
      <c r="B432" t="str">
        <f t="shared" si="85"/>
        <v>NEW F HILDE</v>
      </c>
      <c r="C432" t="str">
        <f>"What happens in paradise: a novel"</f>
        <v>What happens in paradise: a novel</v>
      </c>
      <c r="D432">
        <v>359065</v>
      </c>
      <c r="E432" t="str">
        <f t="shared" si="86"/>
        <v>Hilderbrand, Elin</v>
      </c>
      <c r="G432" t="str">
        <f>"vii, 323 pages, 25 cm"</f>
        <v>vii, 323 pages, 25 cm</v>
      </c>
      <c r="H432" s="1">
        <v>19</v>
      </c>
      <c r="I432">
        <v>2019</v>
      </c>
      <c r="J432" t="str">
        <f t="shared" si="83"/>
        <v>2: Fiction</v>
      </c>
      <c r="L432" t="s">
        <v>2395</v>
      </c>
      <c r="M432" t="s">
        <v>28</v>
      </c>
      <c r="N432" t="s">
        <v>2404</v>
      </c>
      <c r="O432">
        <v>6</v>
      </c>
      <c r="P432" s="2">
        <v>43776</v>
      </c>
      <c r="Q432" s="1">
        <v>33</v>
      </c>
      <c r="R432" t="s">
        <v>2648</v>
      </c>
      <c r="S432">
        <v>1085592358</v>
      </c>
    </row>
    <row r="433" spans="1:19" x14ac:dyDescent="0.2">
      <c r="A433" t="str">
        <f t="shared" si="84"/>
        <v>Adult Fiction</v>
      </c>
      <c r="B433" t="str">
        <f t="shared" si="85"/>
        <v>NEW F HILDE</v>
      </c>
      <c r="C433" t="str">
        <f>"What happens in paradise: a novel"</f>
        <v>What happens in paradise: a novel</v>
      </c>
      <c r="D433">
        <v>359066</v>
      </c>
      <c r="E433" t="str">
        <f t="shared" si="86"/>
        <v>Hilderbrand, Elin</v>
      </c>
      <c r="G433" t="str">
        <f>"vii, 323 pages, 25 cm"</f>
        <v>vii, 323 pages, 25 cm</v>
      </c>
      <c r="H433" s="1">
        <v>19</v>
      </c>
      <c r="I433">
        <v>2019</v>
      </c>
      <c r="J433" t="str">
        <f t="shared" si="83"/>
        <v>2: Fiction</v>
      </c>
      <c r="L433" t="s">
        <v>2403</v>
      </c>
      <c r="M433" t="s">
        <v>28</v>
      </c>
      <c r="N433" t="s">
        <v>2404</v>
      </c>
      <c r="O433">
        <v>5</v>
      </c>
      <c r="P433" s="2">
        <v>43776</v>
      </c>
      <c r="Q433" s="1">
        <v>33</v>
      </c>
      <c r="R433" t="s">
        <v>2648</v>
      </c>
      <c r="S433">
        <v>1085592358</v>
      </c>
    </row>
    <row r="434" spans="1:19" x14ac:dyDescent="0.2">
      <c r="A434" t="str">
        <f t="shared" si="84"/>
        <v>Adult Fiction</v>
      </c>
      <c r="B434" t="str">
        <f>"NEW F HILL"</f>
        <v>NEW F HILL</v>
      </c>
      <c r="C434" t="str">
        <f>"Little comfort"</f>
        <v>Little comfort</v>
      </c>
      <c r="D434">
        <v>357514</v>
      </c>
      <c r="E434" t="str">
        <f>"Hill, Edwin"</f>
        <v>Hill, Edwin</v>
      </c>
      <c r="F434" t="str">
        <f>"Hester Thursby Mystery series (1)"</f>
        <v>Hester Thursby Mystery series (1)</v>
      </c>
      <c r="G434" t="str">
        <f>"viii, 343 p., 22 cm"</f>
        <v>viii, 343 p., 22 cm</v>
      </c>
      <c r="H434" s="1">
        <v>19</v>
      </c>
      <c r="I434">
        <v>2018</v>
      </c>
      <c r="J434" t="str">
        <f t="shared" si="83"/>
        <v>2: Fiction</v>
      </c>
      <c r="L434" t="s">
        <v>2403</v>
      </c>
      <c r="M434" t="s">
        <v>28</v>
      </c>
      <c r="N434" t="s">
        <v>2396</v>
      </c>
      <c r="O434">
        <v>7</v>
      </c>
      <c r="P434" s="2">
        <v>43719</v>
      </c>
      <c r="Q434" s="1">
        <v>31</v>
      </c>
      <c r="R434" t="s">
        <v>2649</v>
      </c>
      <c r="S434">
        <v>1014063100</v>
      </c>
    </row>
    <row r="435" spans="1:19" x14ac:dyDescent="0.2">
      <c r="A435" t="str">
        <f t="shared" si="84"/>
        <v>Adult Fiction</v>
      </c>
      <c r="B435" t="str">
        <f>"NEW F HILL"</f>
        <v>NEW F HILL</v>
      </c>
      <c r="C435" t="str">
        <f>"The missing ones"</f>
        <v>The missing ones</v>
      </c>
      <c r="D435">
        <v>357518</v>
      </c>
      <c r="E435" t="str">
        <f>"Hill, Edwin"</f>
        <v>Hill, Edwin</v>
      </c>
      <c r="F435" t="str">
        <f>"Hester Thursby Mystery series (2)"</f>
        <v>Hester Thursby Mystery series (2)</v>
      </c>
      <c r="G435" t="str">
        <f>"362 p., 22 cm"</f>
        <v>362 p., 22 cm</v>
      </c>
      <c r="H435" s="1">
        <v>19</v>
      </c>
      <c r="I435">
        <v>2019</v>
      </c>
      <c r="J435" t="str">
        <f t="shared" si="83"/>
        <v>2: Fiction</v>
      </c>
      <c r="L435" t="s">
        <v>2395</v>
      </c>
      <c r="M435" t="s">
        <v>28</v>
      </c>
      <c r="N435" t="s">
        <v>2404</v>
      </c>
      <c r="O435">
        <v>7</v>
      </c>
      <c r="P435" s="2">
        <v>43719</v>
      </c>
      <c r="Q435" s="1">
        <v>31</v>
      </c>
      <c r="R435" t="s">
        <v>2650</v>
      </c>
      <c r="S435">
        <v>1112153145</v>
      </c>
    </row>
    <row r="436" spans="1:19" x14ac:dyDescent="0.2">
      <c r="A436" t="str">
        <f t="shared" si="84"/>
        <v>Adult Fiction</v>
      </c>
      <c r="B436" t="str">
        <f>"NEW F HILL"</f>
        <v>NEW F HILL</v>
      </c>
      <c r="C436" t="str">
        <f>"Full throttle: stories"</f>
        <v>Full throttle: stories</v>
      </c>
      <c r="D436">
        <v>358537</v>
      </c>
      <c r="E436" t="str">
        <f>"Hill, Joe"</f>
        <v>Hill, Joe</v>
      </c>
      <c r="G436" t="str">
        <f>"480 pages, 24 cm"</f>
        <v>480 pages, 24 cm</v>
      </c>
      <c r="H436" s="1">
        <v>19</v>
      </c>
      <c r="I436">
        <v>2019</v>
      </c>
      <c r="J436" t="str">
        <f t="shared" si="83"/>
        <v>2: Fiction</v>
      </c>
      <c r="L436" t="s">
        <v>2403</v>
      </c>
      <c r="M436" t="s">
        <v>28</v>
      </c>
      <c r="N436" t="s">
        <v>2396</v>
      </c>
      <c r="O436">
        <v>4</v>
      </c>
      <c r="P436" s="2">
        <v>43756</v>
      </c>
      <c r="Q436" s="1">
        <v>33</v>
      </c>
      <c r="R436" t="s">
        <v>2651</v>
      </c>
      <c r="S436">
        <v>1083715281</v>
      </c>
    </row>
    <row r="437" spans="1:19" x14ac:dyDescent="0.2">
      <c r="A437" t="str">
        <f t="shared" si="84"/>
        <v>Adult Fiction</v>
      </c>
      <c r="B437" t="str">
        <f>"NEW F HILLE"</f>
        <v>NEW F HILLE</v>
      </c>
      <c r="C437" t="str">
        <f>"The tale teller"</f>
        <v>The tale teller</v>
      </c>
      <c r="D437">
        <v>404941</v>
      </c>
      <c r="E437" t="str">
        <f>"Hillerman, Anne,"</f>
        <v>Hillerman, Anne,</v>
      </c>
      <c r="F437" t="str">
        <f>"Leaphorn, Chee and Manuelito Mystery series (5)"</f>
        <v>Leaphorn, Chee and Manuelito Mystery series (5)</v>
      </c>
      <c r="G437" t="str">
        <f>"298 p."</f>
        <v>298 p.</v>
      </c>
      <c r="H437">
        <v>19</v>
      </c>
      <c r="I437">
        <v>2019</v>
      </c>
      <c r="J437" t="str">
        <f t="shared" si="83"/>
        <v>2: Fiction</v>
      </c>
      <c r="L437" t="s">
        <v>2395</v>
      </c>
      <c r="M437" t="s">
        <v>28</v>
      </c>
      <c r="N437" t="s">
        <v>2404</v>
      </c>
      <c r="O437">
        <v>6</v>
      </c>
      <c r="P437" s="2">
        <v>43668</v>
      </c>
      <c r="Q437" s="1">
        <v>32</v>
      </c>
      <c r="R437" t="s">
        <v>2652</v>
      </c>
    </row>
    <row r="438" spans="1:19" x14ac:dyDescent="0.2">
      <c r="A438" t="str">
        <f t="shared" si="84"/>
        <v>Adult Fiction</v>
      </c>
      <c r="B438" t="str">
        <f>"NEW F HOFFM"</f>
        <v>NEW F HOFFM</v>
      </c>
      <c r="C438" t="str">
        <f>"The world that we knew: a novel"</f>
        <v>The world that we knew: a novel</v>
      </c>
      <c r="D438">
        <v>357852</v>
      </c>
      <c r="E438" t="str">
        <f>"Hoffman, Alice"</f>
        <v>Hoffman, Alice</v>
      </c>
      <c r="G438" t="str">
        <f>"pages cm"</f>
        <v>pages cm</v>
      </c>
      <c r="H438" s="1">
        <v>19</v>
      </c>
      <c r="I438">
        <v>2019</v>
      </c>
      <c r="J438" t="str">
        <f t="shared" si="83"/>
        <v>2: Fiction</v>
      </c>
      <c r="L438" t="s">
        <v>2395</v>
      </c>
      <c r="M438" t="s">
        <v>28</v>
      </c>
      <c r="N438" t="s">
        <v>2404</v>
      </c>
      <c r="O438">
        <v>8</v>
      </c>
      <c r="P438" s="2">
        <v>43731</v>
      </c>
      <c r="Q438" s="1">
        <v>33</v>
      </c>
      <c r="R438" t="s">
        <v>2653</v>
      </c>
      <c r="S438">
        <v>1081369055</v>
      </c>
    </row>
    <row r="439" spans="1:19" x14ac:dyDescent="0.2">
      <c r="A439" t="str">
        <f t="shared" si="84"/>
        <v>Adult Fiction</v>
      </c>
      <c r="B439" t="str">
        <f>"NEW F HOFFM"</f>
        <v>NEW F HOFFM</v>
      </c>
      <c r="C439" t="str">
        <f>"The world that we knew: a novel"</f>
        <v>The world that we knew: a novel</v>
      </c>
      <c r="D439">
        <v>357853</v>
      </c>
      <c r="E439" t="str">
        <f>"Hoffman, Alice"</f>
        <v>Hoffman, Alice</v>
      </c>
      <c r="G439" t="str">
        <f>"pages cm"</f>
        <v>pages cm</v>
      </c>
      <c r="H439" s="1">
        <v>19</v>
      </c>
      <c r="I439">
        <v>2019</v>
      </c>
      <c r="J439" t="str">
        <f t="shared" si="83"/>
        <v>2: Fiction</v>
      </c>
      <c r="L439" t="s">
        <v>2395</v>
      </c>
      <c r="M439" t="s">
        <v>28</v>
      </c>
      <c r="N439" t="s">
        <v>2396</v>
      </c>
      <c r="O439">
        <v>10</v>
      </c>
      <c r="P439" s="2">
        <v>43731</v>
      </c>
      <c r="Q439" s="1">
        <v>33</v>
      </c>
      <c r="R439" t="s">
        <v>2653</v>
      </c>
      <c r="S439">
        <v>1081369055</v>
      </c>
    </row>
    <row r="440" spans="1:19" x14ac:dyDescent="0.2">
      <c r="A440" t="str">
        <f t="shared" si="84"/>
        <v>Adult Fiction</v>
      </c>
      <c r="B440" t="str">
        <f>"NEW F HOFFM"</f>
        <v>NEW F HOFFM</v>
      </c>
      <c r="C440" t="str">
        <f>"The world that we knew: a novel"</f>
        <v>The world that we knew: a novel</v>
      </c>
      <c r="D440">
        <v>359230</v>
      </c>
      <c r="E440" t="str">
        <f>"Hoffman, Alice"</f>
        <v>Hoffman, Alice</v>
      </c>
      <c r="G440" t="str">
        <f>"pages cm"</f>
        <v>pages cm</v>
      </c>
      <c r="H440" s="1">
        <v>19</v>
      </c>
      <c r="I440">
        <v>2019</v>
      </c>
      <c r="J440" t="str">
        <f t="shared" si="83"/>
        <v>2: Fiction</v>
      </c>
      <c r="L440" t="s">
        <v>2395</v>
      </c>
      <c r="M440" t="s">
        <v>28</v>
      </c>
      <c r="N440" t="s">
        <v>2404</v>
      </c>
      <c r="O440">
        <v>3</v>
      </c>
      <c r="P440" s="2">
        <v>43782</v>
      </c>
      <c r="Q440" s="1">
        <v>33</v>
      </c>
      <c r="R440" t="s">
        <v>2653</v>
      </c>
      <c r="S440">
        <v>1081369055</v>
      </c>
    </row>
    <row r="441" spans="1:19" x14ac:dyDescent="0.2">
      <c r="A441" t="str">
        <f t="shared" si="84"/>
        <v>Adult Fiction</v>
      </c>
      <c r="B441" t="str">
        <f>"NEW F HOGAN"</f>
        <v>NEW F HOGAN</v>
      </c>
      <c r="C441" t="str">
        <f>"The keeper of lost things: a novel"</f>
        <v>The keeper of lost things: a novel</v>
      </c>
      <c r="D441">
        <v>353431</v>
      </c>
      <c r="E441" t="str">
        <f>"Hogan, Ruth"</f>
        <v>Hogan, Ruth</v>
      </c>
      <c r="G441" t="str">
        <f>"274 pages, 21 cm"</f>
        <v>274 pages, 21 cm</v>
      </c>
      <c r="H441" s="1">
        <v>19</v>
      </c>
      <c r="I441">
        <v>2017</v>
      </c>
      <c r="J441" t="str">
        <f t="shared" si="83"/>
        <v>2: Fiction</v>
      </c>
      <c r="L441" t="s">
        <v>2395</v>
      </c>
      <c r="M441" t="s">
        <v>28</v>
      </c>
      <c r="N441" t="s">
        <v>2404</v>
      </c>
      <c r="O441">
        <v>17</v>
      </c>
      <c r="P441" s="2">
        <v>43535</v>
      </c>
      <c r="Q441" s="1">
        <v>21</v>
      </c>
      <c r="R441" t="s">
        <v>2654</v>
      </c>
    </row>
    <row r="442" spans="1:19" x14ac:dyDescent="0.2">
      <c r="A442" t="str">
        <f t="shared" si="84"/>
        <v>Adult Fiction</v>
      </c>
      <c r="B442" t="str">
        <f>"NEW F HOLLO"</f>
        <v>NEW F HOLLO</v>
      </c>
      <c r="C442" t="str">
        <f>"Once more unto the breach"</f>
        <v>Once more unto the breach</v>
      </c>
      <c r="D442">
        <v>407494</v>
      </c>
      <c r="E442" t="str">
        <f>"Holloway, Meghan"</f>
        <v>Holloway, Meghan</v>
      </c>
      <c r="G442" t="str">
        <f>"329 pages, 22 cm"</f>
        <v>329 pages, 22 cm</v>
      </c>
      <c r="H442" s="1">
        <v>19</v>
      </c>
      <c r="I442">
        <v>2019</v>
      </c>
      <c r="J442" t="str">
        <f t="shared" si="83"/>
        <v>2: Fiction</v>
      </c>
      <c r="L442" t="s">
        <v>2395</v>
      </c>
      <c r="M442" t="s">
        <v>28</v>
      </c>
      <c r="N442" t="s">
        <v>2404</v>
      </c>
      <c r="O442">
        <v>5</v>
      </c>
      <c r="P442" s="2">
        <v>43727</v>
      </c>
      <c r="Q442" s="1">
        <v>22</v>
      </c>
      <c r="R442" t="s">
        <v>2655</v>
      </c>
    </row>
    <row r="443" spans="1:19" x14ac:dyDescent="0.2">
      <c r="A443" t="str">
        <f t="shared" si="84"/>
        <v>Adult Fiction</v>
      </c>
      <c r="B443" t="str">
        <f>"NEW F HOLMB"</f>
        <v>NEW F HOLMB</v>
      </c>
      <c r="C443" t="str">
        <f>"Myths &amp; mortals"</f>
        <v>Myths &amp; mortals</v>
      </c>
      <c r="D443">
        <v>408362</v>
      </c>
      <c r="E443" t="str">
        <f>"Holmberg, Charlie N.,"</f>
        <v>Holmberg, Charlie N.,</v>
      </c>
      <c r="F443" t="str">
        <f>"Numina series (2)"</f>
        <v>Numina series (2)</v>
      </c>
      <c r="G443" t="str">
        <f>"274 pages, 22 cm"</f>
        <v>274 pages, 22 cm</v>
      </c>
      <c r="H443" s="1">
        <v>19</v>
      </c>
      <c r="I443">
        <v>2019</v>
      </c>
      <c r="J443" t="str">
        <f t="shared" si="83"/>
        <v>2: Fiction</v>
      </c>
      <c r="L443" t="s">
        <v>2395</v>
      </c>
      <c r="M443" t="s">
        <v>28</v>
      </c>
      <c r="N443" t="s">
        <v>2396</v>
      </c>
      <c r="O443">
        <v>0</v>
      </c>
      <c r="P443" s="2">
        <v>43769</v>
      </c>
      <c r="Q443" s="1">
        <v>30</v>
      </c>
      <c r="R443" t="s">
        <v>2656</v>
      </c>
      <c r="S443">
        <v>1050569793</v>
      </c>
    </row>
    <row r="444" spans="1:19" x14ac:dyDescent="0.2">
      <c r="A444" t="str">
        <f t="shared" si="84"/>
        <v>Adult Fiction</v>
      </c>
      <c r="B444" t="str">
        <f>"NEW F HOLMB"</f>
        <v>NEW F HOLMB</v>
      </c>
      <c r="C444" t="str">
        <f>"Siege and sacrifice"</f>
        <v>Siege and sacrifice</v>
      </c>
      <c r="D444">
        <v>359217</v>
      </c>
      <c r="E444" t="str">
        <f>"Holmberg, Charlie N.,"</f>
        <v>Holmberg, Charlie N.,</v>
      </c>
      <c r="F444" t="str">
        <f>"Numina series (3)"</f>
        <v>Numina series (3)</v>
      </c>
      <c r="G444" t="str">
        <f>"289 p."</f>
        <v>289 p.</v>
      </c>
      <c r="H444" s="1">
        <v>19</v>
      </c>
      <c r="I444">
        <v>2019</v>
      </c>
      <c r="J444" t="str">
        <f t="shared" si="83"/>
        <v>2: Fiction</v>
      </c>
      <c r="L444" t="s">
        <v>2395</v>
      </c>
      <c r="M444" t="s">
        <v>28</v>
      </c>
      <c r="N444" t="s">
        <v>2396</v>
      </c>
      <c r="O444">
        <v>0</v>
      </c>
      <c r="P444" s="2">
        <v>43782</v>
      </c>
      <c r="Q444" s="1">
        <v>20</v>
      </c>
      <c r="R444" t="s">
        <v>2657</v>
      </c>
      <c r="S444">
        <v>1084323241</v>
      </c>
    </row>
    <row r="445" spans="1:19" x14ac:dyDescent="0.2">
      <c r="A445" t="str">
        <f t="shared" si="84"/>
        <v>Adult Fiction</v>
      </c>
      <c r="B445" t="str">
        <f>"NEW F HOLMB"</f>
        <v>NEW F HOLMB</v>
      </c>
      <c r="C445" t="str">
        <f>"Smoke &amp; summons"</f>
        <v>Smoke &amp; summons</v>
      </c>
      <c r="D445">
        <v>358564</v>
      </c>
      <c r="E445" t="str">
        <f>"Holmberg, Charlie N.,"</f>
        <v>Holmberg, Charlie N.,</v>
      </c>
      <c r="F445" t="str">
        <f>"Numina series (1)"</f>
        <v>Numina series (1)</v>
      </c>
      <c r="G445" t="str">
        <f>"319 pages, 22 cm"</f>
        <v>319 pages, 22 cm</v>
      </c>
      <c r="H445" s="1">
        <v>19</v>
      </c>
      <c r="I445">
        <v>2019</v>
      </c>
      <c r="J445" t="str">
        <f t="shared" si="83"/>
        <v>2: Fiction</v>
      </c>
      <c r="L445" t="s">
        <v>2395</v>
      </c>
      <c r="M445" t="s">
        <v>28</v>
      </c>
      <c r="N445" t="s">
        <v>2396</v>
      </c>
      <c r="O445">
        <v>1</v>
      </c>
      <c r="P445" s="2">
        <v>43756</v>
      </c>
      <c r="Q445" s="1">
        <v>30</v>
      </c>
      <c r="R445" t="s">
        <v>2658</v>
      </c>
      <c r="S445">
        <v>1061818843</v>
      </c>
    </row>
    <row r="446" spans="1:19" x14ac:dyDescent="0.2">
      <c r="A446" t="str">
        <f t="shared" si="84"/>
        <v>Adult Fiction</v>
      </c>
      <c r="B446" t="str">
        <f>"NEW F HOLME"</f>
        <v>NEW F HOLME</v>
      </c>
      <c r="C446" t="str">
        <f>"Evvie Drake starts over: a novel"</f>
        <v>Evvie Drake starts over: a novel</v>
      </c>
      <c r="D446">
        <v>355807</v>
      </c>
      <c r="E446" t="str">
        <f>"Holmes, Linda"</f>
        <v>Holmes, Linda</v>
      </c>
      <c r="G446" t="str">
        <f>"293 pages, 25 cm"</f>
        <v>293 pages, 25 cm</v>
      </c>
      <c r="H446" s="1">
        <v>19</v>
      </c>
      <c r="I446">
        <v>2019</v>
      </c>
      <c r="J446" t="str">
        <f t="shared" si="83"/>
        <v>2: Fiction</v>
      </c>
      <c r="L446" t="s">
        <v>2395</v>
      </c>
      <c r="M446" t="s">
        <v>28</v>
      </c>
      <c r="N446" t="s">
        <v>2396</v>
      </c>
      <c r="O446">
        <v>14</v>
      </c>
      <c r="P446" s="2">
        <v>43640</v>
      </c>
      <c r="Q446" s="1">
        <v>31</v>
      </c>
      <c r="R446" t="s">
        <v>2659</v>
      </c>
      <c r="S446">
        <v>1055686096</v>
      </c>
    </row>
    <row r="447" spans="1:19" x14ac:dyDescent="0.2">
      <c r="A447" t="str">
        <f t="shared" si="84"/>
        <v>Adult Fiction</v>
      </c>
      <c r="B447" t="str">
        <f>"NEW F HOLME"</f>
        <v>NEW F HOLME</v>
      </c>
      <c r="C447" t="str">
        <f>"Evvie Drake starts over: a novel"</f>
        <v>Evvie Drake starts over: a novel</v>
      </c>
      <c r="D447">
        <v>356533</v>
      </c>
      <c r="E447" t="str">
        <f>"Holmes, Linda"</f>
        <v>Holmes, Linda</v>
      </c>
      <c r="G447" t="str">
        <f>"293 pages, 25 cm"</f>
        <v>293 pages, 25 cm</v>
      </c>
      <c r="H447" s="1">
        <v>19</v>
      </c>
      <c r="I447">
        <v>2019</v>
      </c>
      <c r="J447" t="str">
        <f t="shared" ref="J447:J510" si="87">"2: Fiction"</f>
        <v>2: Fiction</v>
      </c>
      <c r="L447" t="s">
        <v>2403</v>
      </c>
      <c r="M447" t="s">
        <v>28</v>
      </c>
      <c r="N447" t="s">
        <v>2396</v>
      </c>
      <c r="O447">
        <v>12</v>
      </c>
      <c r="P447" s="2">
        <v>43678</v>
      </c>
      <c r="Q447" s="1">
        <v>31</v>
      </c>
      <c r="R447" t="s">
        <v>2659</v>
      </c>
      <c r="S447">
        <v>1055686096</v>
      </c>
    </row>
    <row r="448" spans="1:19" x14ac:dyDescent="0.2">
      <c r="A448" t="str">
        <f t="shared" si="84"/>
        <v>Adult Fiction</v>
      </c>
      <c r="B448" t="str">
        <f>"NEW F HOLME"</f>
        <v>NEW F HOLME</v>
      </c>
      <c r="C448" t="str">
        <f>"Evvie Drake starts over: a novel"</f>
        <v>Evvie Drake starts over: a novel</v>
      </c>
      <c r="D448">
        <v>356534</v>
      </c>
      <c r="E448" t="str">
        <f>"Holmes, Linda"</f>
        <v>Holmes, Linda</v>
      </c>
      <c r="G448" t="str">
        <f>"293 pages, 25 cm"</f>
        <v>293 pages, 25 cm</v>
      </c>
      <c r="H448" s="1">
        <v>19</v>
      </c>
      <c r="I448">
        <v>2019</v>
      </c>
      <c r="J448" t="str">
        <f t="shared" si="87"/>
        <v>2: Fiction</v>
      </c>
      <c r="L448" t="s">
        <v>2403</v>
      </c>
      <c r="M448" t="s">
        <v>28</v>
      </c>
      <c r="N448" t="s">
        <v>2404</v>
      </c>
      <c r="O448">
        <v>8</v>
      </c>
      <c r="P448" s="2">
        <v>43678</v>
      </c>
      <c r="Q448" s="1">
        <v>31</v>
      </c>
      <c r="R448" t="s">
        <v>2659</v>
      </c>
      <c r="S448">
        <v>1055686096</v>
      </c>
    </row>
    <row r="449" spans="1:19" x14ac:dyDescent="0.2">
      <c r="A449" t="str">
        <f t="shared" si="84"/>
        <v>Adult Fiction</v>
      </c>
      <c r="B449" t="str">
        <f>"NEW F HOLSI"</f>
        <v>NEW F HOLSI</v>
      </c>
      <c r="C449" t="str">
        <f>"The gifted school: a novel"</f>
        <v>The gifted school: a novel</v>
      </c>
      <c r="D449">
        <v>355930</v>
      </c>
      <c r="E449" t="str">
        <f>"Holsinger, Bruce W."</f>
        <v>Holsinger, Bruce W.</v>
      </c>
      <c r="G449" t="str">
        <f>"pages cm"</f>
        <v>pages cm</v>
      </c>
      <c r="H449" s="1">
        <v>19</v>
      </c>
      <c r="I449">
        <v>2019</v>
      </c>
      <c r="J449" t="str">
        <f t="shared" si="87"/>
        <v>2: Fiction</v>
      </c>
      <c r="L449" t="s">
        <v>2395</v>
      </c>
      <c r="M449" t="s">
        <v>28</v>
      </c>
      <c r="N449" t="s">
        <v>2404</v>
      </c>
      <c r="O449">
        <v>12</v>
      </c>
      <c r="P449" s="2">
        <v>43647</v>
      </c>
      <c r="Q449" s="1">
        <v>31</v>
      </c>
      <c r="R449" t="s">
        <v>2660</v>
      </c>
      <c r="S449">
        <v>1060188888</v>
      </c>
    </row>
    <row r="450" spans="1:19" x14ac:dyDescent="0.2">
      <c r="A450" t="str">
        <f t="shared" si="84"/>
        <v>Adult Fiction</v>
      </c>
      <c r="B450" t="str">
        <f>"NEW F HOOVE"</f>
        <v>NEW F HOOVE</v>
      </c>
      <c r="C450" t="str">
        <f>"Regretting you"</f>
        <v>Regretting you</v>
      </c>
      <c r="D450">
        <v>360175</v>
      </c>
      <c r="E450" t="str">
        <f>"Hoover, Colleen."</f>
        <v>Hoover, Colleen.</v>
      </c>
      <c r="G450" t="str">
        <f>"354 pages, 21 cm"</f>
        <v>354 pages, 21 cm</v>
      </c>
      <c r="H450" s="1">
        <v>19</v>
      </c>
      <c r="I450">
        <v>2019</v>
      </c>
      <c r="J450" t="str">
        <f t="shared" si="87"/>
        <v>2: Fiction</v>
      </c>
      <c r="L450" t="s">
        <v>2395</v>
      </c>
      <c r="M450" t="s">
        <v>28</v>
      </c>
      <c r="N450" t="s">
        <v>2404</v>
      </c>
      <c r="O450">
        <v>1</v>
      </c>
      <c r="P450" s="2">
        <v>43833</v>
      </c>
      <c r="Q450" s="1">
        <v>20</v>
      </c>
      <c r="R450" t="s">
        <v>2661</v>
      </c>
      <c r="S450">
        <v>1112986960</v>
      </c>
    </row>
    <row r="451" spans="1:19" x14ac:dyDescent="0.2">
      <c r="A451" t="str">
        <f t="shared" si="84"/>
        <v>Adult Fiction</v>
      </c>
      <c r="B451" t="str">
        <f>"NEW F HOWOR"</f>
        <v>NEW F HOWOR</v>
      </c>
      <c r="C451" t="str">
        <f>"Summerlings: a novel"</f>
        <v>Summerlings: a novel</v>
      </c>
      <c r="D451">
        <v>356708</v>
      </c>
      <c r="E451" t="str">
        <f>"Howorth, Lisa."</f>
        <v>Howorth, Lisa.</v>
      </c>
      <c r="G451" t="str">
        <f>"243 p. ; cm"</f>
        <v>243 p. ; cm</v>
      </c>
      <c r="H451" s="1">
        <v>19</v>
      </c>
      <c r="I451">
        <v>2019</v>
      </c>
      <c r="J451" t="str">
        <f t="shared" si="87"/>
        <v>2: Fiction</v>
      </c>
      <c r="L451" t="s">
        <v>2403</v>
      </c>
      <c r="M451" t="s">
        <v>28</v>
      </c>
      <c r="N451" t="s">
        <v>2404</v>
      </c>
      <c r="O451">
        <v>5</v>
      </c>
      <c r="P451" s="2">
        <v>43689</v>
      </c>
      <c r="Q451" s="1">
        <v>30</v>
      </c>
      <c r="R451" t="s">
        <v>2662</v>
      </c>
      <c r="S451">
        <v>1065969708</v>
      </c>
    </row>
    <row r="452" spans="1:19" x14ac:dyDescent="0.2">
      <c r="A452" t="str">
        <f t="shared" si="84"/>
        <v>Adult Fiction</v>
      </c>
      <c r="B452" t="str">
        <f>"NEW F HUBER"</f>
        <v>NEW F HUBER</v>
      </c>
      <c r="C452" t="str">
        <f>"Penny for your secrets"</f>
        <v>Penny for your secrets</v>
      </c>
      <c r="D452">
        <v>358826</v>
      </c>
      <c r="E452" t="str">
        <f>"Huber, Anna Lee"</f>
        <v>Huber, Anna Lee</v>
      </c>
      <c r="F452" t="str">
        <f>"Verity Kent series (3)"</f>
        <v>Verity Kent series (3)</v>
      </c>
      <c r="H452" s="1">
        <v>19</v>
      </c>
      <c r="I452">
        <v>2019</v>
      </c>
      <c r="J452" t="str">
        <f t="shared" si="87"/>
        <v>2: Fiction</v>
      </c>
      <c r="L452" t="s">
        <v>2403</v>
      </c>
      <c r="M452" t="s">
        <v>28</v>
      </c>
      <c r="N452" t="s">
        <v>2396</v>
      </c>
      <c r="O452">
        <v>5</v>
      </c>
      <c r="P452" s="2">
        <v>43766</v>
      </c>
      <c r="Q452" s="1">
        <v>21</v>
      </c>
      <c r="R452" t="s">
        <v>2663</v>
      </c>
      <c r="S452">
        <v>1085203583</v>
      </c>
    </row>
    <row r="453" spans="1:19" x14ac:dyDescent="0.2">
      <c r="A453" t="str">
        <f t="shared" si="84"/>
        <v>Adult Fiction</v>
      </c>
      <c r="B453" t="str">
        <f>"NEW F HUBER"</f>
        <v>NEW F HUBER</v>
      </c>
      <c r="C453" t="str">
        <f>"Penny for your secrets"</f>
        <v>Penny for your secrets</v>
      </c>
      <c r="D453">
        <v>358827</v>
      </c>
      <c r="E453" t="str">
        <f>"Huber, Anna Lee"</f>
        <v>Huber, Anna Lee</v>
      </c>
      <c r="F453" t="str">
        <f>"Verity Kent series (3)"</f>
        <v>Verity Kent series (3)</v>
      </c>
      <c r="H453" s="1">
        <v>19</v>
      </c>
      <c r="I453">
        <v>2019</v>
      </c>
      <c r="J453" t="str">
        <f t="shared" si="87"/>
        <v>2: Fiction</v>
      </c>
      <c r="L453" t="s">
        <v>2395</v>
      </c>
      <c r="M453" t="s">
        <v>28</v>
      </c>
      <c r="N453" t="s">
        <v>2404</v>
      </c>
      <c r="O453">
        <v>4</v>
      </c>
      <c r="P453" s="2">
        <v>43766</v>
      </c>
      <c r="Q453" s="1">
        <v>21</v>
      </c>
      <c r="R453" t="s">
        <v>2663</v>
      </c>
      <c r="S453">
        <v>1085203583</v>
      </c>
    </row>
    <row r="454" spans="1:19" x14ac:dyDescent="0.2">
      <c r="A454" t="str">
        <f t="shared" si="84"/>
        <v>Adult Fiction</v>
      </c>
      <c r="B454" t="str">
        <f>"NEW F HUDSO"</f>
        <v>NEW F HUDSO</v>
      </c>
      <c r="C454" t="str">
        <f>"The last letter from Juliet"</f>
        <v>The last letter from Juliet</v>
      </c>
      <c r="D454">
        <v>408681</v>
      </c>
      <c r="E454" t="str">
        <f>"Hudson, Melanie"</f>
        <v>Hudson, Melanie</v>
      </c>
      <c r="G454" t="str">
        <f>"416 pages, 20 cm"</f>
        <v>416 pages, 20 cm</v>
      </c>
      <c r="H454" s="1">
        <v>19</v>
      </c>
      <c r="I454">
        <v>2019</v>
      </c>
      <c r="J454" t="str">
        <f t="shared" si="87"/>
        <v>2: Fiction</v>
      </c>
      <c r="L454" t="s">
        <v>2395</v>
      </c>
      <c r="M454" t="s">
        <v>28</v>
      </c>
      <c r="N454" t="str">
        <f>"Reserve Cart"</f>
        <v>Reserve Cart</v>
      </c>
      <c r="O454">
        <v>0</v>
      </c>
      <c r="P454" s="2">
        <v>43846</v>
      </c>
      <c r="Q454" s="1">
        <v>22</v>
      </c>
      <c r="R454" t="s">
        <v>2664</v>
      </c>
      <c r="S454">
        <v>1053905268</v>
      </c>
    </row>
    <row r="455" spans="1:19" x14ac:dyDescent="0.2">
      <c r="A455" t="str">
        <f t="shared" ref="A455:A518" si="88">"Adult Fiction"</f>
        <v>Adult Fiction</v>
      </c>
      <c r="B455" t="str">
        <f>"NEW F HUNT"</f>
        <v>NEW F HUNT</v>
      </c>
      <c r="C455" t="str">
        <f>"King's shadow: a novel of King Herod's court"</f>
        <v>King's shadow: a novel of King Herod's court</v>
      </c>
      <c r="D455">
        <v>357338</v>
      </c>
      <c r="E455" t="str">
        <f>"Hunt, Angela Elwell"</f>
        <v>Hunt, Angela Elwell</v>
      </c>
      <c r="F455" t="str">
        <f>"Silent Years"</f>
        <v>Silent Years</v>
      </c>
      <c r="G455" t="str">
        <f>"372 pages, 22 cm"</f>
        <v>372 pages, 22 cm</v>
      </c>
      <c r="H455" s="1">
        <v>19</v>
      </c>
      <c r="I455">
        <v>2019</v>
      </c>
      <c r="J455" t="str">
        <f t="shared" si="87"/>
        <v>2: Fiction</v>
      </c>
      <c r="L455" t="s">
        <v>2403</v>
      </c>
      <c r="M455" t="s">
        <v>28</v>
      </c>
      <c r="N455" t="s">
        <v>2396</v>
      </c>
      <c r="O455">
        <v>4</v>
      </c>
      <c r="P455" s="2">
        <v>43711</v>
      </c>
      <c r="Q455" s="1">
        <v>35</v>
      </c>
      <c r="R455" t="s">
        <v>2665</v>
      </c>
      <c r="S455">
        <v>1056444524</v>
      </c>
    </row>
    <row r="456" spans="1:19" x14ac:dyDescent="0.2">
      <c r="A456" t="str">
        <f t="shared" si="88"/>
        <v>Adult Fiction</v>
      </c>
      <c r="B456" t="str">
        <f>"NEW F HUNTE"</f>
        <v>NEW F HUNTE</v>
      </c>
      <c r="C456" t="str">
        <f>"Game of snipers"</f>
        <v>Game of snipers</v>
      </c>
      <c r="D456">
        <v>356540</v>
      </c>
      <c r="E456" t="str">
        <f>"Hunter, Stephen"</f>
        <v>Hunter, Stephen</v>
      </c>
      <c r="F456" t="str">
        <f>"Bob Lee Swagger series (11)"</f>
        <v>Bob Lee Swagger series (11)</v>
      </c>
      <c r="G456" t="str">
        <f>"387 pages, 24 cm"</f>
        <v>387 pages, 24 cm</v>
      </c>
      <c r="H456" s="1">
        <v>19</v>
      </c>
      <c r="I456">
        <v>2019</v>
      </c>
      <c r="J456" t="str">
        <f t="shared" si="87"/>
        <v>2: Fiction</v>
      </c>
      <c r="L456" t="s">
        <v>2395</v>
      </c>
      <c r="M456" t="s">
        <v>28</v>
      </c>
      <c r="N456" t="s">
        <v>2396</v>
      </c>
      <c r="O456">
        <v>8</v>
      </c>
      <c r="P456" s="2">
        <v>43678</v>
      </c>
      <c r="Q456" s="1">
        <v>32</v>
      </c>
      <c r="R456" t="s">
        <v>2666</v>
      </c>
      <c r="S456">
        <v>1057242144</v>
      </c>
    </row>
    <row r="457" spans="1:19" x14ac:dyDescent="0.2">
      <c r="A457" t="str">
        <f t="shared" si="88"/>
        <v>Adult Fiction</v>
      </c>
      <c r="B457" t="str">
        <f>"NEW F HUNTE"</f>
        <v>NEW F HUNTE</v>
      </c>
      <c r="C457" t="str">
        <f>"Game of snipers"</f>
        <v>Game of snipers</v>
      </c>
      <c r="D457">
        <v>356541</v>
      </c>
      <c r="E457" t="str">
        <f>"Hunter, Stephen"</f>
        <v>Hunter, Stephen</v>
      </c>
      <c r="F457" t="str">
        <f>"Bob Lee Swagger series (11)"</f>
        <v>Bob Lee Swagger series (11)</v>
      </c>
      <c r="G457" t="str">
        <f>"387 pages, 24 cm"</f>
        <v>387 pages, 24 cm</v>
      </c>
      <c r="H457" s="1">
        <v>19</v>
      </c>
      <c r="I457">
        <v>2019</v>
      </c>
      <c r="J457" t="str">
        <f t="shared" si="87"/>
        <v>2: Fiction</v>
      </c>
      <c r="L457" t="s">
        <v>2395</v>
      </c>
      <c r="M457" t="s">
        <v>28</v>
      </c>
      <c r="N457" t="s">
        <v>2404</v>
      </c>
      <c r="O457">
        <v>11</v>
      </c>
      <c r="P457" s="2">
        <v>43678</v>
      </c>
      <c r="Q457" s="1">
        <v>32</v>
      </c>
      <c r="R457" t="s">
        <v>2666</v>
      </c>
      <c r="S457">
        <v>1057242144</v>
      </c>
    </row>
    <row r="458" spans="1:19" x14ac:dyDescent="0.2">
      <c r="A458" t="str">
        <f t="shared" si="88"/>
        <v>Adult Fiction</v>
      </c>
      <c r="B458" t="str">
        <f>"NEW F HUNTE"</f>
        <v>NEW F HUNTE</v>
      </c>
      <c r="C458" t="str">
        <f>"Game of snipers"</f>
        <v>Game of snipers</v>
      </c>
      <c r="D458">
        <v>356542</v>
      </c>
      <c r="E458" t="str">
        <f>"Hunter, Stephen"</f>
        <v>Hunter, Stephen</v>
      </c>
      <c r="F458" t="str">
        <f>"Bob Lee Swagger series (11)"</f>
        <v>Bob Lee Swagger series (11)</v>
      </c>
      <c r="G458" t="str">
        <f>"387 pages, 24 cm"</f>
        <v>387 pages, 24 cm</v>
      </c>
      <c r="H458" s="1">
        <v>19</v>
      </c>
      <c r="I458">
        <v>2019</v>
      </c>
      <c r="J458" t="str">
        <f t="shared" si="87"/>
        <v>2: Fiction</v>
      </c>
      <c r="L458" t="s">
        <v>2395</v>
      </c>
      <c r="M458" t="s">
        <v>28</v>
      </c>
      <c r="N458" t="s">
        <v>2404</v>
      </c>
      <c r="O458">
        <v>9</v>
      </c>
      <c r="P458" s="2">
        <v>43678</v>
      </c>
      <c r="Q458" s="1">
        <v>32</v>
      </c>
      <c r="R458" t="s">
        <v>2666</v>
      </c>
      <c r="S458">
        <v>1057242144</v>
      </c>
    </row>
    <row r="459" spans="1:19" x14ac:dyDescent="0.2">
      <c r="A459" t="str">
        <f t="shared" si="88"/>
        <v>Adult Fiction</v>
      </c>
      <c r="B459" t="str">
        <f>"NEW F HURWI"</f>
        <v>NEW F HURWI</v>
      </c>
      <c r="C459" t="str">
        <f>"Into the fire"</f>
        <v>Into the fire</v>
      </c>
      <c r="D459">
        <v>360560</v>
      </c>
      <c r="E459" t="str">
        <f>"Hurwitz, Gregg Andrew"</f>
        <v>Hurwitz, Gregg Andrew</v>
      </c>
      <c r="F459" t="str">
        <f>"Orphan X series (5)"</f>
        <v>Orphan X series (5)</v>
      </c>
      <c r="G459" t="str">
        <f>"385 pages"</f>
        <v>385 pages</v>
      </c>
      <c r="H459" s="1">
        <v>20</v>
      </c>
      <c r="I459">
        <v>2020</v>
      </c>
      <c r="J459" t="str">
        <f t="shared" si="87"/>
        <v>2: Fiction</v>
      </c>
      <c r="L459" t="s">
        <v>2395</v>
      </c>
      <c r="M459" t="s">
        <v>28</v>
      </c>
      <c r="N459" t="s">
        <v>2495</v>
      </c>
      <c r="O459">
        <v>0</v>
      </c>
      <c r="P459" s="2">
        <v>43858</v>
      </c>
      <c r="Q459" s="1">
        <v>33</v>
      </c>
      <c r="R459" t="s">
        <v>2667</v>
      </c>
    </row>
    <row r="460" spans="1:19" x14ac:dyDescent="0.2">
      <c r="A460" t="str">
        <f t="shared" si="88"/>
        <v>Adult Fiction</v>
      </c>
      <c r="B460" t="str">
        <f>"NEW F HYDE"</f>
        <v>NEW F HYDE</v>
      </c>
      <c r="C460" t="s">
        <v>2668</v>
      </c>
      <c r="D460">
        <v>359391</v>
      </c>
      <c r="E460" t="str">
        <f>"Hyde, Catherine Ryan."</f>
        <v>Hyde, Catherine Ryan.</v>
      </c>
      <c r="G460" t="str">
        <f>"298 p."</f>
        <v>298 p.</v>
      </c>
      <c r="H460" s="1">
        <v>19</v>
      </c>
      <c r="I460">
        <v>2019</v>
      </c>
      <c r="J460" t="str">
        <f t="shared" si="87"/>
        <v>2: Fiction</v>
      </c>
      <c r="L460" t="s">
        <v>2403</v>
      </c>
      <c r="M460" t="s">
        <v>28</v>
      </c>
      <c r="N460" t="s">
        <v>2396</v>
      </c>
      <c r="O460">
        <v>5</v>
      </c>
      <c r="P460" s="2">
        <v>43788</v>
      </c>
      <c r="Q460" s="1">
        <v>30</v>
      </c>
      <c r="R460" t="s">
        <v>2669</v>
      </c>
      <c r="S460">
        <v>1127579843</v>
      </c>
    </row>
    <row r="461" spans="1:19" x14ac:dyDescent="0.2">
      <c r="A461" t="str">
        <f t="shared" si="88"/>
        <v>Adult Fiction</v>
      </c>
      <c r="B461" t="str">
        <f>"NEW F ISAAC"</f>
        <v>NEW F ISAAC</v>
      </c>
      <c r="C461" t="str">
        <f>"Takes one to know one"</f>
        <v>Takes one to know one</v>
      </c>
      <c r="D461">
        <v>357997</v>
      </c>
      <c r="E461" t="str">
        <f>"Isaacs, Susan"</f>
        <v>Isaacs, Susan</v>
      </c>
      <c r="G461" t="str">
        <f>"355 p."</f>
        <v>355 p.</v>
      </c>
      <c r="H461" s="1">
        <v>19</v>
      </c>
      <c r="I461">
        <v>2019</v>
      </c>
      <c r="J461" t="str">
        <f t="shared" si="87"/>
        <v>2: Fiction</v>
      </c>
      <c r="L461" t="s">
        <v>2395</v>
      </c>
      <c r="M461" t="s">
        <v>28</v>
      </c>
      <c r="N461" t="s">
        <v>2404</v>
      </c>
      <c r="O461">
        <v>8</v>
      </c>
      <c r="P461" s="2">
        <v>43739</v>
      </c>
      <c r="Q461" s="1">
        <v>31</v>
      </c>
      <c r="R461" t="s">
        <v>2670</v>
      </c>
    </row>
    <row r="462" spans="1:19" x14ac:dyDescent="0.2">
      <c r="A462" t="str">
        <f t="shared" si="88"/>
        <v>Adult Fiction</v>
      </c>
      <c r="B462" t="str">
        <f>"NEW F ISAAC"</f>
        <v>NEW F ISAAC</v>
      </c>
      <c r="C462" t="str">
        <f>"Takes one to know one"</f>
        <v>Takes one to know one</v>
      </c>
      <c r="D462">
        <v>357998</v>
      </c>
      <c r="E462" t="str">
        <f>"Isaacs, Susan"</f>
        <v>Isaacs, Susan</v>
      </c>
      <c r="G462" t="str">
        <f>"355 p."</f>
        <v>355 p.</v>
      </c>
      <c r="H462" s="1">
        <v>19</v>
      </c>
      <c r="I462">
        <v>2019</v>
      </c>
      <c r="J462" t="str">
        <f t="shared" si="87"/>
        <v>2: Fiction</v>
      </c>
      <c r="L462" t="s">
        <v>2403</v>
      </c>
      <c r="M462" t="s">
        <v>28</v>
      </c>
      <c r="N462" t="s">
        <v>2404</v>
      </c>
      <c r="O462">
        <v>10</v>
      </c>
      <c r="P462" s="2">
        <v>43739</v>
      </c>
      <c r="Q462" s="1">
        <v>31</v>
      </c>
      <c r="R462" t="s">
        <v>2670</v>
      </c>
    </row>
    <row r="463" spans="1:19" x14ac:dyDescent="0.2">
      <c r="A463" t="str">
        <f t="shared" si="88"/>
        <v>Adult Fiction</v>
      </c>
      <c r="B463" t="str">
        <f>"NEW F ISAAC"</f>
        <v>NEW F ISAAC</v>
      </c>
      <c r="C463" t="str">
        <f>"Takes one to know one"</f>
        <v>Takes one to know one</v>
      </c>
      <c r="D463">
        <v>357999</v>
      </c>
      <c r="E463" t="str">
        <f>"Isaacs, Susan"</f>
        <v>Isaacs, Susan</v>
      </c>
      <c r="G463" t="str">
        <f>"355 p."</f>
        <v>355 p.</v>
      </c>
      <c r="H463" s="1">
        <v>19</v>
      </c>
      <c r="I463">
        <v>2019</v>
      </c>
      <c r="J463" t="str">
        <f t="shared" si="87"/>
        <v>2: Fiction</v>
      </c>
      <c r="L463" t="s">
        <v>2395</v>
      </c>
      <c r="M463" t="s">
        <v>28</v>
      </c>
      <c r="N463" t="s">
        <v>2396</v>
      </c>
      <c r="O463">
        <v>9</v>
      </c>
      <c r="P463" s="2">
        <v>43739</v>
      </c>
      <c r="Q463" s="1">
        <v>31</v>
      </c>
      <c r="R463" t="s">
        <v>2670</v>
      </c>
    </row>
    <row r="464" spans="1:19" x14ac:dyDescent="0.2">
      <c r="A464" t="str">
        <f t="shared" si="88"/>
        <v>Adult Fiction</v>
      </c>
      <c r="B464" t="str">
        <f>"NEW F ISMAI"</f>
        <v>NEW F ISMAI</v>
      </c>
      <c r="C464" t="str">
        <f>"The old woman and the river: a novel"</f>
        <v>The old woman and the river: a novel</v>
      </c>
      <c r="D464">
        <v>358331</v>
      </c>
      <c r="E464" t="str">
        <f>"Ismail, Ismail Fahd"</f>
        <v>Ismail, Ismail Fahd</v>
      </c>
      <c r="G464" t="str">
        <f>"176 p."</f>
        <v>176 p.</v>
      </c>
      <c r="H464" s="1">
        <v>19</v>
      </c>
      <c r="I464">
        <v>2019</v>
      </c>
      <c r="J464" t="str">
        <f t="shared" si="87"/>
        <v>2: Fiction</v>
      </c>
      <c r="L464" t="s">
        <v>2395</v>
      </c>
      <c r="M464" t="s">
        <v>28</v>
      </c>
      <c r="N464" t="s">
        <v>2404</v>
      </c>
      <c r="O464">
        <v>3</v>
      </c>
      <c r="P464" s="2">
        <v>43749</v>
      </c>
      <c r="Q464" s="1">
        <v>20</v>
      </c>
      <c r="R464" t="s">
        <v>2671</v>
      </c>
      <c r="S464">
        <v>1081355377</v>
      </c>
    </row>
    <row r="465" spans="1:19" x14ac:dyDescent="0.2">
      <c r="A465" t="str">
        <f t="shared" si="88"/>
        <v>Adult Fiction</v>
      </c>
      <c r="B465" t="str">
        <f>"NEW F JACKS"</f>
        <v>NEW F JACKS</v>
      </c>
      <c r="C465" t="str">
        <f>"The Wheaton"</f>
        <v>The Wheaton</v>
      </c>
      <c r="D465">
        <v>360030</v>
      </c>
      <c r="E465" t="str">
        <f>"Jackson, Joanne"</f>
        <v>Jackson, Joanne</v>
      </c>
      <c r="G465" t="str">
        <f>"284 pages, 20 cm"</f>
        <v>284 pages, 20 cm</v>
      </c>
      <c r="H465" s="1">
        <v>19</v>
      </c>
      <c r="I465">
        <v>2019</v>
      </c>
      <c r="J465" t="str">
        <f t="shared" si="87"/>
        <v>2: Fiction</v>
      </c>
      <c r="L465" t="s">
        <v>2395</v>
      </c>
      <c r="M465" t="s">
        <v>28</v>
      </c>
      <c r="N465" t="s">
        <v>2404</v>
      </c>
      <c r="O465">
        <v>2</v>
      </c>
      <c r="P465" s="2">
        <v>43826</v>
      </c>
      <c r="Q465" s="1">
        <v>25</v>
      </c>
      <c r="R465" t="s">
        <v>2672</v>
      </c>
      <c r="S465">
        <v>1096488628</v>
      </c>
    </row>
    <row r="466" spans="1:19" x14ac:dyDescent="0.2">
      <c r="A466" t="str">
        <f t="shared" si="88"/>
        <v>Adult Fiction</v>
      </c>
      <c r="B466" t="str">
        <f>"NEW F JACKS"</f>
        <v>NEW F JACKS</v>
      </c>
      <c r="C466" t="str">
        <f>"Never have I ever"</f>
        <v>Never have I ever</v>
      </c>
      <c r="D466">
        <v>356495</v>
      </c>
      <c r="E466" t="str">
        <f>"Jackson, Joshilyn"</f>
        <v>Jackson, Joshilyn</v>
      </c>
      <c r="G466" t="str">
        <f>"337 p."</f>
        <v>337 p.</v>
      </c>
      <c r="H466" s="1">
        <v>19</v>
      </c>
      <c r="I466">
        <v>2019</v>
      </c>
      <c r="J466" t="str">
        <f t="shared" si="87"/>
        <v>2: Fiction</v>
      </c>
      <c r="L466" t="s">
        <v>2395</v>
      </c>
      <c r="M466" t="s">
        <v>28</v>
      </c>
      <c r="N466" t="s">
        <v>2404</v>
      </c>
      <c r="O466">
        <v>9</v>
      </c>
      <c r="P466" s="2">
        <v>43675</v>
      </c>
      <c r="Q466" s="1">
        <v>32</v>
      </c>
      <c r="R466" t="s">
        <v>2673</v>
      </c>
      <c r="S466">
        <v>1108619320</v>
      </c>
    </row>
    <row r="467" spans="1:19" x14ac:dyDescent="0.2">
      <c r="A467" t="str">
        <f t="shared" si="88"/>
        <v>Adult Fiction</v>
      </c>
      <c r="B467" t="str">
        <f>"NEW F JACKS"</f>
        <v>NEW F JACKS</v>
      </c>
      <c r="C467" t="str">
        <f>"Never have I ever"</f>
        <v>Never have I ever</v>
      </c>
      <c r="D467">
        <v>356496</v>
      </c>
      <c r="E467" t="str">
        <f>"Jackson, Joshilyn"</f>
        <v>Jackson, Joshilyn</v>
      </c>
      <c r="G467" t="str">
        <f>"337 p."</f>
        <v>337 p.</v>
      </c>
      <c r="H467" s="1">
        <v>19</v>
      </c>
      <c r="I467">
        <v>2019</v>
      </c>
      <c r="J467" t="str">
        <f t="shared" si="87"/>
        <v>2: Fiction</v>
      </c>
      <c r="L467" t="s">
        <v>2403</v>
      </c>
      <c r="M467" t="s">
        <v>28</v>
      </c>
      <c r="N467" t="s">
        <v>2404</v>
      </c>
      <c r="O467">
        <v>10</v>
      </c>
      <c r="P467" s="2">
        <v>43675</v>
      </c>
      <c r="Q467" s="1">
        <v>32</v>
      </c>
      <c r="R467" t="s">
        <v>2673</v>
      </c>
      <c r="S467">
        <v>1108619320</v>
      </c>
    </row>
    <row r="468" spans="1:19" x14ac:dyDescent="0.2">
      <c r="A468" t="str">
        <f t="shared" si="88"/>
        <v>Adult Fiction</v>
      </c>
      <c r="B468" t="str">
        <f>"NEW F JACKS"</f>
        <v>NEW F JACKS</v>
      </c>
      <c r="C468" t="s">
        <v>2674</v>
      </c>
      <c r="D468">
        <v>355708</v>
      </c>
      <c r="E468" t="str">
        <f>"Jackson, Lisa"</f>
        <v>Jackson, Lisa</v>
      </c>
      <c r="G468" t="str">
        <f>"387 p."</f>
        <v>387 p.</v>
      </c>
      <c r="H468" s="1">
        <v>19</v>
      </c>
      <c r="I468">
        <v>2019</v>
      </c>
      <c r="J468" t="str">
        <f t="shared" si="87"/>
        <v>2: Fiction</v>
      </c>
      <c r="L468" t="s">
        <v>2395</v>
      </c>
      <c r="M468" t="s">
        <v>28</v>
      </c>
      <c r="N468" t="s">
        <v>2404</v>
      </c>
      <c r="O468">
        <v>12</v>
      </c>
      <c r="P468" s="2">
        <v>43640</v>
      </c>
      <c r="Q468" s="1">
        <v>32</v>
      </c>
      <c r="R468" t="s">
        <v>2675</v>
      </c>
      <c r="S468">
        <v>1105957518</v>
      </c>
    </row>
    <row r="469" spans="1:19" x14ac:dyDescent="0.2">
      <c r="A469" t="str">
        <f t="shared" si="88"/>
        <v>Adult Fiction</v>
      </c>
      <c r="B469" t="str">
        <f>"NEW F JACOB"</f>
        <v>NEW F JACOB</v>
      </c>
      <c r="C469" t="str">
        <f>"Live a little: a novel"</f>
        <v>Live a little: a novel</v>
      </c>
      <c r="D469">
        <v>357708</v>
      </c>
      <c r="E469" t="str">
        <f>"Jacobson, Howard,"</f>
        <v>Jacobson, Howard,</v>
      </c>
      <c r="G469" t="str">
        <f>"290 pages, 25 cm, illustration"</f>
        <v>290 pages, 25 cm, illustration</v>
      </c>
      <c r="H469" s="1">
        <v>19</v>
      </c>
      <c r="I469">
        <v>2019</v>
      </c>
      <c r="J469" t="str">
        <f t="shared" si="87"/>
        <v>2: Fiction</v>
      </c>
      <c r="L469" t="s">
        <v>2395</v>
      </c>
      <c r="M469" t="s">
        <v>28</v>
      </c>
      <c r="N469" t="s">
        <v>2396</v>
      </c>
      <c r="O469">
        <v>5</v>
      </c>
      <c r="P469" s="2">
        <v>43725</v>
      </c>
      <c r="Q469" s="1">
        <v>32</v>
      </c>
      <c r="R469" t="s">
        <v>2676</v>
      </c>
      <c r="S469">
        <v>1117343043</v>
      </c>
    </row>
    <row r="470" spans="1:19" x14ac:dyDescent="0.2">
      <c r="A470" t="str">
        <f t="shared" si="88"/>
        <v>Adult Fiction</v>
      </c>
      <c r="B470" t="str">
        <f>"NEW F JALAL"</f>
        <v>NEW F JALAL</v>
      </c>
      <c r="C470" t="str">
        <f>"Ayesha at last"</f>
        <v>Ayesha at last</v>
      </c>
      <c r="D470">
        <v>355382</v>
      </c>
      <c r="E470" t="str">
        <f>"Jalaluddin, Uzma"</f>
        <v>Jalaluddin, Uzma</v>
      </c>
      <c r="G470" t="str">
        <f>"351 pages, 21 cm"</f>
        <v>351 pages, 21 cm</v>
      </c>
      <c r="H470" s="1">
        <v>19</v>
      </c>
      <c r="I470">
        <v>2019</v>
      </c>
      <c r="J470" t="str">
        <f t="shared" si="87"/>
        <v>2: Fiction</v>
      </c>
      <c r="L470" t="s">
        <v>2395</v>
      </c>
      <c r="M470" t="s">
        <v>28</v>
      </c>
      <c r="N470" t="s">
        <v>2401</v>
      </c>
      <c r="O470">
        <v>4</v>
      </c>
      <c r="P470" s="2">
        <v>43628</v>
      </c>
      <c r="Q470" s="1">
        <v>21</v>
      </c>
      <c r="R470" t="s">
        <v>2677</v>
      </c>
      <c r="S470">
        <v>1080554458</v>
      </c>
    </row>
    <row r="471" spans="1:19" x14ac:dyDescent="0.2">
      <c r="A471" t="str">
        <f t="shared" si="88"/>
        <v>Adult Fiction</v>
      </c>
      <c r="B471" t="str">
        <f>"NEW F JAMES"</f>
        <v>NEW F JAMES</v>
      </c>
      <c r="C471" t="s">
        <v>2678</v>
      </c>
      <c r="D471">
        <v>359885</v>
      </c>
      <c r="E471" t="str">
        <f>"James, Steven"</f>
        <v>James, Steven</v>
      </c>
      <c r="G471" t="str">
        <f>"370 pages, 22 cm"</f>
        <v>370 pages, 22 cm</v>
      </c>
      <c r="H471" s="1">
        <v>19</v>
      </c>
      <c r="I471">
        <v>2019</v>
      </c>
      <c r="J471" t="str">
        <f t="shared" si="87"/>
        <v>2: Fiction</v>
      </c>
      <c r="L471" t="s">
        <v>2403</v>
      </c>
      <c r="M471" t="s">
        <v>28</v>
      </c>
      <c r="N471" t="s">
        <v>2404</v>
      </c>
      <c r="O471">
        <v>1</v>
      </c>
      <c r="P471" s="2">
        <v>43815</v>
      </c>
      <c r="Q471" s="1">
        <v>22</v>
      </c>
      <c r="R471" t="s">
        <v>2679</v>
      </c>
      <c r="S471">
        <v>1121278700</v>
      </c>
    </row>
    <row r="472" spans="1:19" x14ac:dyDescent="0.2">
      <c r="A472" t="str">
        <f t="shared" si="88"/>
        <v>Adult Fiction</v>
      </c>
      <c r="B472" t="str">
        <f>"NEW F JANCE"</f>
        <v>NEW F JANCE</v>
      </c>
      <c r="C472" t="str">
        <f>"Sins of the fathers"</f>
        <v>Sins of the fathers</v>
      </c>
      <c r="D472">
        <v>358367</v>
      </c>
      <c r="E472" t="str">
        <f>"Jance, Judith A."</f>
        <v>Jance, Judith A.</v>
      </c>
      <c r="F472" t="str">
        <f>"J. P. Beaumont Detective series (24)"</f>
        <v>J. P. Beaumont Detective series (24)</v>
      </c>
      <c r="G472" t="str">
        <f>"370 pages, 24 cm"</f>
        <v>370 pages, 24 cm</v>
      </c>
      <c r="H472" s="1">
        <v>19</v>
      </c>
      <c r="I472">
        <v>2019</v>
      </c>
      <c r="J472" t="str">
        <f t="shared" si="87"/>
        <v>2: Fiction</v>
      </c>
      <c r="L472" t="s">
        <v>2403</v>
      </c>
      <c r="M472" t="s">
        <v>28</v>
      </c>
      <c r="N472" t="s">
        <v>2404</v>
      </c>
      <c r="O472">
        <v>7</v>
      </c>
      <c r="P472" s="2">
        <v>43749</v>
      </c>
      <c r="Q472" s="1">
        <v>32</v>
      </c>
      <c r="R472" t="s">
        <v>2680</v>
      </c>
      <c r="S472">
        <v>1117446440</v>
      </c>
    </row>
    <row r="473" spans="1:19" x14ac:dyDescent="0.2">
      <c r="A473" t="str">
        <f t="shared" si="88"/>
        <v>Adult Fiction</v>
      </c>
      <c r="B473" t="str">
        <f>"NEW F JANCE"</f>
        <v>NEW F JANCE</v>
      </c>
      <c r="C473" t="str">
        <f>"Sins of the fathers"</f>
        <v>Sins of the fathers</v>
      </c>
      <c r="D473">
        <v>358368</v>
      </c>
      <c r="E473" t="str">
        <f>"Jance, Judith A."</f>
        <v>Jance, Judith A.</v>
      </c>
      <c r="F473" t="str">
        <f>"J. P. Beaumont Detective series (24)"</f>
        <v>J. P. Beaumont Detective series (24)</v>
      </c>
      <c r="G473" t="str">
        <f>"370 pages, 24 cm"</f>
        <v>370 pages, 24 cm</v>
      </c>
      <c r="H473" s="1">
        <v>19</v>
      </c>
      <c r="I473">
        <v>2019</v>
      </c>
      <c r="J473" t="str">
        <f t="shared" si="87"/>
        <v>2: Fiction</v>
      </c>
      <c r="L473" t="s">
        <v>2403</v>
      </c>
      <c r="M473" t="s">
        <v>28</v>
      </c>
      <c r="N473" t="s">
        <v>2396</v>
      </c>
      <c r="O473">
        <v>5</v>
      </c>
      <c r="P473" s="2">
        <v>43749</v>
      </c>
      <c r="Q473" s="1">
        <v>32</v>
      </c>
      <c r="R473" t="s">
        <v>2680</v>
      </c>
      <c r="S473">
        <v>1117446440</v>
      </c>
    </row>
    <row r="474" spans="1:19" x14ac:dyDescent="0.2">
      <c r="A474" t="str">
        <f t="shared" si="88"/>
        <v>Adult Fiction</v>
      </c>
      <c r="B474" t="str">
        <f>"NEW F JANCE"</f>
        <v>NEW F JANCE</v>
      </c>
      <c r="C474" t="str">
        <f>"Sins of the fathers"</f>
        <v>Sins of the fathers</v>
      </c>
      <c r="D474">
        <v>358369</v>
      </c>
      <c r="E474" t="str">
        <f>"Jance, Judith A."</f>
        <v>Jance, Judith A.</v>
      </c>
      <c r="F474" t="str">
        <f>"J. P. Beaumont Detective series (24)"</f>
        <v>J. P. Beaumont Detective series (24)</v>
      </c>
      <c r="G474" t="str">
        <f>"370 pages, 24 cm"</f>
        <v>370 pages, 24 cm</v>
      </c>
      <c r="H474" s="1">
        <v>19</v>
      </c>
      <c r="I474">
        <v>2019</v>
      </c>
      <c r="J474" t="str">
        <f t="shared" si="87"/>
        <v>2: Fiction</v>
      </c>
      <c r="L474" t="s">
        <v>2395</v>
      </c>
      <c r="M474" t="s">
        <v>28</v>
      </c>
      <c r="N474" t="s">
        <v>2404</v>
      </c>
      <c r="O474">
        <v>7</v>
      </c>
      <c r="P474" s="2">
        <v>43749</v>
      </c>
      <c r="Q474" s="1">
        <v>32</v>
      </c>
      <c r="R474" t="s">
        <v>2680</v>
      </c>
      <c r="S474">
        <v>1117446440</v>
      </c>
    </row>
    <row r="475" spans="1:19" x14ac:dyDescent="0.2">
      <c r="A475" t="str">
        <f t="shared" si="88"/>
        <v>Adult Fiction</v>
      </c>
      <c r="B475" t="str">
        <f>"NEW F JANCE"</f>
        <v>NEW F JANCE</v>
      </c>
      <c r="C475" t="str">
        <f>"Sins of the fathers"</f>
        <v>Sins of the fathers</v>
      </c>
      <c r="D475">
        <v>358370</v>
      </c>
      <c r="E475" t="str">
        <f>"Jance, Judith A."</f>
        <v>Jance, Judith A.</v>
      </c>
      <c r="F475" t="str">
        <f>"J. P. Beaumont Detective series (24)"</f>
        <v>J. P. Beaumont Detective series (24)</v>
      </c>
      <c r="G475" t="str">
        <f>"370 pages, 24 cm"</f>
        <v>370 pages, 24 cm</v>
      </c>
      <c r="H475" s="1">
        <v>19</v>
      </c>
      <c r="I475">
        <v>2019</v>
      </c>
      <c r="J475" t="str">
        <f t="shared" si="87"/>
        <v>2: Fiction</v>
      </c>
      <c r="L475" t="s">
        <v>2395</v>
      </c>
      <c r="M475" t="s">
        <v>28</v>
      </c>
      <c r="N475" t="s">
        <v>2404</v>
      </c>
      <c r="O475">
        <v>9</v>
      </c>
      <c r="P475" s="2">
        <v>43749</v>
      </c>
      <c r="Q475" s="1">
        <v>32</v>
      </c>
      <c r="R475" t="s">
        <v>2680</v>
      </c>
      <c r="S475">
        <v>1117446440</v>
      </c>
    </row>
    <row r="476" spans="1:19" x14ac:dyDescent="0.2">
      <c r="A476" t="str">
        <f t="shared" si="88"/>
        <v>Adult Fiction</v>
      </c>
      <c r="B476" t="str">
        <f>"NEW F JENOF"</f>
        <v>NEW F JENOF</v>
      </c>
      <c r="C476" t="str">
        <f>"The lost girls of Paris"</f>
        <v>The lost girls of Paris</v>
      </c>
      <c r="D476">
        <v>406418</v>
      </c>
      <c r="E476" t="str">
        <f>"Jenoff, Pam"</f>
        <v>Jenoff, Pam</v>
      </c>
      <c r="G476" t="str">
        <f>"377 pages, 24 cm"</f>
        <v>377 pages, 24 cm</v>
      </c>
      <c r="H476">
        <v>19</v>
      </c>
      <c r="I476">
        <v>2019</v>
      </c>
      <c r="J476" t="str">
        <f t="shared" si="87"/>
        <v>2: Fiction</v>
      </c>
      <c r="L476" t="s">
        <v>2395</v>
      </c>
      <c r="M476" t="s">
        <v>28</v>
      </c>
      <c r="N476" t="s">
        <v>2404</v>
      </c>
      <c r="O476">
        <v>9</v>
      </c>
      <c r="P476" s="2">
        <v>43585</v>
      </c>
      <c r="Q476" s="1">
        <v>32</v>
      </c>
      <c r="R476" t="s">
        <v>2681</v>
      </c>
      <c r="S476">
        <v>1078536709</v>
      </c>
    </row>
    <row r="477" spans="1:19" x14ac:dyDescent="0.2">
      <c r="A477" t="str">
        <f t="shared" si="88"/>
        <v>Adult Fiction</v>
      </c>
      <c r="B477" t="str">
        <f>"NEW F JENOF"</f>
        <v>NEW F JENOF</v>
      </c>
      <c r="C477" t="str">
        <f>"The lost girls of Paris"</f>
        <v>The lost girls of Paris</v>
      </c>
      <c r="D477">
        <v>357516</v>
      </c>
      <c r="E477" t="str">
        <f>"Jenoff, Pam"</f>
        <v>Jenoff, Pam</v>
      </c>
      <c r="G477" t="str">
        <f>"377 pages, 24 cm"</f>
        <v>377 pages, 24 cm</v>
      </c>
      <c r="H477" s="1">
        <v>19</v>
      </c>
      <c r="I477">
        <v>2019</v>
      </c>
      <c r="J477" t="str">
        <f t="shared" si="87"/>
        <v>2: Fiction</v>
      </c>
      <c r="L477" t="s">
        <v>2403</v>
      </c>
      <c r="M477" t="s">
        <v>28</v>
      </c>
      <c r="N477" t="s">
        <v>2404</v>
      </c>
      <c r="O477">
        <v>5</v>
      </c>
      <c r="P477" s="2">
        <v>43719</v>
      </c>
      <c r="Q477" s="1">
        <v>22</v>
      </c>
      <c r="R477" t="s">
        <v>2681</v>
      </c>
      <c r="S477">
        <v>1078536709</v>
      </c>
    </row>
    <row r="478" spans="1:19" x14ac:dyDescent="0.2">
      <c r="A478" t="str">
        <f t="shared" si="88"/>
        <v>Adult Fiction</v>
      </c>
      <c r="B478" t="str">
        <f>"NEW F JEWEL"</f>
        <v>NEW F JEWEL</v>
      </c>
      <c r="C478" t="str">
        <f>"The family upstairs"</f>
        <v>The family upstairs</v>
      </c>
      <c r="D478">
        <v>359018</v>
      </c>
      <c r="E478" t="str">
        <f>"Jewell, Lisa."</f>
        <v>Jewell, Lisa.</v>
      </c>
      <c r="G478" t="str">
        <f>"340 pages, 24 cm"</f>
        <v>340 pages, 24 cm</v>
      </c>
      <c r="H478" s="1">
        <v>19</v>
      </c>
      <c r="I478">
        <v>2019</v>
      </c>
      <c r="J478" t="str">
        <f t="shared" si="87"/>
        <v>2: Fiction</v>
      </c>
      <c r="L478" t="s">
        <v>2395</v>
      </c>
      <c r="M478" t="s">
        <v>28</v>
      </c>
      <c r="N478" t="s">
        <v>2401</v>
      </c>
      <c r="O478">
        <v>2</v>
      </c>
      <c r="P478" s="2">
        <v>43776</v>
      </c>
      <c r="Q478" s="1">
        <v>32</v>
      </c>
      <c r="R478" t="s">
        <v>2682</v>
      </c>
      <c r="S478">
        <v>1107410274</v>
      </c>
    </row>
    <row r="479" spans="1:19" x14ac:dyDescent="0.2">
      <c r="A479" t="str">
        <f t="shared" si="88"/>
        <v>Adult Fiction</v>
      </c>
      <c r="B479" t="str">
        <f>"NEW F JEWEL"</f>
        <v>NEW F JEWEL</v>
      </c>
      <c r="C479" t="str">
        <f>"The family upstairs"</f>
        <v>The family upstairs</v>
      </c>
      <c r="D479">
        <v>359019</v>
      </c>
      <c r="E479" t="str">
        <f>"Jewell, Lisa."</f>
        <v>Jewell, Lisa.</v>
      </c>
      <c r="G479" t="str">
        <f>"340 pages, 24 cm"</f>
        <v>340 pages, 24 cm</v>
      </c>
      <c r="H479" s="1">
        <v>19</v>
      </c>
      <c r="I479">
        <v>2019</v>
      </c>
      <c r="J479" t="str">
        <f t="shared" si="87"/>
        <v>2: Fiction</v>
      </c>
      <c r="L479" t="s">
        <v>2403</v>
      </c>
      <c r="M479" t="s">
        <v>28</v>
      </c>
      <c r="N479" t="s">
        <v>2404</v>
      </c>
      <c r="O479">
        <v>5</v>
      </c>
      <c r="P479" s="2">
        <v>43776</v>
      </c>
      <c r="Q479" s="1">
        <v>32</v>
      </c>
      <c r="R479" t="s">
        <v>2682</v>
      </c>
      <c r="S479">
        <v>1107410274</v>
      </c>
    </row>
    <row r="480" spans="1:19" x14ac:dyDescent="0.2">
      <c r="A480" t="str">
        <f t="shared" si="88"/>
        <v>Adult Fiction</v>
      </c>
      <c r="B480" t="str">
        <f>"NEW F JIN"</f>
        <v>NEW F JIN</v>
      </c>
      <c r="C480" t="str">
        <f>"Little Gods"</f>
        <v>Little Gods</v>
      </c>
      <c r="D480">
        <v>360475</v>
      </c>
      <c r="E480" t="str">
        <f>"Jin, Meng."</f>
        <v>Jin, Meng.</v>
      </c>
      <c r="G480" t="str">
        <f>"288 p."</f>
        <v>288 p.</v>
      </c>
      <c r="H480" s="1">
        <v>20</v>
      </c>
      <c r="I480">
        <v>2020</v>
      </c>
      <c r="J480" t="str">
        <f t="shared" si="87"/>
        <v>2: Fiction</v>
      </c>
      <c r="L480" t="s">
        <v>2395</v>
      </c>
      <c r="M480" t="s">
        <v>28</v>
      </c>
      <c r="N480" t="s">
        <v>2396</v>
      </c>
      <c r="O480">
        <v>0</v>
      </c>
      <c r="P480" s="2">
        <v>43851</v>
      </c>
      <c r="Q480" s="1">
        <v>33</v>
      </c>
      <c r="R480" t="s">
        <v>2683</v>
      </c>
      <c r="S480">
        <v>1134612545</v>
      </c>
    </row>
    <row r="481" spans="1:19" x14ac:dyDescent="0.2">
      <c r="A481" t="str">
        <f t="shared" si="88"/>
        <v>Adult Fiction</v>
      </c>
      <c r="B481" t="str">
        <f>"NEW F JOHAN"</f>
        <v>NEW F JOHAN</v>
      </c>
      <c r="C481" t="s">
        <v>2684</v>
      </c>
      <c r="D481">
        <v>360291</v>
      </c>
      <c r="E481" t="str">
        <f>"Johansen, Iris"</f>
        <v>Johansen, Iris</v>
      </c>
      <c r="F481" t="str">
        <f>"Kendra Michaels series (7)"</f>
        <v>Kendra Michaels series (7)</v>
      </c>
      <c r="G481" t="str">
        <f>"361 pages, 24 cm"</f>
        <v>361 pages, 24 cm</v>
      </c>
      <c r="H481" s="1">
        <v>19</v>
      </c>
      <c r="I481">
        <v>2020</v>
      </c>
      <c r="J481" t="str">
        <f t="shared" si="87"/>
        <v>2: Fiction</v>
      </c>
      <c r="L481" t="s">
        <v>2395</v>
      </c>
      <c r="M481" t="s">
        <v>28</v>
      </c>
      <c r="N481" t="s">
        <v>2404</v>
      </c>
      <c r="O481">
        <v>1</v>
      </c>
      <c r="P481" s="2">
        <v>43844</v>
      </c>
      <c r="Q481" s="1">
        <v>33</v>
      </c>
      <c r="R481" t="s">
        <v>2685</v>
      </c>
      <c r="S481">
        <v>1133058073</v>
      </c>
    </row>
    <row r="482" spans="1:19" x14ac:dyDescent="0.2">
      <c r="A482" t="str">
        <f t="shared" si="88"/>
        <v>Adult Fiction</v>
      </c>
      <c r="B482" t="str">
        <f>"NEW F JOHAN"</f>
        <v>NEW F JOHAN</v>
      </c>
      <c r="C482" t="s">
        <v>2684</v>
      </c>
      <c r="D482">
        <v>360292</v>
      </c>
      <c r="E482" t="str">
        <f>"Johansen, Iris"</f>
        <v>Johansen, Iris</v>
      </c>
      <c r="F482" t="str">
        <f>"Kendra Michaels series (7)"</f>
        <v>Kendra Michaels series (7)</v>
      </c>
      <c r="G482" t="str">
        <f>"361 pages, 24 cm"</f>
        <v>361 pages, 24 cm</v>
      </c>
      <c r="H482" s="1">
        <v>19</v>
      </c>
      <c r="I482">
        <v>2020</v>
      </c>
      <c r="J482" t="str">
        <f t="shared" si="87"/>
        <v>2: Fiction</v>
      </c>
      <c r="L482" t="s">
        <v>2395</v>
      </c>
      <c r="M482" t="s">
        <v>28</v>
      </c>
      <c r="N482" t="s">
        <v>2404</v>
      </c>
      <c r="O482">
        <v>1</v>
      </c>
      <c r="P482" s="2">
        <v>43844</v>
      </c>
      <c r="Q482" s="1">
        <v>33</v>
      </c>
      <c r="R482" t="s">
        <v>2685</v>
      </c>
      <c r="S482">
        <v>1133058073</v>
      </c>
    </row>
    <row r="483" spans="1:19" x14ac:dyDescent="0.2">
      <c r="A483" t="str">
        <f t="shared" si="88"/>
        <v>Adult Fiction</v>
      </c>
      <c r="B483" t="str">
        <f>"NEW F JOHAN"</f>
        <v>NEW F JOHAN</v>
      </c>
      <c r="C483" t="s">
        <v>2684</v>
      </c>
      <c r="D483">
        <v>360293</v>
      </c>
      <c r="E483" t="str">
        <f>"Johansen, Iris"</f>
        <v>Johansen, Iris</v>
      </c>
      <c r="F483" t="str">
        <f>"Kendra Michaels series (7)"</f>
        <v>Kendra Michaels series (7)</v>
      </c>
      <c r="G483" t="str">
        <f>"361 pages, 24 cm"</f>
        <v>361 pages, 24 cm</v>
      </c>
      <c r="H483" s="1">
        <v>19</v>
      </c>
      <c r="I483">
        <v>2020</v>
      </c>
      <c r="J483" t="str">
        <f t="shared" si="87"/>
        <v>2: Fiction</v>
      </c>
      <c r="L483" t="s">
        <v>2395</v>
      </c>
      <c r="M483" t="s">
        <v>28</v>
      </c>
      <c r="N483" t="s">
        <v>2404</v>
      </c>
      <c r="O483">
        <v>1</v>
      </c>
      <c r="P483" s="2">
        <v>43844</v>
      </c>
      <c r="Q483" s="1">
        <v>33</v>
      </c>
      <c r="R483" t="s">
        <v>2685</v>
      </c>
      <c r="S483">
        <v>1133058073</v>
      </c>
    </row>
    <row r="484" spans="1:19" x14ac:dyDescent="0.2">
      <c r="A484" t="str">
        <f t="shared" si="88"/>
        <v>Adult Fiction</v>
      </c>
      <c r="B484" t="str">
        <f>"NEW F JOHAN"</f>
        <v>NEW F JOHAN</v>
      </c>
      <c r="C484" t="s">
        <v>2684</v>
      </c>
      <c r="D484">
        <v>360294</v>
      </c>
      <c r="E484" t="str">
        <f>"Johansen, Iris"</f>
        <v>Johansen, Iris</v>
      </c>
      <c r="F484" t="str">
        <f>"Kendra Michaels series (7)"</f>
        <v>Kendra Michaels series (7)</v>
      </c>
      <c r="G484" t="str">
        <f>"361 pages, 24 cm"</f>
        <v>361 pages, 24 cm</v>
      </c>
      <c r="H484" s="1">
        <v>19</v>
      </c>
      <c r="I484">
        <v>2020</v>
      </c>
      <c r="J484" t="str">
        <f t="shared" si="87"/>
        <v>2: Fiction</v>
      </c>
      <c r="L484" t="s">
        <v>2395</v>
      </c>
      <c r="M484" t="s">
        <v>28</v>
      </c>
      <c r="N484" t="str">
        <f>"Reserve Cart"</f>
        <v>Reserve Cart</v>
      </c>
      <c r="O484">
        <v>1</v>
      </c>
      <c r="P484" s="2">
        <v>43844</v>
      </c>
      <c r="Q484" s="1">
        <v>33</v>
      </c>
      <c r="R484" t="s">
        <v>2685</v>
      </c>
      <c r="S484">
        <v>1133058073</v>
      </c>
    </row>
    <row r="485" spans="1:19" x14ac:dyDescent="0.2">
      <c r="A485" t="str">
        <f t="shared" si="88"/>
        <v>Adult Fiction</v>
      </c>
      <c r="B485" t="str">
        <f>"NEW F JOHAN"</f>
        <v>NEW F JOHAN</v>
      </c>
      <c r="C485" t="s">
        <v>2686</v>
      </c>
      <c r="D485">
        <v>356478</v>
      </c>
      <c r="E485" t="str">
        <f>"Johansen, Iris"</f>
        <v>Johansen, Iris</v>
      </c>
      <c r="F485" t="str">
        <f>"Eve Duncan Mystery series (27)"</f>
        <v>Eve Duncan Mystery series (27)</v>
      </c>
      <c r="G485" t="str">
        <f>"422 pages, 24 cm"</f>
        <v>422 pages, 24 cm</v>
      </c>
      <c r="H485" s="1">
        <v>19</v>
      </c>
      <c r="I485">
        <v>2019</v>
      </c>
      <c r="J485" t="str">
        <f t="shared" si="87"/>
        <v>2: Fiction</v>
      </c>
      <c r="L485" t="s">
        <v>2395</v>
      </c>
      <c r="M485" t="s">
        <v>28</v>
      </c>
      <c r="N485" t="s">
        <v>2396</v>
      </c>
      <c r="O485">
        <v>10</v>
      </c>
      <c r="P485" s="2">
        <v>43675</v>
      </c>
      <c r="Q485" s="1">
        <v>33</v>
      </c>
      <c r="R485" t="s">
        <v>2687</v>
      </c>
      <c r="S485">
        <v>1057729122</v>
      </c>
    </row>
    <row r="486" spans="1:19" x14ac:dyDescent="0.2">
      <c r="A486" t="str">
        <f t="shared" si="88"/>
        <v>Adult Fiction</v>
      </c>
      <c r="B486" t="str">
        <f>"NEW F JOHNS"</f>
        <v>NEW F JOHNS</v>
      </c>
      <c r="C486" t="str">
        <f>"Land of wolves"</f>
        <v>Land of wolves</v>
      </c>
      <c r="D486">
        <v>358120</v>
      </c>
      <c r="E486" t="str">
        <f>"Johnson, Craig"</f>
        <v>Johnson, Craig</v>
      </c>
      <c r="F486" t="str">
        <f>"Walt Longmire Mystery series (16)"</f>
        <v>Walt Longmire Mystery series (16)</v>
      </c>
      <c r="G486" t="str">
        <f>"xiii, 320 pages, 24 cm"</f>
        <v>xiii, 320 pages, 24 cm</v>
      </c>
      <c r="H486" s="1">
        <v>19</v>
      </c>
      <c r="I486">
        <v>2019</v>
      </c>
      <c r="J486" t="str">
        <f t="shared" si="87"/>
        <v>2: Fiction</v>
      </c>
      <c r="L486" t="s">
        <v>2395</v>
      </c>
      <c r="M486" t="s">
        <v>28</v>
      </c>
      <c r="N486" t="s">
        <v>2396</v>
      </c>
      <c r="O486">
        <v>9</v>
      </c>
      <c r="P486" s="2">
        <v>43740</v>
      </c>
      <c r="Q486" s="1">
        <v>33</v>
      </c>
      <c r="R486" t="s">
        <v>2688</v>
      </c>
      <c r="S486">
        <v>1083677689</v>
      </c>
    </row>
    <row r="487" spans="1:19" x14ac:dyDescent="0.2">
      <c r="A487" t="str">
        <f t="shared" si="88"/>
        <v>Adult Fiction</v>
      </c>
      <c r="B487" t="str">
        <f>"NEW F JONES"</f>
        <v>NEW F JONES</v>
      </c>
      <c r="C487" t="str">
        <f>"The snakes: a novel"</f>
        <v>The snakes: a novel</v>
      </c>
      <c r="D487">
        <v>356841</v>
      </c>
      <c r="E487" t="str">
        <f>"Jones, Sadie."</f>
        <v>Jones, Sadie.</v>
      </c>
      <c r="G487" t="str">
        <f>"439 pages, 24 cm"</f>
        <v>439 pages, 24 cm</v>
      </c>
      <c r="H487" s="1">
        <v>19</v>
      </c>
      <c r="I487">
        <v>2019</v>
      </c>
      <c r="J487" t="str">
        <f t="shared" si="87"/>
        <v>2: Fiction</v>
      </c>
      <c r="L487" t="s">
        <v>2395</v>
      </c>
      <c r="M487" t="s">
        <v>28</v>
      </c>
      <c r="N487" t="s">
        <v>2396</v>
      </c>
      <c r="O487">
        <v>7</v>
      </c>
      <c r="P487" s="2">
        <v>43691</v>
      </c>
      <c r="Q487" s="1">
        <v>32</v>
      </c>
      <c r="R487" t="s">
        <v>2689</v>
      </c>
      <c r="S487">
        <v>1104817339</v>
      </c>
    </row>
    <row r="488" spans="1:19" x14ac:dyDescent="0.2">
      <c r="A488" t="str">
        <f t="shared" si="88"/>
        <v>Adult Fiction</v>
      </c>
      <c r="B488" t="str">
        <f>"NEW F JONES"</f>
        <v>NEW F JONES</v>
      </c>
      <c r="C488" t="str">
        <f>"The better liar"</f>
        <v>The better liar</v>
      </c>
      <c r="D488">
        <v>360590</v>
      </c>
      <c r="E488" t="str">
        <f>"Jones, Tanen"</f>
        <v>Jones, Tanen</v>
      </c>
      <c r="G488" t="str">
        <f>"306 pages, 25 cm"</f>
        <v>306 pages, 25 cm</v>
      </c>
      <c r="H488" s="1">
        <v>20</v>
      </c>
      <c r="I488">
        <v>2020</v>
      </c>
      <c r="J488" t="str">
        <f t="shared" si="87"/>
        <v>2: Fiction</v>
      </c>
      <c r="L488" t="s">
        <v>2395</v>
      </c>
      <c r="M488" t="s">
        <v>28</v>
      </c>
      <c r="N488" t="s">
        <v>2495</v>
      </c>
      <c r="O488">
        <v>0</v>
      </c>
      <c r="P488" s="2">
        <v>43859</v>
      </c>
      <c r="Q488" s="1">
        <v>32</v>
      </c>
      <c r="R488" t="s">
        <v>2690</v>
      </c>
      <c r="S488">
        <v>1111255039</v>
      </c>
    </row>
    <row r="489" spans="1:19" x14ac:dyDescent="0.2">
      <c r="A489" t="str">
        <f t="shared" si="88"/>
        <v>Adult Fiction</v>
      </c>
      <c r="B489" t="str">
        <f>"NEW F JONES"</f>
        <v>NEW F JONES</v>
      </c>
      <c r="C489" t="str">
        <f>"The better liar"</f>
        <v>The better liar</v>
      </c>
      <c r="D489">
        <v>360591</v>
      </c>
      <c r="E489" t="str">
        <f>"Jones, Tanen"</f>
        <v>Jones, Tanen</v>
      </c>
      <c r="G489" t="str">
        <f>"306 pages, 25 cm"</f>
        <v>306 pages, 25 cm</v>
      </c>
      <c r="H489" s="1">
        <v>20</v>
      </c>
      <c r="I489">
        <v>2020</v>
      </c>
      <c r="J489" t="str">
        <f t="shared" si="87"/>
        <v>2: Fiction</v>
      </c>
      <c r="L489" t="s">
        <v>2403</v>
      </c>
      <c r="M489" t="s">
        <v>28</v>
      </c>
      <c r="N489" t="s">
        <v>2495</v>
      </c>
      <c r="O489">
        <v>0</v>
      </c>
      <c r="P489" s="2">
        <v>43859</v>
      </c>
      <c r="Q489" s="1">
        <v>32</v>
      </c>
      <c r="R489" t="s">
        <v>2690</v>
      </c>
      <c r="S489">
        <v>1111255039</v>
      </c>
    </row>
    <row r="490" spans="1:19" x14ac:dyDescent="0.2">
      <c r="A490" t="str">
        <f t="shared" si="88"/>
        <v>Adult Fiction</v>
      </c>
      <c r="B490" t="str">
        <f>"NEW F JORDA"</f>
        <v>NEW F JORDA</v>
      </c>
      <c r="C490" t="str">
        <f>"Warrior of the Altaii"</f>
        <v>Warrior of the Altaii</v>
      </c>
      <c r="D490">
        <v>358575</v>
      </c>
      <c r="E490" t="str">
        <f>"Jordan, Robert"</f>
        <v>Jordan, Robert</v>
      </c>
      <c r="G490" t="str">
        <f>"352 pages, 25 cm, illustrations, color map"</f>
        <v>352 pages, 25 cm, illustrations, color map</v>
      </c>
      <c r="H490" s="1">
        <v>19</v>
      </c>
      <c r="I490">
        <v>2019</v>
      </c>
      <c r="J490" t="str">
        <f t="shared" si="87"/>
        <v>2: Fiction</v>
      </c>
      <c r="L490" t="s">
        <v>2395</v>
      </c>
      <c r="M490" t="s">
        <v>28</v>
      </c>
      <c r="N490" t="s">
        <v>2396</v>
      </c>
      <c r="O490">
        <v>3</v>
      </c>
      <c r="P490" s="2">
        <v>43756</v>
      </c>
      <c r="Q490" s="1">
        <v>33</v>
      </c>
      <c r="R490" t="s">
        <v>2691</v>
      </c>
      <c r="S490">
        <v>1120772085</v>
      </c>
    </row>
    <row r="491" spans="1:19" x14ac:dyDescent="0.2">
      <c r="A491" t="str">
        <f t="shared" si="88"/>
        <v>Adult Fiction</v>
      </c>
      <c r="B491" t="str">
        <f>"NEW F KAMAL"</f>
        <v>NEW F KAMAL</v>
      </c>
      <c r="C491" t="str">
        <f>"The stationery shop"</f>
        <v>The stationery shop</v>
      </c>
      <c r="D491">
        <v>356678</v>
      </c>
      <c r="E491" t="str">
        <f>"Kamali, Marjan"</f>
        <v>Kamali, Marjan</v>
      </c>
      <c r="G491" t="str">
        <f>"312 p., 23 cm"</f>
        <v>312 p., 23 cm</v>
      </c>
      <c r="H491" s="1">
        <v>19</v>
      </c>
      <c r="I491">
        <v>2019</v>
      </c>
      <c r="J491" t="str">
        <f t="shared" si="87"/>
        <v>2: Fiction</v>
      </c>
      <c r="L491" t="s">
        <v>2403</v>
      </c>
      <c r="M491" t="s">
        <v>28</v>
      </c>
      <c r="N491" t="s">
        <v>2404</v>
      </c>
      <c r="O491">
        <v>6</v>
      </c>
      <c r="P491" s="2">
        <v>43689</v>
      </c>
      <c r="Q491" s="1">
        <v>32</v>
      </c>
      <c r="R491" t="s">
        <v>2692</v>
      </c>
      <c r="S491">
        <v>1056734009</v>
      </c>
    </row>
    <row r="492" spans="1:19" x14ac:dyDescent="0.2">
      <c r="A492" t="str">
        <f t="shared" si="88"/>
        <v>Adult Fiction</v>
      </c>
      <c r="B492" t="str">
        <f>"NEW F KAMAL"</f>
        <v>NEW F KAMAL</v>
      </c>
      <c r="C492" t="str">
        <f>"The stationery shop"</f>
        <v>The stationery shop</v>
      </c>
      <c r="D492">
        <v>356679</v>
      </c>
      <c r="E492" t="str">
        <f>"Kamali, Marjan"</f>
        <v>Kamali, Marjan</v>
      </c>
      <c r="G492" t="str">
        <f>"312 p., 23 cm"</f>
        <v>312 p., 23 cm</v>
      </c>
      <c r="H492" s="1">
        <v>19</v>
      </c>
      <c r="I492">
        <v>2019</v>
      </c>
      <c r="J492" t="str">
        <f t="shared" si="87"/>
        <v>2: Fiction</v>
      </c>
      <c r="L492" t="s">
        <v>2395</v>
      </c>
      <c r="M492" t="s">
        <v>28</v>
      </c>
      <c r="N492" t="s">
        <v>2404</v>
      </c>
      <c r="O492">
        <v>7</v>
      </c>
      <c r="P492" s="2">
        <v>43689</v>
      </c>
      <c r="Q492" s="1">
        <v>32</v>
      </c>
      <c r="R492" t="s">
        <v>2692</v>
      </c>
      <c r="S492">
        <v>1056734009</v>
      </c>
    </row>
    <row r="493" spans="1:19" x14ac:dyDescent="0.2">
      <c r="A493" t="str">
        <f t="shared" si="88"/>
        <v>Adult Fiction</v>
      </c>
      <c r="B493" t="str">
        <f>"NEW F KANON"</f>
        <v>NEW F KANON</v>
      </c>
      <c r="C493" t="str">
        <f>"The accomplice: a novel"</f>
        <v>The accomplice: a novel</v>
      </c>
      <c r="D493">
        <v>359171</v>
      </c>
      <c r="E493" t="str">
        <f>"Kanon, Joseph"</f>
        <v>Kanon, Joseph</v>
      </c>
      <c r="G493" t="str">
        <f>"324 pages, 24 cm"</f>
        <v>324 pages, 24 cm</v>
      </c>
      <c r="H493" s="1">
        <v>19</v>
      </c>
      <c r="I493">
        <v>2019</v>
      </c>
      <c r="J493" t="str">
        <f t="shared" si="87"/>
        <v>2: Fiction</v>
      </c>
      <c r="L493" t="s">
        <v>2403</v>
      </c>
      <c r="M493" t="s">
        <v>28</v>
      </c>
      <c r="N493" t="s">
        <v>2396</v>
      </c>
      <c r="O493">
        <v>4</v>
      </c>
      <c r="P493" s="2">
        <v>43782</v>
      </c>
      <c r="Q493" s="1">
        <v>33</v>
      </c>
      <c r="R493" t="s">
        <v>2693</v>
      </c>
      <c r="S493">
        <v>1085157703</v>
      </c>
    </row>
    <row r="494" spans="1:19" x14ac:dyDescent="0.2">
      <c r="A494" t="str">
        <f t="shared" si="88"/>
        <v>Adult Fiction</v>
      </c>
      <c r="B494" t="str">
        <f>"NEW F KANTR"</f>
        <v>NEW F KANTR</v>
      </c>
      <c r="C494" t="str">
        <f>"Meg &amp; Jo"</f>
        <v>Meg &amp; Jo</v>
      </c>
      <c r="D494">
        <v>359616</v>
      </c>
      <c r="E494" t="str">
        <f>"Kantra, Virginia"</f>
        <v>Kantra, Virginia</v>
      </c>
      <c r="G494" t="str">
        <f>"viii, 390 pages, 21 cm"</f>
        <v>viii, 390 pages, 21 cm</v>
      </c>
      <c r="H494" s="1">
        <v>19</v>
      </c>
      <c r="I494">
        <v>2019</v>
      </c>
      <c r="J494" t="str">
        <f t="shared" si="87"/>
        <v>2: Fiction</v>
      </c>
      <c r="L494" t="s">
        <v>2403</v>
      </c>
      <c r="M494" t="s">
        <v>28</v>
      </c>
      <c r="N494" t="s">
        <v>2404</v>
      </c>
      <c r="O494">
        <v>5</v>
      </c>
      <c r="P494" s="2">
        <v>43803</v>
      </c>
      <c r="Q494" s="1">
        <v>21</v>
      </c>
      <c r="R494" t="s">
        <v>2694</v>
      </c>
      <c r="S494">
        <v>1101505841</v>
      </c>
    </row>
    <row r="495" spans="1:19" x14ac:dyDescent="0.2">
      <c r="A495" t="str">
        <f t="shared" si="88"/>
        <v>Adult Fiction</v>
      </c>
      <c r="B495" t="str">
        <f>"NEW F KANTR"</f>
        <v>NEW F KANTR</v>
      </c>
      <c r="C495" t="str">
        <f>"Meg &amp; Jo"</f>
        <v>Meg &amp; Jo</v>
      </c>
      <c r="D495">
        <v>359617</v>
      </c>
      <c r="E495" t="str">
        <f>"Kantra, Virginia"</f>
        <v>Kantra, Virginia</v>
      </c>
      <c r="G495" t="str">
        <f>"viii, 390 pages, 21 cm"</f>
        <v>viii, 390 pages, 21 cm</v>
      </c>
      <c r="H495" s="1">
        <v>19</v>
      </c>
      <c r="I495">
        <v>2019</v>
      </c>
      <c r="J495" t="str">
        <f t="shared" si="87"/>
        <v>2: Fiction</v>
      </c>
      <c r="L495" t="s">
        <v>2403</v>
      </c>
      <c r="M495" t="s">
        <v>28</v>
      </c>
      <c r="N495" t="s">
        <v>2404</v>
      </c>
      <c r="O495">
        <v>2</v>
      </c>
      <c r="P495" s="2">
        <v>43803</v>
      </c>
      <c r="Q495" s="1">
        <v>21</v>
      </c>
      <c r="R495" t="s">
        <v>2694</v>
      </c>
      <c r="S495">
        <v>1101505841</v>
      </c>
    </row>
    <row r="496" spans="1:19" x14ac:dyDescent="0.2">
      <c r="A496" t="str">
        <f t="shared" si="88"/>
        <v>Adult Fiction</v>
      </c>
      <c r="B496" t="str">
        <f>"NEW F KATZ"</f>
        <v>NEW F KATZ</v>
      </c>
      <c r="C496" t="str">
        <f>"A good man"</f>
        <v>A good man</v>
      </c>
      <c r="D496">
        <v>360604</v>
      </c>
      <c r="E496" t="str">
        <f>"Katz, Ani"</f>
        <v>Katz, Ani</v>
      </c>
      <c r="G496" t="str">
        <f>"213 pages, 20 cm"</f>
        <v>213 pages, 20 cm</v>
      </c>
      <c r="H496" s="1">
        <v>20</v>
      </c>
      <c r="I496">
        <v>2020</v>
      </c>
      <c r="J496" t="str">
        <f t="shared" si="87"/>
        <v>2: Fiction</v>
      </c>
      <c r="L496" t="s">
        <v>2395</v>
      </c>
      <c r="M496" t="s">
        <v>28</v>
      </c>
      <c r="N496" t="s">
        <v>2495</v>
      </c>
      <c r="O496">
        <v>0</v>
      </c>
      <c r="P496" s="2">
        <v>43859</v>
      </c>
      <c r="Q496" s="1">
        <v>22</v>
      </c>
      <c r="R496" t="s">
        <v>2695</v>
      </c>
      <c r="S496">
        <v>1105936555</v>
      </c>
    </row>
    <row r="497" spans="1:19" x14ac:dyDescent="0.2">
      <c r="A497" t="str">
        <f t="shared" si="88"/>
        <v>Adult Fiction</v>
      </c>
      <c r="B497" t="str">
        <f>"NEW F KAVA"</f>
        <v>NEW F KAVA</v>
      </c>
      <c r="C497" t="str">
        <f>"Desperate creed"</f>
        <v>Desperate creed</v>
      </c>
      <c r="D497">
        <v>357164</v>
      </c>
      <c r="E497" t="str">
        <f>"Kava, Alex"</f>
        <v>Kava, Alex</v>
      </c>
      <c r="F497" t="str">
        <f>"Ryder Creed series (5)"</f>
        <v>Ryder Creed series (5)</v>
      </c>
      <c r="G497" t="str">
        <f>"311 p., 24 cm"</f>
        <v>311 p., 24 cm</v>
      </c>
      <c r="H497" s="1">
        <v>19</v>
      </c>
      <c r="I497">
        <v>2019</v>
      </c>
      <c r="J497" t="str">
        <f t="shared" si="87"/>
        <v>2: Fiction</v>
      </c>
      <c r="L497" t="s">
        <v>2403</v>
      </c>
      <c r="M497" t="s">
        <v>28</v>
      </c>
      <c r="N497" t="s">
        <v>2401</v>
      </c>
      <c r="O497">
        <v>3</v>
      </c>
      <c r="P497" s="2">
        <v>43704</v>
      </c>
      <c r="Q497" s="1">
        <v>33</v>
      </c>
      <c r="R497" t="s">
        <v>2696</v>
      </c>
      <c r="S497">
        <v>1107856006</v>
      </c>
    </row>
    <row r="498" spans="1:19" x14ac:dyDescent="0.2">
      <c r="A498" t="str">
        <f t="shared" si="88"/>
        <v>Adult Fiction</v>
      </c>
      <c r="B498" t="str">
        <f>"NEW F KAVEN"</f>
        <v>NEW F KAVEN</v>
      </c>
      <c r="C498" t="str">
        <f>"Zed: a novel"</f>
        <v>Zed: a novel</v>
      </c>
      <c r="D498">
        <v>360400</v>
      </c>
      <c r="E498" t="str">
        <f>"Kavenna, Joanna"</f>
        <v>Kavenna, Joanna</v>
      </c>
      <c r="G498" t="str">
        <f>"335 pages, 24 cm"</f>
        <v>335 pages, 24 cm</v>
      </c>
      <c r="H498" s="1">
        <v>20</v>
      </c>
      <c r="I498">
        <v>2019</v>
      </c>
      <c r="J498" t="str">
        <f t="shared" si="87"/>
        <v>2: Fiction</v>
      </c>
      <c r="L498" t="s">
        <v>2395</v>
      </c>
      <c r="M498" t="s">
        <v>28</v>
      </c>
      <c r="N498" t="s">
        <v>2404</v>
      </c>
      <c r="O498">
        <v>1</v>
      </c>
      <c r="P498" s="2">
        <v>43851</v>
      </c>
      <c r="Q498" s="1">
        <v>33</v>
      </c>
      <c r="R498" t="s">
        <v>2697</v>
      </c>
      <c r="S498">
        <v>1089841586</v>
      </c>
    </row>
    <row r="499" spans="1:19" x14ac:dyDescent="0.2">
      <c r="A499" t="str">
        <f t="shared" si="88"/>
        <v>Adult Fiction</v>
      </c>
      <c r="B499" t="str">
        <f>"NEW F KEANE"</f>
        <v>NEW F KEANE</v>
      </c>
      <c r="C499" t="str">
        <f>"Ask again, yes: a novel"</f>
        <v>Ask again, yes: a novel</v>
      </c>
      <c r="D499">
        <v>357092</v>
      </c>
      <c r="E499" t="str">
        <f>"Keane, Mary Beth."</f>
        <v>Keane, Mary Beth.</v>
      </c>
      <c r="G499" t="str">
        <f>"390 pages, 24 cm"</f>
        <v>390 pages, 24 cm</v>
      </c>
      <c r="H499" s="1">
        <v>19</v>
      </c>
      <c r="I499">
        <v>2019</v>
      </c>
      <c r="J499" t="str">
        <f t="shared" si="87"/>
        <v>2: Fiction</v>
      </c>
      <c r="L499" t="s">
        <v>2395</v>
      </c>
      <c r="M499" t="s">
        <v>28</v>
      </c>
      <c r="N499" t="s">
        <v>2404</v>
      </c>
      <c r="O499">
        <v>10</v>
      </c>
      <c r="P499" s="2">
        <v>43704</v>
      </c>
      <c r="Q499" s="1">
        <v>32</v>
      </c>
      <c r="R499" t="s">
        <v>2698</v>
      </c>
      <c r="S499">
        <v>1048660179</v>
      </c>
    </row>
    <row r="500" spans="1:19" x14ac:dyDescent="0.2">
      <c r="A500" t="str">
        <f t="shared" si="88"/>
        <v>Adult Fiction</v>
      </c>
      <c r="B500" t="str">
        <f>"NEW F KEANE"</f>
        <v>NEW F KEANE</v>
      </c>
      <c r="C500" t="str">
        <f>"Ask again, yes: a novel"</f>
        <v>Ask again, yes: a novel</v>
      </c>
      <c r="D500">
        <v>357093</v>
      </c>
      <c r="E500" t="str">
        <f>"Keane, Mary Beth."</f>
        <v>Keane, Mary Beth.</v>
      </c>
      <c r="G500" t="str">
        <f>"390 pages, 24 cm"</f>
        <v>390 pages, 24 cm</v>
      </c>
      <c r="H500" s="1">
        <v>19</v>
      </c>
      <c r="I500">
        <v>2019</v>
      </c>
      <c r="J500" t="str">
        <f t="shared" si="87"/>
        <v>2: Fiction</v>
      </c>
      <c r="L500" t="s">
        <v>2395</v>
      </c>
      <c r="M500" t="s">
        <v>28</v>
      </c>
      <c r="N500" t="s">
        <v>2404</v>
      </c>
      <c r="O500">
        <v>6</v>
      </c>
      <c r="P500" s="2">
        <v>43704</v>
      </c>
      <c r="Q500" s="1">
        <v>32</v>
      </c>
      <c r="R500" t="s">
        <v>2698</v>
      </c>
      <c r="S500">
        <v>1048660179</v>
      </c>
    </row>
    <row r="501" spans="1:19" x14ac:dyDescent="0.2">
      <c r="A501" t="str">
        <f t="shared" si="88"/>
        <v>Adult Fiction</v>
      </c>
      <c r="B501" t="str">
        <f>"NEW F KEIR"</f>
        <v>NEW F KEIR</v>
      </c>
      <c r="C501" t="str">
        <f>"Drowning with others"</f>
        <v>Drowning with others</v>
      </c>
      <c r="D501">
        <v>358683</v>
      </c>
      <c r="E501" t="str">
        <f>"Keir, Linda"</f>
        <v>Keir, Linda</v>
      </c>
      <c r="G501" t="str">
        <f>"375 pages, 22 cm"</f>
        <v>375 pages, 22 cm</v>
      </c>
      <c r="H501" s="1">
        <v>19</v>
      </c>
      <c r="I501">
        <v>2019</v>
      </c>
      <c r="J501" t="str">
        <f t="shared" si="87"/>
        <v>2: Fiction</v>
      </c>
      <c r="L501" t="s">
        <v>2403</v>
      </c>
      <c r="M501" t="s">
        <v>28</v>
      </c>
      <c r="N501" t="s">
        <v>2404</v>
      </c>
      <c r="O501">
        <v>4</v>
      </c>
      <c r="P501" s="2">
        <v>43762</v>
      </c>
      <c r="Q501" s="1">
        <v>30</v>
      </c>
      <c r="R501" t="s">
        <v>2699</v>
      </c>
      <c r="S501">
        <v>1119389105</v>
      </c>
    </row>
    <row r="502" spans="1:19" x14ac:dyDescent="0.2">
      <c r="A502" t="str">
        <f t="shared" si="88"/>
        <v>Adult Fiction</v>
      </c>
      <c r="B502" t="str">
        <f>"NEW F KELLY"</f>
        <v>NEW F KELLY</v>
      </c>
      <c r="C502" t="str">
        <f>"The whispers of war"</f>
        <v>The whispers of war</v>
      </c>
      <c r="D502">
        <v>360641</v>
      </c>
      <c r="E502" t="str">
        <f>"Kelly, Julia"</f>
        <v>Kelly, Julia</v>
      </c>
      <c r="G502" t="str">
        <f>"326 pages, 24 cm"</f>
        <v>326 pages, 24 cm</v>
      </c>
      <c r="H502" s="1">
        <v>20</v>
      </c>
      <c r="I502">
        <v>2020</v>
      </c>
      <c r="J502" t="str">
        <f t="shared" si="87"/>
        <v>2: Fiction</v>
      </c>
      <c r="L502" t="s">
        <v>2395</v>
      </c>
      <c r="M502" t="s">
        <v>28</v>
      </c>
      <c r="N502" t="s">
        <v>2495</v>
      </c>
      <c r="O502">
        <v>0</v>
      </c>
      <c r="P502" s="2">
        <v>43859</v>
      </c>
      <c r="Q502" s="1">
        <v>32</v>
      </c>
      <c r="R502" t="s">
        <v>2700</v>
      </c>
      <c r="S502">
        <v>1104324401</v>
      </c>
    </row>
    <row r="503" spans="1:19" x14ac:dyDescent="0.2">
      <c r="A503" t="str">
        <f t="shared" si="88"/>
        <v>Adult Fiction</v>
      </c>
      <c r="B503" t="str">
        <f>"NEW F KENDA"</f>
        <v>NEW F KENDA</v>
      </c>
      <c r="C503" t="str">
        <f>"I spy"</f>
        <v>I spy</v>
      </c>
      <c r="D503">
        <v>356800</v>
      </c>
      <c r="E503" t="str">
        <f>"Kendal, Claire."</f>
        <v>Kendal, Claire.</v>
      </c>
      <c r="G503" t="str">
        <f>"418 pages, 24 cm"</f>
        <v>418 pages, 24 cm</v>
      </c>
      <c r="H503" s="1">
        <v>19</v>
      </c>
      <c r="I503">
        <v>2019</v>
      </c>
      <c r="J503" t="str">
        <f t="shared" si="87"/>
        <v>2: Fiction</v>
      </c>
      <c r="L503" t="s">
        <v>2395</v>
      </c>
      <c r="M503" t="s">
        <v>28</v>
      </c>
      <c r="N503" t="s">
        <v>2404</v>
      </c>
      <c r="O503">
        <v>8</v>
      </c>
      <c r="P503" s="2">
        <v>43690</v>
      </c>
      <c r="Q503" s="1">
        <v>32</v>
      </c>
      <c r="R503" t="s">
        <v>2701</v>
      </c>
      <c r="S503">
        <v>1030489776</v>
      </c>
    </row>
    <row r="504" spans="1:19" x14ac:dyDescent="0.2">
      <c r="A504" t="str">
        <f t="shared" si="88"/>
        <v>Adult Fiction</v>
      </c>
      <c r="B504" t="str">
        <f>"NEW F KERET"</f>
        <v>NEW F KERET</v>
      </c>
      <c r="C504" t="str">
        <f>"Fly already"</f>
        <v>Fly already</v>
      </c>
      <c r="D504">
        <v>357423</v>
      </c>
      <c r="E504" t="str">
        <f>"Keret, Etgar"</f>
        <v>Keret, Etgar</v>
      </c>
      <c r="G504" t="str">
        <f>"209 pages, 22 cm"</f>
        <v>209 pages, 22 cm</v>
      </c>
      <c r="H504" s="1">
        <v>19</v>
      </c>
      <c r="I504">
        <v>2019</v>
      </c>
      <c r="J504" t="str">
        <f t="shared" si="87"/>
        <v>2: Fiction</v>
      </c>
      <c r="L504" t="s">
        <v>2395</v>
      </c>
      <c r="M504" t="s">
        <v>28</v>
      </c>
      <c r="N504" t="s">
        <v>2404</v>
      </c>
      <c r="O504">
        <v>6</v>
      </c>
      <c r="P504" s="2">
        <v>43718</v>
      </c>
      <c r="Q504" s="1">
        <v>32</v>
      </c>
      <c r="R504" t="s">
        <v>2702</v>
      </c>
      <c r="S504">
        <v>1050454981</v>
      </c>
    </row>
    <row r="505" spans="1:19" x14ac:dyDescent="0.2">
      <c r="A505" t="str">
        <f t="shared" si="88"/>
        <v>Adult Fiction</v>
      </c>
      <c r="B505" t="str">
        <f>"NEW F KIDMA"</f>
        <v>NEW F KIDMA</v>
      </c>
      <c r="C505" t="str">
        <f>"This mortal boy"</f>
        <v>This mortal boy</v>
      </c>
      <c r="D505">
        <v>358570</v>
      </c>
      <c r="E505" t="str">
        <f>"Kidman, Fiona,"</f>
        <v>Kidman, Fiona,</v>
      </c>
      <c r="G505" t="str">
        <f>"288 pages, 20 cm"</f>
        <v>288 pages, 20 cm</v>
      </c>
      <c r="H505" s="1">
        <v>19</v>
      </c>
      <c r="I505">
        <v>2019</v>
      </c>
      <c r="J505" t="str">
        <f t="shared" si="87"/>
        <v>2: Fiction</v>
      </c>
      <c r="L505" t="s">
        <v>2395</v>
      </c>
      <c r="M505" t="s">
        <v>28</v>
      </c>
      <c r="N505" t="s">
        <v>2396</v>
      </c>
      <c r="O505">
        <v>4</v>
      </c>
      <c r="P505" s="2">
        <v>43756</v>
      </c>
      <c r="Q505" s="1">
        <v>21</v>
      </c>
      <c r="R505" t="s">
        <v>2703</v>
      </c>
      <c r="S505">
        <v>1082541495</v>
      </c>
    </row>
    <row r="506" spans="1:19" x14ac:dyDescent="0.2">
      <c r="A506" t="str">
        <f t="shared" si="88"/>
        <v>Adult Fiction</v>
      </c>
      <c r="B506" t="str">
        <f>"NEW F KIESL"</f>
        <v>NEW F KIESL</v>
      </c>
      <c r="C506" t="str">
        <f>"The Golden State"</f>
        <v>The Golden State</v>
      </c>
      <c r="D506">
        <v>357700</v>
      </c>
      <c r="E506" t="str">
        <f>"Kiesling, Lydia"</f>
        <v>Kiesling, Lydia</v>
      </c>
      <c r="G506" t="str">
        <f>"292 pages, 22 cm"</f>
        <v>292 pages, 22 cm</v>
      </c>
      <c r="H506" s="1">
        <v>19</v>
      </c>
      <c r="I506">
        <v>2018</v>
      </c>
      <c r="J506" t="str">
        <f t="shared" si="87"/>
        <v>2: Fiction</v>
      </c>
      <c r="L506" t="s">
        <v>2403</v>
      </c>
      <c r="M506" t="s">
        <v>28</v>
      </c>
      <c r="N506" t="s">
        <v>2396</v>
      </c>
      <c r="O506">
        <v>0</v>
      </c>
      <c r="P506" s="2">
        <v>43725</v>
      </c>
      <c r="Q506" s="1">
        <v>22</v>
      </c>
      <c r="R506" t="s">
        <v>2704</v>
      </c>
      <c r="S506">
        <v>1019839442</v>
      </c>
    </row>
    <row r="507" spans="1:19" x14ac:dyDescent="0.2">
      <c r="A507" t="str">
        <f t="shared" si="88"/>
        <v>Adult Fiction</v>
      </c>
      <c r="B507" t="str">
        <f>"NEW F KING"</f>
        <v>NEW F KING</v>
      </c>
      <c r="C507" t="str">
        <f>"The institute: a novel"</f>
        <v>The institute: a novel</v>
      </c>
      <c r="D507">
        <v>357449</v>
      </c>
      <c r="E507" t="str">
        <f>"King, Stephen"</f>
        <v>King, Stephen</v>
      </c>
      <c r="G507" t="str">
        <f>"561 pages, 25 cm"</f>
        <v>561 pages, 25 cm</v>
      </c>
      <c r="H507" s="1">
        <v>19</v>
      </c>
      <c r="I507">
        <v>2019</v>
      </c>
      <c r="J507" t="str">
        <f t="shared" si="87"/>
        <v>2: Fiction</v>
      </c>
      <c r="L507" t="s">
        <v>2395</v>
      </c>
      <c r="M507" t="s">
        <v>28</v>
      </c>
      <c r="N507" t="s">
        <v>2404</v>
      </c>
      <c r="O507">
        <v>6</v>
      </c>
      <c r="P507" s="2">
        <v>43718</v>
      </c>
      <c r="Q507" s="1">
        <v>35</v>
      </c>
      <c r="R507" t="s">
        <v>2705</v>
      </c>
      <c r="S507">
        <v>1113865912</v>
      </c>
    </row>
    <row r="508" spans="1:19" x14ac:dyDescent="0.2">
      <c r="A508" t="str">
        <f t="shared" si="88"/>
        <v>Adult Fiction</v>
      </c>
      <c r="B508" t="str">
        <f>"NEW F KING"</f>
        <v>NEW F KING</v>
      </c>
      <c r="C508" t="str">
        <f>"The institute: a novel"</f>
        <v>The institute: a novel</v>
      </c>
      <c r="D508">
        <v>357450</v>
      </c>
      <c r="E508" t="str">
        <f>"King, Stephen"</f>
        <v>King, Stephen</v>
      </c>
      <c r="G508" t="str">
        <f>"561 pages, 25 cm"</f>
        <v>561 pages, 25 cm</v>
      </c>
      <c r="H508" s="1">
        <v>19</v>
      </c>
      <c r="I508">
        <v>2019</v>
      </c>
      <c r="J508" t="str">
        <f t="shared" si="87"/>
        <v>2: Fiction</v>
      </c>
      <c r="L508" t="s">
        <v>2395</v>
      </c>
      <c r="M508" t="s">
        <v>28</v>
      </c>
      <c r="N508" t="s">
        <v>2404</v>
      </c>
      <c r="O508">
        <v>9</v>
      </c>
      <c r="P508" s="2">
        <v>43718</v>
      </c>
      <c r="Q508" s="1">
        <v>35</v>
      </c>
      <c r="R508" t="s">
        <v>2705</v>
      </c>
      <c r="S508">
        <v>1113865912</v>
      </c>
    </row>
    <row r="509" spans="1:19" x14ac:dyDescent="0.2">
      <c r="A509" t="str">
        <f t="shared" si="88"/>
        <v>Adult Fiction</v>
      </c>
      <c r="B509" t="str">
        <f>"NEW F KING"</f>
        <v>NEW F KING</v>
      </c>
      <c r="C509" t="str">
        <f>"The institute: a novel"</f>
        <v>The institute: a novel</v>
      </c>
      <c r="D509">
        <v>357451</v>
      </c>
      <c r="E509" t="str">
        <f>"King, Stephen"</f>
        <v>King, Stephen</v>
      </c>
      <c r="G509" t="str">
        <f>"561 pages, 25 cm"</f>
        <v>561 pages, 25 cm</v>
      </c>
      <c r="H509" s="1">
        <v>19</v>
      </c>
      <c r="I509">
        <v>2019</v>
      </c>
      <c r="J509" t="str">
        <f t="shared" si="87"/>
        <v>2: Fiction</v>
      </c>
      <c r="L509" t="s">
        <v>2395</v>
      </c>
      <c r="M509" t="s">
        <v>28</v>
      </c>
      <c r="N509" t="s">
        <v>2404</v>
      </c>
      <c r="O509">
        <v>8</v>
      </c>
      <c r="P509" s="2">
        <v>43718</v>
      </c>
      <c r="Q509" s="1">
        <v>35</v>
      </c>
      <c r="R509" t="s">
        <v>2705</v>
      </c>
      <c r="S509">
        <v>1113865912</v>
      </c>
    </row>
    <row r="510" spans="1:19" x14ac:dyDescent="0.2">
      <c r="A510" t="str">
        <f t="shared" si="88"/>
        <v>Adult Fiction</v>
      </c>
      <c r="B510" t="str">
        <f>"NEW F KING"</f>
        <v>NEW F KING</v>
      </c>
      <c r="C510" t="str">
        <f>"The institute: a novel"</f>
        <v>The institute: a novel</v>
      </c>
      <c r="D510">
        <v>357452</v>
      </c>
      <c r="E510" t="str">
        <f>"King, Stephen"</f>
        <v>King, Stephen</v>
      </c>
      <c r="G510" t="str">
        <f>"561 pages, 25 cm"</f>
        <v>561 pages, 25 cm</v>
      </c>
      <c r="H510" s="1">
        <v>19</v>
      </c>
      <c r="I510">
        <v>2019</v>
      </c>
      <c r="J510" t="str">
        <f t="shared" si="87"/>
        <v>2: Fiction</v>
      </c>
      <c r="L510" t="s">
        <v>2395</v>
      </c>
      <c r="M510" t="s">
        <v>28</v>
      </c>
      <c r="N510" t="s">
        <v>2404</v>
      </c>
      <c r="O510">
        <v>10</v>
      </c>
      <c r="P510" s="2">
        <v>43718</v>
      </c>
      <c r="Q510" s="1">
        <v>35</v>
      </c>
      <c r="R510" t="s">
        <v>2705</v>
      </c>
      <c r="S510">
        <v>1113865912</v>
      </c>
    </row>
    <row r="511" spans="1:19" x14ac:dyDescent="0.2">
      <c r="A511" t="str">
        <f t="shared" si="88"/>
        <v>Adult Fiction</v>
      </c>
      <c r="B511" t="str">
        <f>"NEW F KINSE"</f>
        <v>NEW F KINSE</v>
      </c>
      <c r="C511" t="str">
        <f>"Christmas shopaholic: a novel"</f>
        <v>Christmas shopaholic: a novel</v>
      </c>
      <c r="D511">
        <v>358499</v>
      </c>
      <c r="E511" t="str">
        <f>"Kinsella, Sophie"</f>
        <v>Kinsella, Sophie</v>
      </c>
      <c r="F511" t="str">
        <f>"Shopaholic series (9)"</f>
        <v>Shopaholic series (9)</v>
      </c>
      <c r="G511" t="str">
        <f>"422 pages, 22 cm"</f>
        <v>422 pages, 22 cm</v>
      </c>
      <c r="H511" s="1">
        <v>19</v>
      </c>
      <c r="I511">
        <v>2019</v>
      </c>
      <c r="J511" t="str">
        <f t="shared" ref="J511:J574" si="89">"2: Fiction"</f>
        <v>2: Fiction</v>
      </c>
      <c r="L511" t="s">
        <v>2403</v>
      </c>
      <c r="M511" t="s">
        <v>28</v>
      </c>
      <c r="N511" t="s">
        <v>2396</v>
      </c>
      <c r="O511">
        <v>5</v>
      </c>
      <c r="P511" s="2">
        <v>43753</v>
      </c>
      <c r="Q511" s="1">
        <v>32</v>
      </c>
      <c r="R511" t="s">
        <v>2706</v>
      </c>
      <c r="S511">
        <v>1101650020</v>
      </c>
    </row>
    <row r="512" spans="1:19" x14ac:dyDescent="0.2">
      <c r="A512" t="str">
        <f t="shared" si="88"/>
        <v>Adult Fiction</v>
      </c>
      <c r="B512" t="str">
        <f>"NEW F KINSE"</f>
        <v>NEW F KINSE</v>
      </c>
      <c r="C512" t="str">
        <f>"Christmas shopaholic: a novel"</f>
        <v>Christmas shopaholic: a novel</v>
      </c>
      <c r="D512">
        <v>358500</v>
      </c>
      <c r="E512" t="str">
        <f>"Kinsella, Sophie"</f>
        <v>Kinsella, Sophie</v>
      </c>
      <c r="F512" t="str">
        <f>"Shopaholic series (9)"</f>
        <v>Shopaholic series (9)</v>
      </c>
      <c r="G512" t="str">
        <f>"422 pages, 22 cm"</f>
        <v>422 pages, 22 cm</v>
      </c>
      <c r="H512" s="1">
        <v>19</v>
      </c>
      <c r="I512">
        <v>2019</v>
      </c>
      <c r="J512" t="str">
        <f t="shared" si="89"/>
        <v>2: Fiction</v>
      </c>
      <c r="L512" t="s">
        <v>2395</v>
      </c>
      <c r="M512" t="s">
        <v>28</v>
      </c>
      <c r="N512" t="s">
        <v>2404</v>
      </c>
      <c r="O512">
        <v>4</v>
      </c>
      <c r="P512" s="2">
        <v>43753</v>
      </c>
      <c r="Q512" s="1">
        <v>32</v>
      </c>
      <c r="R512" t="s">
        <v>2706</v>
      </c>
      <c r="S512">
        <v>1101650020</v>
      </c>
    </row>
    <row r="513" spans="1:19" x14ac:dyDescent="0.2">
      <c r="A513" t="str">
        <f t="shared" si="88"/>
        <v>Adult Fiction</v>
      </c>
      <c r="B513" t="str">
        <f>"NEW F KINSE"</f>
        <v>NEW F KINSE</v>
      </c>
      <c r="C513" t="str">
        <f>"Christmas shopaholic: a novel"</f>
        <v>Christmas shopaholic: a novel</v>
      </c>
      <c r="D513">
        <v>358501</v>
      </c>
      <c r="E513" t="str">
        <f>"Kinsella, Sophie"</f>
        <v>Kinsella, Sophie</v>
      </c>
      <c r="F513" t="str">
        <f>"Shopaholic series (9)"</f>
        <v>Shopaholic series (9)</v>
      </c>
      <c r="G513" t="str">
        <f>"422 pages, 22 cm"</f>
        <v>422 pages, 22 cm</v>
      </c>
      <c r="H513" s="1">
        <v>19</v>
      </c>
      <c r="I513">
        <v>2019</v>
      </c>
      <c r="J513" t="str">
        <f t="shared" si="89"/>
        <v>2: Fiction</v>
      </c>
      <c r="L513" t="s">
        <v>2403</v>
      </c>
      <c r="M513" t="s">
        <v>28</v>
      </c>
      <c r="N513" t="s">
        <v>2396</v>
      </c>
      <c r="O513">
        <v>4</v>
      </c>
      <c r="P513" s="2">
        <v>43753</v>
      </c>
      <c r="Q513" s="1">
        <v>32</v>
      </c>
      <c r="R513" t="s">
        <v>2706</v>
      </c>
      <c r="S513">
        <v>1101650020</v>
      </c>
    </row>
    <row r="514" spans="1:19" x14ac:dyDescent="0.2">
      <c r="A514" t="str">
        <f t="shared" si="88"/>
        <v>Adult Fiction</v>
      </c>
      <c r="B514" t="str">
        <f>"NEW F KINSE"</f>
        <v>NEW F KINSE</v>
      </c>
      <c r="C514" t="str">
        <f>"Christmas shopaholic: a novel"</f>
        <v>Christmas shopaholic: a novel</v>
      </c>
      <c r="D514">
        <v>358502</v>
      </c>
      <c r="E514" t="str">
        <f>"Kinsella, Sophie"</f>
        <v>Kinsella, Sophie</v>
      </c>
      <c r="F514" t="str">
        <f>"Shopaholic series (9)"</f>
        <v>Shopaholic series (9)</v>
      </c>
      <c r="G514" t="str">
        <f>"422 pages, 22 cm"</f>
        <v>422 pages, 22 cm</v>
      </c>
      <c r="H514" s="1">
        <v>19</v>
      </c>
      <c r="I514">
        <v>2019</v>
      </c>
      <c r="J514" t="str">
        <f t="shared" si="89"/>
        <v>2: Fiction</v>
      </c>
      <c r="L514" t="s">
        <v>2403</v>
      </c>
      <c r="M514" t="s">
        <v>28</v>
      </c>
      <c r="N514" t="s">
        <v>2404</v>
      </c>
      <c r="O514">
        <v>5</v>
      </c>
      <c r="P514" s="2">
        <v>43753</v>
      </c>
      <c r="Q514" s="1">
        <v>32</v>
      </c>
      <c r="R514" t="s">
        <v>2706</v>
      </c>
      <c r="S514">
        <v>1101650020</v>
      </c>
    </row>
    <row r="515" spans="1:19" x14ac:dyDescent="0.2">
      <c r="A515" t="str">
        <f t="shared" si="88"/>
        <v>Adult Fiction</v>
      </c>
      <c r="B515" t="str">
        <f>"NEW F KINSE"</f>
        <v>NEW F KINSE</v>
      </c>
      <c r="C515" t="str">
        <f>"Christmas shopaholic: a novel"</f>
        <v>Christmas shopaholic: a novel</v>
      </c>
      <c r="D515">
        <v>358503</v>
      </c>
      <c r="E515" t="str">
        <f>"Kinsella, Sophie"</f>
        <v>Kinsella, Sophie</v>
      </c>
      <c r="F515" t="str">
        <f>"Shopaholic series (9)"</f>
        <v>Shopaholic series (9)</v>
      </c>
      <c r="G515" t="str">
        <f>"422 pages, 22 cm"</f>
        <v>422 pages, 22 cm</v>
      </c>
      <c r="H515" s="1">
        <v>19</v>
      </c>
      <c r="I515">
        <v>2019</v>
      </c>
      <c r="J515" t="str">
        <f t="shared" si="89"/>
        <v>2: Fiction</v>
      </c>
      <c r="L515" t="s">
        <v>2395</v>
      </c>
      <c r="M515" t="s">
        <v>28</v>
      </c>
      <c r="N515" t="s">
        <v>2404</v>
      </c>
      <c r="O515">
        <v>7</v>
      </c>
      <c r="P515" s="2">
        <v>43753</v>
      </c>
      <c r="Q515" s="1">
        <v>32</v>
      </c>
      <c r="R515" t="s">
        <v>2706</v>
      </c>
      <c r="S515">
        <v>1101650020</v>
      </c>
    </row>
    <row r="516" spans="1:19" x14ac:dyDescent="0.2">
      <c r="A516" t="str">
        <f t="shared" si="88"/>
        <v>Adult Fiction</v>
      </c>
      <c r="B516" t="str">
        <f>"NEW F KLOST"</f>
        <v>NEW F KLOST</v>
      </c>
      <c r="C516" t="str">
        <f>"Raised in captivity: fictional nonfiction"</f>
        <v>Raised in captivity: fictional nonfiction</v>
      </c>
      <c r="D516">
        <v>359384</v>
      </c>
      <c r="E516" t="str">
        <f>"Klosterman, Chuck"</f>
        <v>Klosterman, Chuck</v>
      </c>
      <c r="G516" t="str">
        <f>"307 pages, 24 cm"</f>
        <v>307 pages, 24 cm</v>
      </c>
      <c r="H516" s="1">
        <v>19</v>
      </c>
      <c r="I516">
        <v>2019</v>
      </c>
      <c r="J516" t="str">
        <f t="shared" si="89"/>
        <v>2: Fiction</v>
      </c>
      <c r="L516" t="s">
        <v>2403</v>
      </c>
      <c r="M516" t="s">
        <v>28</v>
      </c>
      <c r="N516" t="s">
        <v>2396</v>
      </c>
      <c r="O516">
        <v>4</v>
      </c>
      <c r="P516" s="2">
        <v>43788</v>
      </c>
      <c r="Q516" s="1">
        <v>31</v>
      </c>
      <c r="R516" t="s">
        <v>2707</v>
      </c>
      <c r="S516">
        <v>1056203638</v>
      </c>
    </row>
    <row r="517" spans="1:19" x14ac:dyDescent="0.2">
      <c r="A517" t="str">
        <f t="shared" si="88"/>
        <v>Adult Fiction</v>
      </c>
      <c r="B517" t="str">
        <f>"NEW F KNAUS"</f>
        <v>NEW F KNAUS</v>
      </c>
      <c r="C517" t="str">
        <f>"Welcome to America"</f>
        <v>Welcome to America</v>
      </c>
      <c r="D517">
        <v>357941</v>
      </c>
      <c r="E517" t="str">
        <f>"Bostr�m Knausg�rd, Linda,"</f>
        <v>Bostr�m Knausg�rd, Linda,</v>
      </c>
      <c r="G517" t="str">
        <f>"124 pages, 21 cm"</f>
        <v>124 pages, 21 cm</v>
      </c>
      <c r="H517" s="1">
        <v>19</v>
      </c>
      <c r="I517">
        <v>2019</v>
      </c>
      <c r="J517" t="str">
        <f t="shared" si="89"/>
        <v>2: Fiction</v>
      </c>
      <c r="L517" t="s">
        <v>2395</v>
      </c>
      <c r="M517" t="s">
        <v>28</v>
      </c>
      <c r="N517" t="s">
        <v>2396</v>
      </c>
      <c r="O517">
        <v>2</v>
      </c>
      <c r="P517" s="2">
        <v>43732</v>
      </c>
      <c r="Q517" s="1">
        <v>21</v>
      </c>
      <c r="R517" t="s">
        <v>2708</v>
      </c>
      <c r="S517">
        <v>1112671028</v>
      </c>
    </row>
    <row r="518" spans="1:19" x14ac:dyDescent="0.2">
      <c r="A518" t="str">
        <f t="shared" si="88"/>
        <v>Adult Fiction</v>
      </c>
      <c r="B518" t="str">
        <f>"NEW F KNIGH"</f>
        <v>NEW F KNIGH</v>
      </c>
      <c r="C518" t="str">
        <f>"Novice dragoneer"</f>
        <v>Novice dragoneer</v>
      </c>
      <c r="D518">
        <v>359082</v>
      </c>
      <c r="E518" t="str">
        <f>"Knight, E. E."</f>
        <v>Knight, E. E.</v>
      </c>
      <c r="F518" t="str">
        <f>"Dragoneer Academy series (1)"</f>
        <v>Dragoneer Academy series (1)</v>
      </c>
      <c r="G518" t="str">
        <f>"489 p."</f>
        <v>489 p.</v>
      </c>
      <c r="H518" s="1">
        <v>19</v>
      </c>
      <c r="I518">
        <v>2019</v>
      </c>
      <c r="J518" t="str">
        <f t="shared" si="89"/>
        <v>2: Fiction</v>
      </c>
      <c r="L518" t="s">
        <v>2403</v>
      </c>
      <c r="M518" t="s">
        <v>28</v>
      </c>
      <c r="N518" t="s">
        <v>2404</v>
      </c>
      <c r="O518">
        <v>2</v>
      </c>
      <c r="P518" s="2">
        <v>43776</v>
      </c>
      <c r="Q518" s="1">
        <v>21</v>
      </c>
      <c r="R518" t="s">
        <v>2709</v>
      </c>
      <c r="S518">
        <v>1085654445</v>
      </c>
    </row>
    <row r="519" spans="1:19" x14ac:dyDescent="0.2">
      <c r="A519" t="str">
        <f t="shared" ref="A519:A582" si="90">"Adult Fiction"</f>
        <v>Adult Fiction</v>
      </c>
      <c r="B519" t="str">
        <f>"NEW F KORYT"</f>
        <v>NEW F KORYT</v>
      </c>
      <c r="C519" t="str">
        <f>"If she wakes"</f>
        <v>If she wakes</v>
      </c>
      <c r="D519">
        <v>355568</v>
      </c>
      <c r="E519" t="str">
        <f>"Koryta, Michael"</f>
        <v>Koryta, Michael</v>
      </c>
      <c r="G519" t="str">
        <f>"394 pages, 25 cm"</f>
        <v>394 pages, 25 cm</v>
      </c>
      <c r="H519" s="1">
        <v>19</v>
      </c>
      <c r="I519">
        <v>2019</v>
      </c>
      <c r="J519" t="str">
        <f t="shared" si="89"/>
        <v>2: Fiction</v>
      </c>
      <c r="L519" t="s">
        <v>2395</v>
      </c>
      <c r="M519" t="s">
        <v>28</v>
      </c>
      <c r="N519" t="s">
        <v>2404</v>
      </c>
      <c r="O519">
        <v>12</v>
      </c>
      <c r="P519" s="2">
        <v>43633</v>
      </c>
      <c r="Q519" s="1">
        <v>33</v>
      </c>
      <c r="R519" t="s">
        <v>2710</v>
      </c>
      <c r="S519">
        <v>1096304698</v>
      </c>
    </row>
    <row r="520" spans="1:19" x14ac:dyDescent="0.2">
      <c r="A520" t="str">
        <f t="shared" si="90"/>
        <v>Adult Fiction</v>
      </c>
      <c r="B520" t="str">
        <f>"NEW F KRASZ"</f>
        <v>NEW F KRASZ</v>
      </c>
      <c r="C520" t="str">
        <f>"Baron Wenckheim's homecoming"</f>
        <v>Baron Wenckheim's homecoming</v>
      </c>
      <c r="D520">
        <v>359177</v>
      </c>
      <c r="E520" t="str">
        <f>"Krasznahorkai, L�szl�"</f>
        <v>Krasznahorkai, L�szl�</v>
      </c>
      <c r="G520" t="str">
        <f>"558 pages, 22 cm"</f>
        <v>558 pages, 22 cm</v>
      </c>
      <c r="H520" s="1">
        <v>19</v>
      </c>
      <c r="I520">
        <v>2019</v>
      </c>
      <c r="J520" t="str">
        <f t="shared" si="89"/>
        <v>2: Fiction</v>
      </c>
      <c r="L520" t="s">
        <v>2395</v>
      </c>
      <c r="M520" t="s">
        <v>28</v>
      </c>
      <c r="N520" t="s">
        <v>2404</v>
      </c>
      <c r="O520">
        <v>2</v>
      </c>
      <c r="P520" s="2">
        <v>43782</v>
      </c>
      <c r="Q520" s="1">
        <v>35</v>
      </c>
      <c r="R520" t="s">
        <v>2711</v>
      </c>
      <c r="S520">
        <v>1057376998</v>
      </c>
    </row>
    <row r="521" spans="1:19" x14ac:dyDescent="0.2">
      <c r="A521" t="str">
        <f t="shared" si="90"/>
        <v>Adult Fiction</v>
      </c>
      <c r="B521" t="str">
        <f>"NEW F KRENT"</f>
        <v>NEW F KRENT</v>
      </c>
      <c r="C521" t="str">
        <f>"The vanishing"</f>
        <v>The vanishing</v>
      </c>
      <c r="D521">
        <v>360280</v>
      </c>
      <c r="E521" t="str">
        <f>"Krentz, Jayne Ann"</f>
        <v>Krentz, Jayne Ann</v>
      </c>
      <c r="F521" t="str">
        <f>"Fogg Lake series (1)"</f>
        <v>Fogg Lake series (1)</v>
      </c>
      <c r="G521" t="str">
        <f>"294 pages, 24 cm"</f>
        <v>294 pages, 24 cm</v>
      </c>
      <c r="H521" s="1">
        <v>19</v>
      </c>
      <c r="I521">
        <v>2020</v>
      </c>
      <c r="J521" t="str">
        <f t="shared" si="89"/>
        <v>2: Fiction</v>
      </c>
      <c r="L521" t="s">
        <v>2395</v>
      </c>
      <c r="M521" t="s">
        <v>28</v>
      </c>
      <c r="N521" t="s">
        <v>2404</v>
      </c>
      <c r="O521">
        <v>1</v>
      </c>
      <c r="P521" s="2">
        <v>43844</v>
      </c>
      <c r="Q521" s="1">
        <v>32</v>
      </c>
      <c r="R521" t="s">
        <v>2712</v>
      </c>
      <c r="S521">
        <v>1098794605</v>
      </c>
    </row>
    <row r="522" spans="1:19" x14ac:dyDescent="0.2">
      <c r="A522" t="str">
        <f t="shared" si="90"/>
        <v>Adult Fiction</v>
      </c>
      <c r="B522" t="str">
        <f>"NEW F KRENT"</f>
        <v>NEW F KRENT</v>
      </c>
      <c r="C522" t="str">
        <f>"The vanishing"</f>
        <v>The vanishing</v>
      </c>
      <c r="D522">
        <v>360281</v>
      </c>
      <c r="E522" t="str">
        <f>"Krentz, Jayne Ann"</f>
        <v>Krentz, Jayne Ann</v>
      </c>
      <c r="F522" t="str">
        <f>"Fogg Lake series (1)"</f>
        <v>Fogg Lake series (1)</v>
      </c>
      <c r="G522" t="str">
        <f>"294 pages, 24 cm"</f>
        <v>294 pages, 24 cm</v>
      </c>
      <c r="H522" s="1">
        <v>19</v>
      </c>
      <c r="I522">
        <v>2020</v>
      </c>
      <c r="J522" t="str">
        <f t="shared" si="89"/>
        <v>2: Fiction</v>
      </c>
      <c r="L522" t="s">
        <v>2403</v>
      </c>
      <c r="M522" t="s">
        <v>28</v>
      </c>
      <c r="N522" t="s">
        <v>2404</v>
      </c>
      <c r="O522">
        <v>1</v>
      </c>
      <c r="P522" s="2">
        <v>43844</v>
      </c>
      <c r="Q522" s="1">
        <v>32</v>
      </c>
      <c r="R522" t="s">
        <v>2712</v>
      </c>
      <c r="S522">
        <v>1098794605</v>
      </c>
    </row>
    <row r="523" spans="1:19" x14ac:dyDescent="0.2">
      <c r="A523" t="str">
        <f t="shared" si="90"/>
        <v>Adult Fiction</v>
      </c>
      <c r="B523" t="str">
        <f>"NEW F KRENT"</f>
        <v>NEW F KRENT</v>
      </c>
      <c r="C523" t="str">
        <f>"The vanishing"</f>
        <v>The vanishing</v>
      </c>
      <c r="D523">
        <v>360282</v>
      </c>
      <c r="E523" t="str">
        <f>"Krentz, Jayne Ann"</f>
        <v>Krentz, Jayne Ann</v>
      </c>
      <c r="F523" t="str">
        <f>"Fogg Lake series (1)"</f>
        <v>Fogg Lake series (1)</v>
      </c>
      <c r="G523" t="str">
        <f>"294 pages, 24 cm"</f>
        <v>294 pages, 24 cm</v>
      </c>
      <c r="H523" s="1">
        <v>19</v>
      </c>
      <c r="I523">
        <v>2020</v>
      </c>
      <c r="J523" t="str">
        <f t="shared" si="89"/>
        <v>2: Fiction</v>
      </c>
      <c r="L523" t="s">
        <v>2403</v>
      </c>
      <c r="M523" t="s">
        <v>28</v>
      </c>
      <c r="N523" t="s">
        <v>2404</v>
      </c>
      <c r="O523">
        <v>1</v>
      </c>
      <c r="P523" s="2">
        <v>43844</v>
      </c>
      <c r="Q523" s="1">
        <v>32</v>
      </c>
      <c r="R523" t="s">
        <v>2712</v>
      </c>
      <c r="S523">
        <v>1098794605</v>
      </c>
    </row>
    <row r="524" spans="1:19" x14ac:dyDescent="0.2">
      <c r="A524" t="str">
        <f t="shared" si="90"/>
        <v>Adult Fiction</v>
      </c>
      <c r="B524" t="str">
        <f>"NEW F KRUEG"</f>
        <v>NEW F KRUEG</v>
      </c>
      <c r="C524" t="str">
        <f>"This tender land: a novel"</f>
        <v>This tender land: a novel</v>
      </c>
      <c r="D524">
        <v>357251</v>
      </c>
      <c r="E524" t="str">
        <f>"Krueger, William Kent"</f>
        <v>Krueger, William Kent</v>
      </c>
      <c r="G524" t="str">
        <f>"450 pages, 24 cm"</f>
        <v>450 pages, 24 cm</v>
      </c>
      <c r="H524" s="1">
        <v>19</v>
      </c>
      <c r="I524">
        <v>2019</v>
      </c>
      <c r="J524" t="str">
        <f t="shared" si="89"/>
        <v>2: Fiction</v>
      </c>
      <c r="L524" t="s">
        <v>2395</v>
      </c>
      <c r="M524" t="s">
        <v>28</v>
      </c>
      <c r="N524" t="s">
        <v>2404</v>
      </c>
      <c r="O524">
        <v>7</v>
      </c>
      <c r="P524" s="2">
        <v>43711</v>
      </c>
      <c r="Q524" s="1">
        <v>32</v>
      </c>
      <c r="R524" t="s">
        <v>2713</v>
      </c>
      <c r="S524">
        <v>1097365098</v>
      </c>
    </row>
    <row r="525" spans="1:19" x14ac:dyDescent="0.2">
      <c r="A525" t="str">
        <f t="shared" si="90"/>
        <v>Adult Fiction</v>
      </c>
      <c r="B525" t="str">
        <f>"NEW F KRUEG"</f>
        <v>NEW F KRUEG</v>
      </c>
      <c r="C525" t="str">
        <f>"This tender land: a novel"</f>
        <v>This tender land: a novel</v>
      </c>
      <c r="D525">
        <v>357252</v>
      </c>
      <c r="E525" t="str">
        <f>"Krueger, William Kent"</f>
        <v>Krueger, William Kent</v>
      </c>
      <c r="G525" t="str">
        <f>"450 pages, 24 cm"</f>
        <v>450 pages, 24 cm</v>
      </c>
      <c r="H525" s="1">
        <v>19</v>
      </c>
      <c r="I525">
        <v>2019</v>
      </c>
      <c r="J525" t="str">
        <f t="shared" si="89"/>
        <v>2: Fiction</v>
      </c>
      <c r="L525" t="s">
        <v>2395</v>
      </c>
      <c r="M525" t="s">
        <v>28</v>
      </c>
      <c r="N525" t="str">
        <f>"Reserve Cart"</f>
        <v>Reserve Cart</v>
      </c>
      <c r="O525">
        <v>8</v>
      </c>
      <c r="P525" s="2">
        <v>43711</v>
      </c>
      <c r="Q525" s="1">
        <v>32</v>
      </c>
      <c r="R525" t="s">
        <v>2713</v>
      </c>
      <c r="S525">
        <v>1097365098</v>
      </c>
    </row>
    <row r="526" spans="1:19" x14ac:dyDescent="0.2">
      <c r="A526" t="str">
        <f t="shared" si="90"/>
        <v>Adult Fiction</v>
      </c>
      <c r="B526" t="str">
        <f>"NEW F KRUEG"</f>
        <v>NEW F KRUEG</v>
      </c>
      <c r="C526" t="str">
        <f>"This tender land: a novel"</f>
        <v>This tender land: a novel</v>
      </c>
      <c r="D526">
        <v>359393</v>
      </c>
      <c r="E526" t="str">
        <f>"Krueger, William Kent"</f>
        <v>Krueger, William Kent</v>
      </c>
      <c r="G526" t="str">
        <f>"450 pages, 24 cm"</f>
        <v>450 pages, 24 cm</v>
      </c>
      <c r="H526" s="1">
        <v>19</v>
      </c>
      <c r="I526">
        <v>2019</v>
      </c>
      <c r="J526" t="str">
        <f t="shared" si="89"/>
        <v>2: Fiction</v>
      </c>
      <c r="L526" t="s">
        <v>2395</v>
      </c>
      <c r="M526" t="s">
        <v>28</v>
      </c>
      <c r="N526" t="str">
        <f>"Reserve Cart"</f>
        <v>Reserve Cart</v>
      </c>
      <c r="O526">
        <v>2</v>
      </c>
      <c r="P526" s="2">
        <v>43788</v>
      </c>
      <c r="Q526" s="1">
        <v>32</v>
      </c>
      <c r="R526" t="s">
        <v>2713</v>
      </c>
      <c r="S526">
        <v>1097365098</v>
      </c>
    </row>
    <row r="527" spans="1:19" x14ac:dyDescent="0.2">
      <c r="A527" t="str">
        <f t="shared" si="90"/>
        <v>Adult Fiction</v>
      </c>
      <c r="B527" t="str">
        <f>"NEW F KWOK"</f>
        <v>NEW F KWOK</v>
      </c>
      <c r="C527" t="str">
        <f>"Searching for Sylvie Lee: a novel"</f>
        <v>Searching for Sylvie Lee: a novel</v>
      </c>
      <c r="D527">
        <v>355962</v>
      </c>
      <c r="E527" t="str">
        <f>"Kwok, Jean."</f>
        <v>Kwok, Jean.</v>
      </c>
      <c r="G527" t="str">
        <f>"317 pages, 24 cm"</f>
        <v>317 pages, 24 cm</v>
      </c>
      <c r="H527" s="1">
        <v>19</v>
      </c>
      <c r="I527">
        <v>2019</v>
      </c>
      <c r="J527" t="str">
        <f t="shared" si="89"/>
        <v>2: Fiction</v>
      </c>
      <c r="L527" t="s">
        <v>2395</v>
      </c>
      <c r="M527" t="s">
        <v>28</v>
      </c>
      <c r="N527" t="s">
        <v>2404</v>
      </c>
      <c r="O527">
        <v>11</v>
      </c>
      <c r="P527" s="2">
        <v>43647</v>
      </c>
      <c r="Q527" s="1">
        <v>32</v>
      </c>
      <c r="R527" t="s">
        <v>2714</v>
      </c>
      <c r="S527">
        <v>1051050195</v>
      </c>
    </row>
    <row r="528" spans="1:19" x14ac:dyDescent="0.2">
      <c r="A528" t="str">
        <f t="shared" si="90"/>
        <v>Adult Fiction</v>
      </c>
      <c r="B528" t="str">
        <f>"NEW F KWOK"</f>
        <v>NEW F KWOK</v>
      </c>
      <c r="C528" t="str">
        <f>"Searching for Sylvie Lee: a novel"</f>
        <v>Searching for Sylvie Lee: a novel</v>
      </c>
      <c r="D528">
        <v>407192</v>
      </c>
      <c r="E528" t="str">
        <f>"Kwok, Jean."</f>
        <v>Kwok, Jean.</v>
      </c>
      <c r="G528" t="str">
        <f>"317 pages, 24 cm"</f>
        <v>317 pages, 24 cm</v>
      </c>
      <c r="H528">
        <v>19</v>
      </c>
      <c r="I528">
        <v>2019</v>
      </c>
      <c r="J528" t="str">
        <f t="shared" si="89"/>
        <v>2: Fiction</v>
      </c>
      <c r="L528" t="s">
        <v>2395</v>
      </c>
      <c r="M528" t="s">
        <v>28</v>
      </c>
      <c r="N528" t="s">
        <v>2404</v>
      </c>
      <c r="O528">
        <v>5</v>
      </c>
      <c r="P528" s="2">
        <v>43690</v>
      </c>
      <c r="Q528" s="1">
        <v>32</v>
      </c>
      <c r="R528" t="s">
        <v>2714</v>
      </c>
      <c r="S528">
        <v>1051050195</v>
      </c>
    </row>
    <row r="529" spans="1:19" x14ac:dyDescent="0.2">
      <c r="A529" t="str">
        <f t="shared" si="90"/>
        <v>Adult Fiction</v>
      </c>
      <c r="B529" t="str">
        <f>"NEW F LACKE"</f>
        <v>NEW F LACKE</v>
      </c>
      <c r="C529" t="str">
        <f>"The case of the spellbound child"</f>
        <v>The case of the spellbound child</v>
      </c>
      <c r="D529">
        <v>359619</v>
      </c>
      <c r="E529" t="str">
        <f>"Lackey, Mercedes"</f>
        <v>Lackey, Mercedes</v>
      </c>
      <c r="F529" t="str">
        <f>"Elemental Masters series (14)"</f>
        <v>Elemental Masters series (14)</v>
      </c>
      <c r="G529" t="str">
        <f>"313 pages, 24 cm"</f>
        <v>313 pages, 24 cm</v>
      </c>
      <c r="H529" s="1">
        <v>19</v>
      </c>
      <c r="I529">
        <v>2019</v>
      </c>
      <c r="J529" t="str">
        <f t="shared" si="89"/>
        <v>2: Fiction</v>
      </c>
      <c r="L529" t="s">
        <v>2395</v>
      </c>
      <c r="M529" t="s">
        <v>28</v>
      </c>
      <c r="N529" t="s">
        <v>2396</v>
      </c>
      <c r="O529">
        <v>2</v>
      </c>
      <c r="P529" s="2">
        <v>43803</v>
      </c>
      <c r="Q529" s="1">
        <v>32</v>
      </c>
      <c r="R529" t="s">
        <v>2715</v>
      </c>
      <c r="S529">
        <v>1081354519</v>
      </c>
    </row>
    <row r="530" spans="1:19" x14ac:dyDescent="0.2">
      <c r="A530" t="str">
        <f t="shared" si="90"/>
        <v>Adult Fiction</v>
      </c>
      <c r="B530" t="str">
        <f>"NEW F LAGER"</f>
        <v>NEW F LAGER</v>
      </c>
      <c r="C530" t="str">
        <f>"The girl who lived twice: a Lisbeth Salander novel"</f>
        <v>The girl who lived twice: a Lisbeth Salander novel</v>
      </c>
      <c r="D530">
        <v>357132</v>
      </c>
      <c r="E530" t="str">
        <f>"Lagercrantz, David"</f>
        <v>Lagercrantz, David</v>
      </c>
      <c r="F530" t="str">
        <f>"Millennium Trilogy (6)"</f>
        <v>Millennium Trilogy (6)</v>
      </c>
      <c r="G530" t="str">
        <f>"347 p."</f>
        <v>347 p.</v>
      </c>
      <c r="H530" s="1">
        <v>19</v>
      </c>
      <c r="I530">
        <v>2019</v>
      </c>
      <c r="J530" t="str">
        <f t="shared" si="89"/>
        <v>2: Fiction</v>
      </c>
      <c r="L530" t="s">
        <v>2395</v>
      </c>
      <c r="M530" t="s">
        <v>28</v>
      </c>
      <c r="N530" t="s">
        <v>2404</v>
      </c>
      <c r="O530">
        <v>10</v>
      </c>
      <c r="P530" s="2">
        <v>43704</v>
      </c>
      <c r="Q530" s="1">
        <v>33</v>
      </c>
      <c r="R530" t="s">
        <v>2716</v>
      </c>
    </row>
    <row r="531" spans="1:19" x14ac:dyDescent="0.2">
      <c r="A531" t="str">
        <f t="shared" si="90"/>
        <v>Adult Fiction</v>
      </c>
      <c r="B531" t="str">
        <f>"NEW F LAGER"</f>
        <v>NEW F LAGER</v>
      </c>
      <c r="C531" t="str">
        <f>"The girl who lived twice: a Lisbeth Salander novel"</f>
        <v>The girl who lived twice: a Lisbeth Salander novel</v>
      </c>
      <c r="D531">
        <v>357133</v>
      </c>
      <c r="E531" t="str">
        <f>"Lagercrantz, David"</f>
        <v>Lagercrantz, David</v>
      </c>
      <c r="F531" t="str">
        <f>"Millennium Trilogy (6)"</f>
        <v>Millennium Trilogy (6)</v>
      </c>
      <c r="G531" t="str">
        <f>"347 p."</f>
        <v>347 p.</v>
      </c>
      <c r="H531" s="1">
        <v>19</v>
      </c>
      <c r="I531">
        <v>2019</v>
      </c>
      <c r="J531" t="str">
        <f t="shared" si="89"/>
        <v>2: Fiction</v>
      </c>
      <c r="L531" t="s">
        <v>2395</v>
      </c>
      <c r="M531" t="s">
        <v>28</v>
      </c>
      <c r="N531" t="s">
        <v>2404</v>
      </c>
      <c r="O531">
        <v>8</v>
      </c>
      <c r="P531" s="2">
        <v>43704</v>
      </c>
      <c r="Q531" s="1">
        <v>33</v>
      </c>
      <c r="R531" t="s">
        <v>2716</v>
      </c>
    </row>
    <row r="532" spans="1:19" x14ac:dyDescent="0.2">
      <c r="A532" t="str">
        <f t="shared" si="90"/>
        <v>Adult Fiction</v>
      </c>
      <c r="B532" t="str">
        <f>"NEW F LAGER"</f>
        <v>NEW F LAGER</v>
      </c>
      <c r="C532" t="str">
        <f>"The girl who lived twice: a Lisbeth Salander novel"</f>
        <v>The girl who lived twice: a Lisbeth Salander novel</v>
      </c>
      <c r="D532">
        <v>357134</v>
      </c>
      <c r="E532" t="str">
        <f>"Lagercrantz, David"</f>
        <v>Lagercrantz, David</v>
      </c>
      <c r="F532" t="str">
        <f>"Millennium Trilogy (6)"</f>
        <v>Millennium Trilogy (6)</v>
      </c>
      <c r="G532" t="str">
        <f>"347 p."</f>
        <v>347 p.</v>
      </c>
      <c r="H532" s="1">
        <v>19</v>
      </c>
      <c r="I532">
        <v>2019</v>
      </c>
      <c r="J532" t="str">
        <f t="shared" si="89"/>
        <v>2: Fiction</v>
      </c>
      <c r="L532" t="s">
        <v>2395</v>
      </c>
      <c r="M532" t="s">
        <v>28</v>
      </c>
      <c r="N532" t="s">
        <v>2404</v>
      </c>
      <c r="O532">
        <v>10</v>
      </c>
      <c r="P532" s="2">
        <v>43704</v>
      </c>
      <c r="Q532" s="1">
        <v>33</v>
      </c>
      <c r="R532" t="s">
        <v>2716</v>
      </c>
    </row>
    <row r="533" spans="1:19" x14ac:dyDescent="0.2">
      <c r="A533" t="str">
        <f t="shared" si="90"/>
        <v>Adult Fiction</v>
      </c>
      <c r="B533" t="str">
        <f>"NEW F LAMB"</f>
        <v>NEW F LAMB</v>
      </c>
      <c r="C533" t="str">
        <f>"All about Evie"</f>
        <v>All about Evie</v>
      </c>
      <c r="D533">
        <v>358825</v>
      </c>
      <c r="E533" t="str">
        <f>"Lamb, Cathy"</f>
        <v>Lamb, Cathy</v>
      </c>
      <c r="G533" t="str">
        <f>"390 p."</f>
        <v>390 p.</v>
      </c>
      <c r="H533" s="1">
        <v>19</v>
      </c>
      <c r="I533">
        <v>2019</v>
      </c>
      <c r="J533" t="str">
        <f t="shared" si="89"/>
        <v>2: Fiction</v>
      </c>
      <c r="L533" t="s">
        <v>2403</v>
      </c>
      <c r="M533" t="s">
        <v>28</v>
      </c>
      <c r="N533" t="s">
        <v>2404</v>
      </c>
      <c r="O533">
        <v>8</v>
      </c>
      <c r="P533" s="2">
        <v>43766</v>
      </c>
      <c r="Q533" s="1">
        <v>21</v>
      </c>
      <c r="R533" t="s">
        <v>2717</v>
      </c>
    </row>
    <row r="534" spans="1:19" x14ac:dyDescent="0.2">
      <c r="A534" t="str">
        <f t="shared" si="90"/>
        <v>Adult Fiction</v>
      </c>
      <c r="B534" t="str">
        <f>"NEW F LANSD"</f>
        <v>NEW F LANSD</v>
      </c>
      <c r="C534" t="str">
        <f>"The sky done ripped"</f>
        <v>The sky done ripped</v>
      </c>
      <c r="D534">
        <v>360648</v>
      </c>
      <c r="E534" t="str">
        <f>"Lansdale, Joe R."</f>
        <v>Lansdale, Joe R.</v>
      </c>
      <c r="G534" t="str">
        <f>"280 p."</f>
        <v>280 p.</v>
      </c>
      <c r="H534" s="1">
        <v>20</v>
      </c>
      <c r="I534">
        <v>2019</v>
      </c>
      <c r="J534" t="str">
        <f t="shared" si="89"/>
        <v>2: Fiction</v>
      </c>
      <c r="L534" t="s">
        <v>2395</v>
      </c>
      <c r="M534" t="s">
        <v>28</v>
      </c>
      <c r="N534" t="s">
        <v>2495</v>
      </c>
      <c r="O534">
        <v>0</v>
      </c>
      <c r="P534" s="2">
        <v>43859</v>
      </c>
      <c r="Q534" s="1">
        <v>45</v>
      </c>
      <c r="R534" t="s">
        <v>2718</v>
      </c>
    </row>
    <row r="535" spans="1:19" x14ac:dyDescent="0.2">
      <c r="A535" t="str">
        <f t="shared" si="90"/>
        <v>Adult Fiction</v>
      </c>
      <c r="B535" t="str">
        <f>"NEW F LAPEN"</f>
        <v>NEW F LAPEN</v>
      </c>
      <c r="C535" t="str">
        <f>"Someone we know"</f>
        <v>Someone we know</v>
      </c>
      <c r="D535">
        <v>356538</v>
      </c>
      <c r="E535" t="str">
        <f>"Lape�a, Shari,"</f>
        <v>Lape�a, Shari,</v>
      </c>
      <c r="G535" t="str">
        <f>"x, 292 pages, 24 cm"</f>
        <v>x, 292 pages, 24 cm</v>
      </c>
      <c r="H535" s="1">
        <v>19</v>
      </c>
      <c r="I535">
        <v>2019</v>
      </c>
      <c r="J535" t="str">
        <f t="shared" si="89"/>
        <v>2: Fiction</v>
      </c>
      <c r="L535" t="s">
        <v>2403</v>
      </c>
      <c r="M535" t="s">
        <v>28</v>
      </c>
      <c r="N535" t="s">
        <v>2396</v>
      </c>
      <c r="O535">
        <v>12</v>
      </c>
      <c r="P535" s="2">
        <v>43678</v>
      </c>
      <c r="Q535" s="1">
        <v>32</v>
      </c>
      <c r="R535" t="s">
        <v>2719</v>
      </c>
      <c r="S535">
        <v>1108756161</v>
      </c>
    </row>
    <row r="536" spans="1:19" x14ac:dyDescent="0.2">
      <c r="A536" t="str">
        <f t="shared" si="90"/>
        <v>Adult Fiction</v>
      </c>
      <c r="B536" t="str">
        <f>"NEW F LARUE"</f>
        <v>NEW F LARUE</v>
      </c>
      <c r="C536" t="str">
        <f>"The dishwasher"</f>
        <v>The dishwasher</v>
      </c>
      <c r="D536">
        <v>357482</v>
      </c>
      <c r="E536" t="str">
        <f>"Larue, Stephane."</f>
        <v>Larue, Stephane.</v>
      </c>
      <c r="G536" t="str">
        <f>"405 p."</f>
        <v>405 p.</v>
      </c>
      <c r="H536" s="1">
        <v>19</v>
      </c>
      <c r="I536">
        <v>2019</v>
      </c>
      <c r="J536" t="str">
        <f t="shared" si="89"/>
        <v>2: Fiction</v>
      </c>
      <c r="L536" t="s">
        <v>2395</v>
      </c>
      <c r="M536" t="s">
        <v>28</v>
      </c>
      <c r="N536" t="s">
        <v>2404</v>
      </c>
      <c r="O536">
        <v>5</v>
      </c>
      <c r="P536" s="2">
        <v>43719</v>
      </c>
      <c r="Q536" s="1">
        <v>22</v>
      </c>
      <c r="R536" t="s">
        <v>2720</v>
      </c>
      <c r="S536">
        <v>1050961002</v>
      </c>
    </row>
    <row r="537" spans="1:19" x14ac:dyDescent="0.2">
      <c r="A537" t="str">
        <f t="shared" si="90"/>
        <v>Adult Fiction</v>
      </c>
      <c r="B537" t="str">
        <f>"NEW F LAURE"</f>
        <v>NEW F LAURE</v>
      </c>
      <c r="C537" t="str">
        <f>"Twice in a blue moon"</f>
        <v>Twice in a blue moon</v>
      </c>
      <c r="D537">
        <v>359064</v>
      </c>
      <c r="E537" t="str">
        <f>"Lauren, Christina"</f>
        <v>Lauren, Christina</v>
      </c>
      <c r="G537" t="str">
        <f>"355 pages, 24 cm"</f>
        <v>355 pages, 24 cm</v>
      </c>
      <c r="H537" s="1">
        <v>19</v>
      </c>
      <c r="I537">
        <v>2019</v>
      </c>
      <c r="J537" t="str">
        <f t="shared" si="89"/>
        <v>2: Fiction</v>
      </c>
      <c r="L537" t="s">
        <v>2395</v>
      </c>
      <c r="M537" t="s">
        <v>28</v>
      </c>
      <c r="N537" t="s">
        <v>2404</v>
      </c>
      <c r="O537">
        <v>7</v>
      </c>
      <c r="P537" s="2">
        <v>43776</v>
      </c>
      <c r="Q537" s="1">
        <v>33</v>
      </c>
      <c r="R537" t="s">
        <v>2721</v>
      </c>
      <c r="S537">
        <v>1122742891</v>
      </c>
    </row>
    <row r="538" spans="1:19" x14ac:dyDescent="0.2">
      <c r="A538" t="str">
        <f t="shared" si="90"/>
        <v>Adult Fiction</v>
      </c>
      <c r="B538" t="str">
        <f>"NEW F LAWLO"</f>
        <v>NEW F LAWLO</v>
      </c>
      <c r="C538" t="str">
        <f>"Paul takes the form of a mortal girl: a novel"</f>
        <v>Paul takes the form of a mortal girl: a novel</v>
      </c>
      <c r="D538">
        <v>357910</v>
      </c>
      <c r="E538" t="str">
        <f>"Lawlor, Andrea"</f>
        <v>Lawlor, Andrea</v>
      </c>
      <c r="G538" t="str">
        <f>"341 pages, 21 cm"</f>
        <v>341 pages, 21 cm</v>
      </c>
      <c r="H538" s="1">
        <v>19</v>
      </c>
      <c r="I538">
        <v>2019</v>
      </c>
      <c r="J538" t="str">
        <f t="shared" si="89"/>
        <v>2: Fiction</v>
      </c>
      <c r="L538" t="s">
        <v>2395</v>
      </c>
      <c r="M538" t="s">
        <v>28</v>
      </c>
      <c r="N538" t="s">
        <v>2396</v>
      </c>
      <c r="O538">
        <v>2</v>
      </c>
      <c r="P538" s="2">
        <v>43733</v>
      </c>
      <c r="Q538" s="1">
        <v>22</v>
      </c>
      <c r="R538" t="s">
        <v>2722</v>
      </c>
      <c r="S538">
        <v>1076499997</v>
      </c>
    </row>
    <row r="539" spans="1:19" x14ac:dyDescent="0.2">
      <c r="A539" t="str">
        <f t="shared" si="90"/>
        <v>Adult Fiction</v>
      </c>
      <c r="B539" t="str">
        <f>"NEW F LAYNE"</f>
        <v>NEW F LAYNE</v>
      </c>
      <c r="C539" t="str">
        <f>"Love on Lexington Avenue"</f>
        <v>Love on Lexington Avenue</v>
      </c>
      <c r="D539">
        <v>358321</v>
      </c>
      <c r="E539" t="str">
        <f>"Layne, Lauren"</f>
        <v>Layne, Lauren</v>
      </c>
      <c r="F539" t="str">
        <f>"Central Park Pact series (2)"</f>
        <v>Central Park Pact series (2)</v>
      </c>
      <c r="G539" t="str">
        <f>"272 pages, 21 cm"</f>
        <v>272 pages, 21 cm</v>
      </c>
      <c r="H539" s="1">
        <v>19</v>
      </c>
      <c r="I539">
        <v>2019</v>
      </c>
      <c r="J539" t="str">
        <f t="shared" si="89"/>
        <v>2: Fiction</v>
      </c>
      <c r="L539" t="s">
        <v>2395</v>
      </c>
      <c r="M539" t="s">
        <v>28</v>
      </c>
      <c r="N539" t="s">
        <v>2404</v>
      </c>
      <c r="O539">
        <v>5</v>
      </c>
      <c r="P539" s="2">
        <v>43749</v>
      </c>
      <c r="Q539" s="1">
        <v>21</v>
      </c>
      <c r="R539" t="s">
        <v>2723</v>
      </c>
      <c r="S539">
        <v>1085163089</v>
      </c>
    </row>
    <row r="540" spans="1:19" x14ac:dyDescent="0.2">
      <c r="A540" t="str">
        <f t="shared" si="90"/>
        <v>Adult Fiction</v>
      </c>
      <c r="B540" t="str">
        <f>"NEW F LAYNE"</f>
        <v>NEW F LAYNE</v>
      </c>
      <c r="C540" t="str">
        <f>"Marriage on Madison Avenue"</f>
        <v>Marriage on Madison Avenue</v>
      </c>
      <c r="D540">
        <v>360647</v>
      </c>
      <c r="E540" t="str">
        <f>"Layne, Lauren"</f>
        <v>Layne, Lauren</v>
      </c>
      <c r="F540" t="str">
        <f>"Central Park Pact series (3)"</f>
        <v>Central Park Pact series (3)</v>
      </c>
      <c r="G540" t="str">
        <f>"274 pages, 21 cm"</f>
        <v>274 pages, 21 cm</v>
      </c>
      <c r="H540" s="1">
        <v>20</v>
      </c>
      <c r="I540">
        <v>2020</v>
      </c>
      <c r="J540" t="str">
        <f t="shared" si="89"/>
        <v>2: Fiction</v>
      </c>
      <c r="L540" t="s">
        <v>2395</v>
      </c>
      <c r="M540" t="s">
        <v>28</v>
      </c>
      <c r="N540" t="s">
        <v>2495</v>
      </c>
      <c r="O540">
        <v>0</v>
      </c>
      <c r="P540" s="2">
        <v>43859</v>
      </c>
      <c r="Q540" s="1">
        <v>21</v>
      </c>
      <c r="R540" t="s">
        <v>2724</v>
      </c>
    </row>
    <row r="541" spans="1:19" x14ac:dyDescent="0.2">
      <c r="A541" t="str">
        <f t="shared" si="90"/>
        <v>Adult Fiction</v>
      </c>
      <c r="B541" t="str">
        <f>"NEW F LAYNE"</f>
        <v>NEW F LAYNE</v>
      </c>
      <c r="C541" t="str">
        <f>"Passion on Park Avenue"</f>
        <v>Passion on Park Avenue</v>
      </c>
      <c r="D541">
        <v>358336</v>
      </c>
      <c r="E541" t="str">
        <f>"Layne, Lauren"</f>
        <v>Layne, Lauren</v>
      </c>
      <c r="F541" t="str">
        <f>"Central Park Pact series (1)"</f>
        <v>Central Park Pact series (1)</v>
      </c>
      <c r="G541" t="str">
        <f>"277 pages, 21 cm"</f>
        <v>277 pages, 21 cm</v>
      </c>
      <c r="H541" s="1">
        <v>19</v>
      </c>
      <c r="I541">
        <v>2019</v>
      </c>
      <c r="J541" t="str">
        <f t="shared" si="89"/>
        <v>2: Fiction</v>
      </c>
      <c r="L541" t="s">
        <v>2395</v>
      </c>
      <c r="M541" t="s">
        <v>28</v>
      </c>
      <c r="N541" t="s">
        <v>2404</v>
      </c>
      <c r="O541">
        <v>8</v>
      </c>
      <c r="P541" s="2">
        <v>43749</v>
      </c>
      <c r="Q541" s="1">
        <v>21</v>
      </c>
      <c r="R541" t="s">
        <v>2725</v>
      </c>
      <c r="S541">
        <v>1056743575</v>
      </c>
    </row>
    <row r="542" spans="1:19" x14ac:dyDescent="0.2">
      <c r="A542" t="str">
        <f t="shared" si="90"/>
        <v>Adult Fiction</v>
      </c>
      <c r="B542" t="str">
        <f>"NEW F LEADB"</f>
        <v>NEW F LEADB</v>
      </c>
      <c r="C542" t="str">
        <f>"The Amber secret"</f>
        <v>The Amber secret</v>
      </c>
      <c r="D542">
        <v>360146</v>
      </c>
      <c r="E542" t="str">
        <f>"Leadbeater, David"</f>
        <v>Leadbeater, David</v>
      </c>
      <c r="F542" t="str">
        <f>"Relic Hunters series (3)"</f>
        <v>Relic Hunters series (3)</v>
      </c>
      <c r="G542" t="str">
        <f>"271 pp."</f>
        <v>271 pp.</v>
      </c>
      <c r="H542" s="1">
        <v>19</v>
      </c>
      <c r="I542">
        <v>2019</v>
      </c>
      <c r="J542" t="str">
        <f t="shared" si="89"/>
        <v>2: Fiction</v>
      </c>
      <c r="L542" t="s">
        <v>2403</v>
      </c>
      <c r="M542" t="s">
        <v>28</v>
      </c>
      <c r="N542" t="s">
        <v>2404</v>
      </c>
      <c r="O542">
        <v>1</v>
      </c>
      <c r="P542" s="2">
        <v>43833</v>
      </c>
      <c r="Q542" s="1">
        <v>21</v>
      </c>
      <c r="R542" t="s">
        <v>2726</v>
      </c>
      <c r="S542">
        <v>1120095065</v>
      </c>
    </row>
    <row r="543" spans="1:19" x14ac:dyDescent="0.2">
      <c r="A543" t="str">
        <f t="shared" si="90"/>
        <v>Adult Fiction</v>
      </c>
      <c r="B543" t="str">
        <f>"NEW F LECAR"</f>
        <v>NEW F LECAR</v>
      </c>
      <c r="C543" t="str">
        <f>"Agent running in the field"</f>
        <v>Agent running in the field</v>
      </c>
      <c r="D543">
        <v>358656</v>
      </c>
      <c r="E543" t="str">
        <f>"Le Carre, John"</f>
        <v>Le Carre, John</v>
      </c>
      <c r="G543" t="str">
        <f>"281 pages, 24 cm"</f>
        <v>281 pages, 24 cm</v>
      </c>
      <c r="H543" s="1">
        <v>19</v>
      </c>
      <c r="I543">
        <v>2019</v>
      </c>
      <c r="J543" t="str">
        <f t="shared" si="89"/>
        <v>2: Fiction</v>
      </c>
      <c r="L543" t="s">
        <v>2403</v>
      </c>
      <c r="M543" t="s">
        <v>28</v>
      </c>
      <c r="N543" t="s">
        <v>2404</v>
      </c>
      <c r="O543">
        <v>6</v>
      </c>
      <c r="P543" s="2">
        <v>43760</v>
      </c>
      <c r="Q543" s="1">
        <v>34</v>
      </c>
      <c r="R543" t="s">
        <v>2727</v>
      </c>
      <c r="S543">
        <v>1098238729</v>
      </c>
    </row>
    <row r="544" spans="1:19" x14ac:dyDescent="0.2">
      <c r="A544" t="str">
        <f t="shared" si="90"/>
        <v>Adult Fiction</v>
      </c>
      <c r="B544" t="str">
        <f>"NEW F LECAR"</f>
        <v>NEW F LECAR</v>
      </c>
      <c r="C544" t="str">
        <f>"Agent running in the field"</f>
        <v>Agent running in the field</v>
      </c>
      <c r="D544">
        <v>358657</v>
      </c>
      <c r="E544" t="str">
        <f>"Le Carre, John"</f>
        <v>Le Carre, John</v>
      </c>
      <c r="G544" t="str">
        <f>"281 pages, 24 cm"</f>
        <v>281 pages, 24 cm</v>
      </c>
      <c r="H544" s="1">
        <v>19</v>
      </c>
      <c r="I544">
        <v>2019</v>
      </c>
      <c r="J544" t="str">
        <f t="shared" si="89"/>
        <v>2: Fiction</v>
      </c>
      <c r="L544" t="s">
        <v>2395</v>
      </c>
      <c r="M544" t="s">
        <v>28</v>
      </c>
      <c r="N544" t="s">
        <v>2404</v>
      </c>
      <c r="O544">
        <v>9</v>
      </c>
      <c r="P544" s="2">
        <v>43760</v>
      </c>
      <c r="Q544" s="1">
        <v>34</v>
      </c>
      <c r="R544" t="s">
        <v>2727</v>
      </c>
      <c r="S544">
        <v>1098238729</v>
      </c>
    </row>
    <row r="545" spans="1:19" x14ac:dyDescent="0.2">
      <c r="A545" t="str">
        <f t="shared" si="90"/>
        <v>Adult Fiction</v>
      </c>
      <c r="B545" t="str">
        <f>"NEW F LECAR"</f>
        <v>NEW F LECAR</v>
      </c>
      <c r="C545" t="str">
        <f>"Agent running in the field"</f>
        <v>Agent running in the field</v>
      </c>
      <c r="D545">
        <v>358658</v>
      </c>
      <c r="E545" t="str">
        <f>"Le Carre, John"</f>
        <v>Le Carre, John</v>
      </c>
      <c r="G545" t="str">
        <f>"281 pages, 24 cm"</f>
        <v>281 pages, 24 cm</v>
      </c>
      <c r="H545" s="1">
        <v>19</v>
      </c>
      <c r="I545">
        <v>2019</v>
      </c>
      <c r="J545" t="str">
        <f t="shared" si="89"/>
        <v>2: Fiction</v>
      </c>
      <c r="L545" t="s">
        <v>2395</v>
      </c>
      <c r="M545" t="s">
        <v>28</v>
      </c>
      <c r="N545" t="s">
        <v>2404</v>
      </c>
      <c r="O545">
        <v>8</v>
      </c>
      <c r="P545" s="2">
        <v>43760</v>
      </c>
      <c r="Q545" s="1">
        <v>34</v>
      </c>
      <c r="R545" t="s">
        <v>2727</v>
      </c>
      <c r="S545">
        <v>1098238729</v>
      </c>
    </row>
    <row r="546" spans="1:19" x14ac:dyDescent="0.2">
      <c r="A546" t="str">
        <f t="shared" si="90"/>
        <v>Adult Fiction</v>
      </c>
      <c r="B546" t="str">
        <f>"NEW F LECAR"</f>
        <v>NEW F LECAR</v>
      </c>
      <c r="C546" t="str">
        <f>"Agent running in the field"</f>
        <v>Agent running in the field</v>
      </c>
      <c r="D546">
        <v>358659</v>
      </c>
      <c r="E546" t="str">
        <f>"Le Carre, John"</f>
        <v>Le Carre, John</v>
      </c>
      <c r="G546" t="str">
        <f>"281 pages, 24 cm"</f>
        <v>281 pages, 24 cm</v>
      </c>
      <c r="H546" s="1">
        <v>19</v>
      </c>
      <c r="I546">
        <v>2019</v>
      </c>
      <c r="J546" t="str">
        <f t="shared" si="89"/>
        <v>2: Fiction</v>
      </c>
      <c r="L546" t="s">
        <v>2395</v>
      </c>
      <c r="M546" t="s">
        <v>28</v>
      </c>
      <c r="N546" t="s">
        <v>2404</v>
      </c>
      <c r="O546">
        <v>8</v>
      </c>
      <c r="P546" s="2">
        <v>43760</v>
      </c>
      <c r="Q546" s="1">
        <v>34</v>
      </c>
      <c r="R546" t="s">
        <v>2727</v>
      </c>
      <c r="S546">
        <v>1098238729</v>
      </c>
    </row>
    <row r="547" spans="1:19" x14ac:dyDescent="0.2">
      <c r="A547" t="str">
        <f t="shared" si="90"/>
        <v>Adult Fiction</v>
      </c>
      <c r="B547" t="str">
        <f>"NEW F LEE"</f>
        <v>NEW F LEE</v>
      </c>
      <c r="C547" t="str">
        <f>"Jade war"</f>
        <v>Jade war</v>
      </c>
      <c r="D547">
        <v>356983</v>
      </c>
      <c r="E547" t="str">
        <f>"Lee, Fonda"</f>
        <v>Lee, Fonda</v>
      </c>
      <c r="F547" t="str">
        <f>"Green Bone Saga series (2)"</f>
        <v>Green Bone Saga series (2)</v>
      </c>
      <c r="G547" t="str">
        <f>"xiii, 590 pages, 25 cm, maps"</f>
        <v>xiii, 590 pages, 25 cm, maps</v>
      </c>
      <c r="H547" s="1">
        <v>19</v>
      </c>
      <c r="I547">
        <v>2019</v>
      </c>
      <c r="J547" t="str">
        <f t="shared" si="89"/>
        <v>2: Fiction</v>
      </c>
      <c r="L547" t="s">
        <v>2395</v>
      </c>
      <c r="M547" t="s">
        <v>28</v>
      </c>
      <c r="N547" t="s">
        <v>2404</v>
      </c>
      <c r="O547">
        <v>3</v>
      </c>
      <c r="P547" s="2">
        <v>43696</v>
      </c>
      <c r="Q547" s="1">
        <v>31</v>
      </c>
      <c r="R547" t="s">
        <v>2728</v>
      </c>
      <c r="S547">
        <v>1035434280</v>
      </c>
    </row>
    <row r="548" spans="1:19" x14ac:dyDescent="0.2">
      <c r="A548" t="str">
        <f t="shared" si="90"/>
        <v>Adult Fiction</v>
      </c>
      <c r="B548" t="str">
        <f>"NEW F LEFTE"</f>
        <v>NEW F LEFTE</v>
      </c>
      <c r="C548" t="str">
        <f>"The beekeeper of Aleppo: a novel"</f>
        <v>The beekeeper of Aleppo: a novel</v>
      </c>
      <c r="D548">
        <v>357326</v>
      </c>
      <c r="E548" t="str">
        <f>"Lefteri, Christy"</f>
        <v>Lefteri, Christy</v>
      </c>
      <c r="G548" t="str">
        <f>"317 pages, 22 cm"</f>
        <v>317 pages, 22 cm</v>
      </c>
      <c r="H548" s="1">
        <v>19</v>
      </c>
      <c r="I548">
        <v>2019</v>
      </c>
      <c r="J548" t="str">
        <f t="shared" si="89"/>
        <v>2: Fiction</v>
      </c>
      <c r="L548" t="s">
        <v>2395</v>
      </c>
      <c r="M548" t="s">
        <v>28</v>
      </c>
      <c r="N548" t="s">
        <v>2404</v>
      </c>
      <c r="O548">
        <v>5</v>
      </c>
      <c r="P548" s="2">
        <v>43711</v>
      </c>
      <c r="Q548" s="1">
        <v>32</v>
      </c>
      <c r="R548" t="s">
        <v>2729</v>
      </c>
      <c r="S548">
        <v>1077968125</v>
      </c>
    </row>
    <row r="549" spans="1:19" x14ac:dyDescent="0.2">
      <c r="A549" t="str">
        <f t="shared" si="90"/>
        <v>Adult Fiction</v>
      </c>
      <c r="B549" t="str">
        <f>"NEW F LEGG"</f>
        <v>NEW F LEGG</v>
      </c>
      <c r="C549" t="str">
        <f>"Chasing dirt"</f>
        <v>Chasing dirt</v>
      </c>
      <c r="D549">
        <v>360325</v>
      </c>
      <c r="E549" t="str">
        <f>"Legg, Brandt."</f>
        <v>Legg, Brandt.</v>
      </c>
      <c r="H549" s="1">
        <v>19</v>
      </c>
      <c r="I549">
        <v>2019</v>
      </c>
      <c r="J549" t="str">
        <f t="shared" si="89"/>
        <v>2: Fiction</v>
      </c>
      <c r="L549" t="s">
        <v>2395</v>
      </c>
      <c r="M549" t="s">
        <v>28</v>
      </c>
      <c r="N549" t="s">
        <v>2396</v>
      </c>
      <c r="O549">
        <v>0</v>
      </c>
      <c r="P549" s="2">
        <v>43844</v>
      </c>
      <c r="Q549" s="1">
        <v>17.989999999999998</v>
      </c>
      <c r="R549" t="s">
        <v>2730</v>
      </c>
    </row>
    <row r="550" spans="1:19" x14ac:dyDescent="0.2">
      <c r="A550" t="str">
        <f t="shared" si="90"/>
        <v>Adult Fiction</v>
      </c>
      <c r="B550" t="str">
        <f>"NEW F LEHAN"</f>
        <v>NEW F LEHAN</v>
      </c>
      <c r="C550" t="str">
        <f>"Murder off the page: a 42nd Street library mystery"</f>
        <v>Murder off the page: a 42nd Street library mystery</v>
      </c>
      <c r="D550">
        <v>359567</v>
      </c>
      <c r="E550" t="str">
        <f>"Lehane, Cornelius"</f>
        <v>Lehane, Cornelius</v>
      </c>
      <c r="F550" t="str">
        <f>"42nd Street Library Mystery series (3)"</f>
        <v>42nd Street Library Mystery series (3)</v>
      </c>
      <c r="G550" t="str">
        <f>"viii, 323 pages, 22 cm"</f>
        <v>viii, 323 pages, 22 cm</v>
      </c>
      <c r="H550" s="1">
        <v>19</v>
      </c>
      <c r="I550">
        <v>2019</v>
      </c>
      <c r="J550" t="str">
        <f t="shared" si="89"/>
        <v>2: Fiction</v>
      </c>
      <c r="L550" t="s">
        <v>2395</v>
      </c>
      <c r="M550" t="s">
        <v>28</v>
      </c>
      <c r="N550" t="s">
        <v>2396</v>
      </c>
      <c r="O550">
        <v>4</v>
      </c>
      <c r="P550" s="2">
        <v>43802</v>
      </c>
      <c r="Q550" s="1">
        <v>32</v>
      </c>
      <c r="R550" t="s">
        <v>2731</v>
      </c>
      <c r="S550">
        <v>1126787564</v>
      </c>
    </row>
    <row r="551" spans="1:19" x14ac:dyDescent="0.2">
      <c r="A551" t="str">
        <f t="shared" si="90"/>
        <v>Adult Fiction</v>
      </c>
      <c r="B551" t="str">
        <f>"NEW F LERNE"</f>
        <v>NEW F LERNE</v>
      </c>
      <c r="C551" t="str">
        <f>"The Topeka school"</f>
        <v>The Topeka school</v>
      </c>
      <c r="D551">
        <v>358070</v>
      </c>
      <c r="E551" t="str">
        <f>"Lerner, Ben."</f>
        <v>Lerner, Ben.</v>
      </c>
      <c r="G551" t="str">
        <f>"282 p."</f>
        <v>282 p.</v>
      </c>
      <c r="H551" s="1">
        <v>19</v>
      </c>
      <c r="I551">
        <v>2019</v>
      </c>
      <c r="J551" t="str">
        <f t="shared" si="89"/>
        <v>2: Fiction</v>
      </c>
      <c r="L551" t="s">
        <v>2395</v>
      </c>
      <c r="M551" t="s">
        <v>28</v>
      </c>
      <c r="N551" t="s">
        <v>2404</v>
      </c>
      <c r="O551">
        <v>9</v>
      </c>
      <c r="P551" s="2">
        <v>43740</v>
      </c>
      <c r="Q551" s="1">
        <v>32</v>
      </c>
      <c r="R551" t="s">
        <v>2732</v>
      </c>
      <c r="S551">
        <v>1080555801</v>
      </c>
    </row>
    <row r="552" spans="1:19" x14ac:dyDescent="0.2">
      <c r="A552" t="str">
        <f t="shared" si="90"/>
        <v>Adult Fiction</v>
      </c>
      <c r="B552" t="str">
        <f>"NEW F LESTE"</f>
        <v>NEW F LESTE</v>
      </c>
      <c r="C552" t="str">
        <f>"The Paris orphan"</f>
        <v>The Paris orphan</v>
      </c>
      <c r="D552">
        <v>357720</v>
      </c>
      <c r="E552" t="str">
        <f>"Lester, Natasha"</f>
        <v>Lester, Natasha</v>
      </c>
      <c r="G552" t="str">
        <f>"472 pages, 21 cm"</f>
        <v>472 pages, 21 cm</v>
      </c>
      <c r="H552" s="1">
        <v>19</v>
      </c>
      <c r="I552">
        <v>2019</v>
      </c>
      <c r="J552" t="str">
        <f t="shared" si="89"/>
        <v>2: Fiction</v>
      </c>
      <c r="L552" t="s">
        <v>2403</v>
      </c>
      <c r="M552" t="s">
        <v>28</v>
      </c>
      <c r="N552" t="s">
        <v>2404</v>
      </c>
      <c r="O552">
        <v>8</v>
      </c>
      <c r="P552" s="2">
        <v>43725</v>
      </c>
      <c r="Q552" s="1">
        <v>22</v>
      </c>
      <c r="R552" t="s">
        <v>2733</v>
      </c>
      <c r="S552">
        <v>1112730617</v>
      </c>
    </row>
    <row r="553" spans="1:19" x14ac:dyDescent="0.2">
      <c r="A553" t="str">
        <f t="shared" si="90"/>
        <v>Adult Fiction</v>
      </c>
      <c r="B553" t="str">
        <f>"NEW F LESTE"</f>
        <v>NEW F LESTE</v>
      </c>
      <c r="C553" t="str">
        <f>"The Paris orphan"</f>
        <v>The Paris orphan</v>
      </c>
      <c r="D553">
        <v>357721</v>
      </c>
      <c r="E553" t="str">
        <f>"Lester, Natasha"</f>
        <v>Lester, Natasha</v>
      </c>
      <c r="G553" t="str">
        <f>"472 pages, 21 cm"</f>
        <v>472 pages, 21 cm</v>
      </c>
      <c r="H553" s="1">
        <v>19</v>
      </c>
      <c r="I553">
        <v>2019</v>
      </c>
      <c r="J553" t="str">
        <f t="shared" si="89"/>
        <v>2: Fiction</v>
      </c>
      <c r="L553" t="s">
        <v>2403</v>
      </c>
      <c r="M553" t="s">
        <v>28</v>
      </c>
      <c r="N553" t="s">
        <v>2404</v>
      </c>
      <c r="O553">
        <v>5</v>
      </c>
      <c r="P553" s="2">
        <v>43725</v>
      </c>
      <c r="Q553" s="1">
        <v>22</v>
      </c>
      <c r="R553" t="s">
        <v>2733</v>
      </c>
      <c r="S553">
        <v>1112730617</v>
      </c>
    </row>
    <row r="554" spans="1:19" x14ac:dyDescent="0.2">
      <c r="A554" t="str">
        <f t="shared" si="90"/>
        <v>Adult Fiction</v>
      </c>
      <c r="B554" t="str">
        <f>"NEW F LEUNE"</f>
        <v>NEW F LEUNE</v>
      </c>
      <c r="C554" t="str">
        <f>"Caging skies"</f>
        <v>Caging skies</v>
      </c>
      <c r="D554">
        <v>356700</v>
      </c>
      <c r="E554" t="str">
        <f>"Leunens, Christine,"</f>
        <v>Leunens, Christine,</v>
      </c>
      <c r="G554" t="str">
        <f>"297 p., 24 cm"</f>
        <v>297 p., 24 cm</v>
      </c>
      <c r="H554" s="1">
        <v>19</v>
      </c>
      <c r="I554">
        <v>2019</v>
      </c>
      <c r="J554" t="str">
        <f t="shared" si="89"/>
        <v>2: Fiction</v>
      </c>
      <c r="L554" t="s">
        <v>2395</v>
      </c>
      <c r="M554" t="s">
        <v>28</v>
      </c>
      <c r="N554" t="s">
        <v>2396</v>
      </c>
      <c r="O554">
        <v>5</v>
      </c>
      <c r="P554" s="2">
        <v>43689</v>
      </c>
      <c r="Q554" s="1">
        <v>31</v>
      </c>
      <c r="R554" t="s">
        <v>2734</v>
      </c>
      <c r="S554">
        <v>1082876021</v>
      </c>
    </row>
    <row r="555" spans="1:19" x14ac:dyDescent="0.2">
      <c r="A555" t="str">
        <f t="shared" si="90"/>
        <v>Adult Fiction</v>
      </c>
      <c r="B555" t="str">
        <f>"NEW F LEVY"</f>
        <v>NEW F LEVY</v>
      </c>
      <c r="C555" t="str">
        <f>"The man who saw everything"</f>
        <v>The man who saw everything</v>
      </c>
      <c r="D555">
        <v>358273</v>
      </c>
      <c r="E555" t="str">
        <f>"Levy, Deborah"</f>
        <v>Levy, Deborah</v>
      </c>
      <c r="G555" t="str">
        <f>"200 p."</f>
        <v>200 p.</v>
      </c>
      <c r="H555" s="1">
        <v>19</v>
      </c>
      <c r="I555">
        <v>2019</v>
      </c>
      <c r="J555" t="str">
        <f t="shared" si="89"/>
        <v>2: Fiction</v>
      </c>
      <c r="L555" t="s">
        <v>2395</v>
      </c>
      <c r="M555" t="s">
        <v>28</v>
      </c>
      <c r="N555" t="s">
        <v>2404</v>
      </c>
      <c r="O555">
        <v>4</v>
      </c>
      <c r="P555" s="2">
        <v>43745</v>
      </c>
      <c r="Q555" s="1">
        <v>31</v>
      </c>
      <c r="R555" t="s">
        <v>2735</v>
      </c>
      <c r="S555">
        <v>1076511614</v>
      </c>
    </row>
    <row r="556" spans="1:19" x14ac:dyDescent="0.2">
      <c r="A556" t="str">
        <f t="shared" si="90"/>
        <v>Adult Fiction</v>
      </c>
      <c r="B556" t="str">
        <f>"NEW F LEVY"</f>
        <v>NEW F LEVY</v>
      </c>
      <c r="C556" t="str">
        <f>"The strange journey of Alice Pendelbury"</f>
        <v>The strange journey of Alice Pendelbury</v>
      </c>
      <c r="D556">
        <v>356680</v>
      </c>
      <c r="E556" t="str">
        <f>"Levy, Marc"</f>
        <v>Levy, Marc</v>
      </c>
      <c r="G556" t="str">
        <f>"226 p., 21 cm"</f>
        <v>226 p., 21 cm</v>
      </c>
      <c r="H556" s="1">
        <v>19</v>
      </c>
      <c r="I556">
        <v>2019</v>
      </c>
      <c r="J556" t="str">
        <f t="shared" si="89"/>
        <v>2: Fiction</v>
      </c>
      <c r="L556" t="s">
        <v>2395</v>
      </c>
      <c r="M556" t="s">
        <v>28</v>
      </c>
      <c r="N556" t="s">
        <v>2404</v>
      </c>
      <c r="O556">
        <v>7</v>
      </c>
      <c r="P556" s="2">
        <v>43689</v>
      </c>
      <c r="Q556" s="1">
        <v>20</v>
      </c>
      <c r="R556" t="s">
        <v>2736</v>
      </c>
      <c r="S556">
        <v>1079177466</v>
      </c>
    </row>
    <row r="557" spans="1:19" x14ac:dyDescent="0.2">
      <c r="A557" t="str">
        <f t="shared" si="90"/>
        <v>Adult Fiction</v>
      </c>
      <c r="B557" t="str">
        <f>"NEW F LEWIS"</f>
        <v>NEW F LEWIS</v>
      </c>
      <c r="C557" t="str">
        <f>"The timepiece"</f>
        <v>The timepiece</v>
      </c>
      <c r="D557">
        <v>359061</v>
      </c>
      <c r="E557" t="str">
        <f>"Lewis, Beverly"</f>
        <v>Lewis, Beverly</v>
      </c>
      <c r="G557" t="str">
        <f>"326 pages, 23 cm"</f>
        <v>326 pages, 23 cm</v>
      </c>
      <c r="H557" s="1">
        <v>19</v>
      </c>
      <c r="I557">
        <v>2019</v>
      </c>
      <c r="J557" t="str">
        <f t="shared" si="89"/>
        <v>2: Fiction</v>
      </c>
      <c r="L557" t="s">
        <v>2403</v>
      </c>
      <c r="M557" t="s">
        <v>28</v>
      </c>
      <c r="N557" t="s">
        <v>2404</v>
      </c>
      <c r="O557">
        <v>5</v>
      </c>
      <c r="P557" s="2">
        <v>43776</v>
      </c>
      <c r="Q557" s="1">
        <v>21</v>
      </c>
      <c r="R557" t="s">
        <v>2737</v>
      </c>
      <c r="S557">
        <v>1109796895</v>
      </c>
    </row>
    <row r="558" spans="1:19" x14ac:dyDescent="0.2">
      <c r="A558" t="str">
        <f t="shared" si="90"/>
        <v>Adult Fiction</v>
      </c>
      <c r="B558" t="str">
        <f>"NEW F LEWIS"</f>
        <v>NEW F LEWIS</v>
      </c>
      <c r="C558" t="str">
        <f>"The tinderbox"</f>
        <v>The tinderbox</v>
      </c>
      <c r="D558">
        <v>358899</v>
      </c>
      <c r="E558" t="str">
        <f>"Lewis, Beverly"</f>
        <v>Lewis, Beverly</v>
      </c>
      <c r="G558" t="str">
        <f>"306 p., 23 cm"</f>
        <v>306 p., 23 cm</v>
      </c>
      <c r="H558" s="1">
        <v>19</v>
      </c>
      <c r="I558">
        <v>2019</v>
      </c>
      <c r="J558" t="str">
        <f t="shared" si="89"/>
        <v>2: Fiction</v>
      </c>
      <c r="L558" t="s">
        <v>2395</v>
      </c>
      <c r="M558" t="s">
        <v>28</v>
      </c>
      <c r="N558" t="s">
        <v>2404</v>
      </c>
      <c r="O558">
        <v>3</v>
      </c>
      <c r="P558" s="2">
        <v>43769</v>
      </c>
      <c r="Q558" s="1">
        <v>21</v>
      </c>
      <c r="R558" t="s">
        <v>2738</v>
      </c>
      <c r="S558">
        <v>1039345385</v>
      </c>
    </row>
    <row r="559" spans="1:19" x14ac:dyDescent="0.2">
      <c r="A559" t="str">
        <f t="shared" si="90"/>
        <v>Adult Fiction</v>
      </c>
      <c r="B559" t="str">
        <f>"NEW F LINDE"</f>
        <v>NEW F LINDE</v>
      </c>
      <c r="C559" t="str">
        <f>"The enlightenment of bees"</f>
        <v>The enlightenment of bees</v>
      </c>
      <c r="D559">
        <v>357697</v>
      </c>
      <c r="E559" t="str">
        <f>"Linden, Rachel"</f>
        <v>Linden, Rachel</v>
      </c>
      <c r="G559" t="str">
        <f>"328 pages, 22 cm"</f>
        <v>328 pages, 22 cm</v>
      </c>
      <c r="H559" s="1">
        <v>19</v>
      </c>
      <c r="I559">
        <v>2019</v>
      </c>
      <c r="J559" t="str">
        <f t="shared" si="89"/>
        <v>2: Fiction</v>
      </c>
      <c r="L559" t="s">
        <v>2395</v>
      </c>
      <c r="M559" t="s">
        <v>28</v>
      </c>
      <c r="N559" t="s">
        <v>2404</v>
      </c>
      <c r="O559">
        <v>8</v>
      </c>
      <c r="P559" s="2">
        <v>43725</v>
      </c>
      <c r="Q559" s="1">
        <v>22</v>
      </c>
      <c r="R559" t="s">
        <v>2739</v>
      </c>
      <c r="S559">
        <v>1080998629</v>
      </c>
    </row>
    <row r="560" spans="1:19" x14ac:dyDescent="0.2">
      <c r="A560" t="str">
        <f t="shared" si="90"/>
        <v>Adult Fiction</v>
      </c>
      <c r="B560" t="str">
        <f>"NEW F LINDS"</f>
        <v>NEW F LINDS</v>
      </c>
      <c r="C560" t="str">
        <f>"Just watch me: a novel"</f>
        <v>Just watch me: a novel</v>
      </c>
      <c r="D560">
        <v>359868</v>
      </c>
      <c r="E560" t="str">
        <f>"Lindsay, Jeffry P."</f>
        <v>Lindsay, Jeffry P.</v>
      </c>
      <c r="G560" t="str">
        <f>"358 pages, 24 cm"</f>
        <v>358 pages, 24 cm</v>
      </c>
      <c r="H560" s="1">
        <v>19</v>
      </c>
      <c r="I560">
        <v>2019</v>
      </c>
      <c r="J560" t="str">
        <f t="shared" si="89"/>
        <v>2: Fiction</v>
      </c>
      <c r="L560" t="s">
        <v>2395</v>
      </c>
      <c r="M560" t="s">
        <v>28</v>
      </c>
      <c r="N560" t="s">
        <v>2396</v>
      </c>
      <c r="O560">
        <v>4</v>
      </c>
      <c r="P560" s="2">
        <v>43815</v>
      </c>
      <c r="Q560" s="1">
        <v>31</v>
      </c>
      <c r="R560" t="s">
        <v>2740</v>
      </c>
      <c r="S560">
        <v>1089881620</v>
      </c>
    </row>
    <row r="561" spans="1:19" x14ac:dyDescent="0.2">
      <c r="A561" t="str">
        <f t="shared" si="90"/>
        <v>Adult Fiction</v>
      </c>
      <c r="B561" t="str">
        <f>"NEW F LINDS"</f>
        <v>NEW F LINDS</v>
      </c>
      <c r="C561" t="str">
        <f>"A golden grave"</f>
        <v>A golden grave</v>
      </c>
      <c r="D561">
        <v>358112</v>
      </c>
      <c r="E561" t="str">
        <f>"Lindsey, Erin"</f>
        <v>Lindsey, Erin</v>
      </c>
      <c r="G561" t="str">
        <f>"viii, 385 pages, 21 cm, map"</f>
        <v>viii, 385 pages, 21 cm, map</v>
      </c>
      <c r="H561" s="1">
        <v>19</v>
      </c>
      <c r="I561">
        <v>2019</v>
      </c>
      <c r="J561" t="str">
        <f t="shared" si="89"/>
        <v>2: Fiction</v>
      </c>
      <c r="L561" t="s">
        <v>2403</v>
      </c>
      <c r="M561" t="s">
        <v>28</v>
      </c>
      <c r="N561" t="s">
        <v>2404</v>
      </c>
      <c r="O561">
        <v>4</v>
      </c>
      <c r="P561" s="2">
        <v>43740</v>
      </c>
      <c r="Q561" s="1">
        <v>23</v>
      </c>
      <c r="R561" t="s">
        <v>2741</v>
      </c>
      <c r="S561">
        <v>1105748388</v>
      </c>
    </row>
    <row r="562" spans="1:19" x14ac:dyDescent="0.2">
      <c r="A562" t="str">
        <f t="shared" si="90"/>
        <v>Adult Fiction</v>
      </c>
      <c r="B562" t="str">
        <f>"NEW F LIPPM"</f>
        <v>NEW F LIPPM</v>
      </c>
      <c r="C562" t="str">
        <f>"Lady in the lake: a novel"</f>
        <v>Lady in the lake: a novel</v>
      </c>
      <c r="D562">
        <v>356432</v>
      </c>
      <c r="E562" t="str">
        <f>"Lippman, Laura"</f>
        <v>Lippman, Laura</v>
      </c>
      <c r="G562" t="str">
        <f>"337 p."</f>
        <v>337 p.</v>
      </c>
      <c r="H562" s="1">
        <v>19</v>
      </c>
      <c r="I562">
        <v>2019</v>
      </c>
      <c r="J562" t="str">
        <f t="shared" si="89"/>
        <v>2: Fiction</v>
      </c>
      <c r="L562" t="s">
        <v>2395</v>
      </c>
      <c r="M562" t="s">
        <v>28</v>
      </c>
      <c r="N562" t="s">
        <v>2404</v>
      </c>
      <c r="O562">
        <v>13</v>
      </c>
      <c r="P562" s="2">
        <v>43671</v>
      </c>
      <c r="Q562" s="1">
        <v>32</v>
      </c>
      <c r="R562" t="s">
        <v>2742</v>
      </c>
      <c r="S562">
        <v>1059250052</v>
      </c>
    </row>
    <row r="563" spans="1:19" x14ac:dyDescent="0.2">
      <c r="A563" t="str">
        <f t="shared" si="90"/>
        <v>Adult Fiction</v>
      </c>
      <c r="B563" t="str">
        <f>"NEW F LIPPM"</f>
        <v>NEW F LIPPM</v>
      </c>
      <c r="C563" t="str">
        <f>"Lady in the lake: a novel"</f>
        <v>Lady in the lake: a novel</v>
      </c>
      <c r="D563">
        <v>356433</v>
      </c>
      <c r="E563" t="str">
        <f>"Lippman, Laura"</f>
        <v>Lippman, Laura</v>
      </c>
      <c r="G563" t="str">
        <f>"337 p."</f>
        <v>337 p.</v>
      </c>
      <c r="H563" s="1">
        <v>19</v>
      </c>
      <c r="I563">
        <v>2019</v>
      </c>
      <c r="J563" t="str">
        <f t="shared" si="89"/>
        <v>2: Fiction</v>
      </c>
      <c r="L563" t="s">
        <v>2395</v>
      </c>
      <c r="M563" t="s">
        <v>28</v>
      </c>
      <c r="N563" t="s">
        <v>2404</v>
      </c>
      <c r="O563">
        <v>11</v>
      </c>
      <c r="P563" s="2">
        <v>43671</v>
      </c>
      <c r="Q563" s="1">
        <v>32</v>
      </c>
      <c r="R563" t="s">
        <v>2742</v>
      </c>
      <c r="S563">
        <v>1059250052</v>
      </c>
    </row>
    <row r="564" spans="1:19" x14ac:dyDescent="0.2">
      <c r="A564" t="str">
        <f t="shared" si="90"/>
        <v>Adult Fiction</v>
      </c>
      <c r="B564" t="str">
        <f>"NEW F LIPPM"</f>
        <v>NEW F LIPPM</v>
      </c>
      <c r="C564" t="str">
        <f>"Lady in the lake: a novel"</f>
        <v>Lady in the lake: a novel</v>
      </c>
      <c r="D564">
        <v>356434</v>
      </c>
      <c r="E564" t="str">
        <f>"Lippman, Laura"</f>
        <v>Lippman, Laura</v>
      </c>
      <c r="G564" t="str">
        <f>"337 p."</f>
        <v>337 p.</v>
      </c>
      <c r="H564" s="1">
        <v>19</v>
      </c>
      <c r="I564">
        <v>2019</v>
      </c>
      <c r="J564" t="str">
        <f t="shared" si="89"/>
        <v>2: Fiction</v>
      </c>
      <c r="L564" t="s">
        <v>2395</v>
      </c>
      <c r="M564" t="s">
        <v>28</v>
      </c>
      <c r="N564" t="s">
        <v>2404</v>
      </c>
      <c r="O564">
        <v>11</v>
      </c>
      <c r="P564" s="2">
        <v>43671</v>
      </c>
      <c r="Q564" s="1">
        <v>32</v>
      </c>
      <c r="R564" t="s">
        <v>2742</v>
      </c>
      <c r="S564">
        <v>1059250052</v>
      </c>
    </row>
    <row r="565" spans="1:19" x14ac:dyDescent="0.2">
      <c r="A565" t="str">
        <f t="shared" si="90"/>
        <v>Adult Fiction</v>
      </c>
      <c r="B565" t="str">
        <f>"NEW F LIPPM"</f>
        <v>NEW F LIPPM</v>
      </c>
      <c r="C565" t="str">
        <f>"Lady in the lake: a novel"</f>
        <v>Lady in the lake: a novel</v>
      </c>
      <c r="D565">
        <v>357108</v>
      </c>
      <c r="E565" t="str">
        <f>"Lippman, Laura"</f>
        <v>Lippman, Laura</v>
      </c>
      <c r="G565" t="str">
        <f>"337 p."</f>
        <v>337 p.</v>
      </c>
      <c r="H565" s="1">
        <v>19</v>
      </c>
      <c r="I565">
        <v>2019</v>
      </c>
      <c r="J565" t="str">
        <f t="shared" si="89"/>
        <v>2: Fiction</v>
      </c>
      <c r="L565" t="s">
        <v>2395</v>
      </c>
      <c r="M565" t="s">
        <v>28</v>
      </c>
      <c r="N565" t="s">
        <v>2404</v>
      </c>
      <c r="O565">
        <v>6</v>
      </c>
      <c r="P565" s="2">
        <v>43704</v>
      </c>
      <c r="Q565" s="1">
        <v>32</v>
      </c>
      <c r="R565" t="s">
        <v>2742</v>
      </c>
      <c r="S565">
        <v>1059250052</v>
      </c>
    </row>
    <row r="566" spans="1:19" x14ac:dyDescent="0.2">
      <c r="A566" t="str">
        <f t="shared" si="90"/>
        <v>Adult Fiction</v>
      </c>
      <c r="B566" t="str">
        <f>"NEW F LITT"</f>
        <v>NEW F LITT</v>
      </c>
      <c r="C566" t="s">
        <v>2743</v>
      </c>
      <c r="D566">
        <v>408673</v>
      </c>
      <c r="E566" t="str">
        <f>"Litt, Toby"</f>
        <v>Litt, Toby</v>
      </c>
      <c r="G566" t="str">
        <f>"249 p."</f>
        <v>249 p.</v>
      </c>
      <c r="H566" s="1">
        <v>19</v>
      </c>
      <c r="I566">
        <v>2019</v>
      </c>
      <c r="J566" t="str">
        <f t="shared" si="89"/>
        <v>2: Fiction</v>
      </c>
      <c r="L566" t="s">
        <v>2403</v>
      </c>
      <c r="M566" t="s">
        <v>28</v>
      </c>
      <c r="N566" t="s">
        <v>2404</v>
      </c>
      <c r="O566">
        <v>1</v>
      </c>
      <c r="P566" s="2">
        <v>43844</v>
      </c>
      <c r="Q566" s="1">
        <v>19</v>
      </c>
      <c r="R566" t="s">
        <v>2744</v>
      </c>
      <c r="S566">
        <v>1123220518</v>
      </c>
    </row>
    <row r="567" spans="1:19" x14ac:dyDescent="0.2">
      <c r="A567" t="str">
        <f t="shared" si="90"/>
        <v>Adult Fiction</v>
      </c>
      <c r="B567" t="str">
        <f>"NEW F LIU"</f>
        <v>NEW F LIU</v>
      </c>
      <c r="C567" t="str">
        <f>"Supernova era"</f>
        <v>Supernova era</v>
      </c>
      <c r="D567">
        <v>359056</v>
      </c>
      <c r="E567" t="str">
        <f>"Liu, Cixin."</f>
        <v>Liu, Cixin.</v>
      </c>
      <c r="G567" t="str">
        <f>"348 pages, 25 cm"</f>
        <v>348 pages, 25 cm</v>
      </c>
      <c r="H567" s="1">
        <v>19</v>
      </c>
      <c r="I567">
        <v>2019</v>
      </c>
      <c r="J567" t="str">
        <f t="shared" si="89"/>
        <v>2: Fiction</v>
      </c>
      <c r="L567" t="s">
        <v>2395</v>
      </c>
      <c r="M567" t="s">
        <v>28</v>
      </c>
      <c r="N567" t="s">
        <v>2404</v>
      </c>
      <c r="O567">
        <v>5</v>
      </c>
      <c r="P567" s="2">
        <v>43776</v>
      </c>
      <c r="Q567" s="1">
        <v>33</v>
      </c>
      <c r="R567" t="s">
        <v>2745</v>
      </c>
      <c r="S567">
        <v>1079846974</v>
      </c>
    </row>
    <row r="568" spans="1:19" x14ac:dyDescent="0.2">
      <c r="A568" t="str">
        <f t="shared" si="90"/>
        <v>Adult Fiction</v>
      </c>
      <c r="B568" t="str">
        <f>"NEW F LLOYD"</f>
        <v>NEW F LLOYD</v>
      </c>
      <c r="C568" t="str">
        <f>"One more lie"</f>
        <v>One more lie</v>
      </c>
      <c r="D568">
        <v>355782</v>
      </c>
      <c r="E568" t="str">
        <f>"Lloyd, Amy"</f>
        <v>Lloyd, Amy</v>
      </c>
      <c r="G568" t="str">
        <f>"328 pages, 24 cm"</f>
        <v>328 pages, 24 cm</v>
      </c>
      <c r="H568" s="1">
        <v>19</v>
      </c>
      <c r="I568">
        <v>2019</v>
      </c>
      <c r="J568" t="str">
        <f t="shared" si="89"/>
        <v>2: Fiction</v>
      </c>
      <c r="L568" t="s">
        <v>2395</v>
      </c>
      <c r="M568" t="s">
        <v>28</v>
      </c>
      <c r="N568" t="s">
        <v>2404</v>
      </c>
      <c r="O568">
        <v>11</v>
      </c>
      <c r="P568" s="2">
        <v>43640</v>
      </c>
      <c r="Q568" s="1">
        <v>21</v>
      </c>
      <c r="R568" t="s">
        <v>2746</v>
      </c>
      <c r="S568">
        <v>1101195276</v>
      </c>
    </row>
    <row r="569" spans="1:19" x14ac:dyDescent="0.2">
      <c r="A569" t="str">
        <f t="shared" si="90"/>
        <v>Adult Fiction</v>
      </c>
      <c r="B569" t="str">
        <f>"NEW F LOCKE"</f>
        <v>NEW F LOCKE</v>
      </c>
      <c r="C569" t="str">
        <f>"Heaven, my home"</f>
        <v>Heaven, my home</v>
      </c>
      <c r="D569">
        <v>357673</v>
      </c>
      <c r="E569" t="str">
        <f>"Locke, Attica."</f>
        <v>Locke, Attica.</v>
      </c>
      <c r="F569" t="str">
        <f>"Highway 59 Mystery series (2)"</f>
        <v>Highway 59 Mystery series (2)</v>
      </c>
      <c r="H569" s="1">
        <v>19</v>
      </c>
      <c r="I569">
        <v>2019</v>
      </c>
      <c r="J569" t="str">
        <f t="shared" si="89"/>
        <v>2: Fiction</v>
      </c>
      <c r="L569" t="s">
        <v>2395</v>
      </c>
      <c r="M569" t="s">
        <v>28</v>
      </c>
      <c r="N569" t="s">
        <v>2404</v>
      </c>
      <c r="O569">
        <v>10</v>
      </c>
      <c r="P569" s="2">
        <v>43725</v>
      </c>
      <c r="Q569" s="1">
        <v>32</v>
      </c>
      <c r="R569" t="s">
        <v>2747</v>
      </c>
    </row>
    <row r="570" spans="1:19" x14ac:dyDescent="0.2">
      <c r="A570" t="str">
        <f t="shared" si="90"/>
        <v>Adult Fiction</v>
      </c>
      <c r="B570" t="str">
        <f>"NEW F LOMBA"</f>
        <v>NEW F LOMBA</v>
      </c>
      <c r="C570" t="str">
        <f>"The most fun we ever had: a novel"</f>
        <v>The most fun we ever had: a novel</v>
      </c>
      <c r="D570">
        <v>356397</v>
      </c>
      <c r="E570" t="str">
        <f>"Lombardo, Claire"</f>
        <v>Lombardo, Claire</v>
      </c>
      <c r="G570" t="str">
        <f>"537 pages, 25 cm"</f>
        <v>537 pages, 25 cm</v>
      </c>
      <c r="H570" s="1">
        <v>19</v>
      </c>
      <c r="I570">
        <v>2019</v>
      </c>
      <c r="J570" t="str">
        <f t="shared" si="89"/>
        <v>2: Fiction</v>
      </c>
      <c r="L570" t="s">
        <v>2395</v>
      </c>
      <c r="M570" t="s">
        <v>28</v>
      </c>
      <c r="N570" t="s">
        <v>2404</v>
      </c>
      <c r="O570">
        <v>11</v>
      </c>
      <c r="P570" s="2">
        <v>43671</v>
      </c>
      <c r="Q570" s="1">
        <v>34</v>
      </c>
      <c r="R570" t="s">
        <v>2748</v>
      </c>
      <c r="S570">
        <v>1052462126</v>
      </c>
    </row>
    <row r="571" spans="1:19" x14ac:dyDescent="0.2">
      <c r="A571" t="str">
        <f t="shared" si="90"/>
        <v>Adult Fiction</v>
      </c>
      <c r="B571" t="str">
        <f>"NEW F LONDO"</f>
        <v>NEW F LONDO</v>
      </c>
      <c r="C571" t="str">
        <f>"The devil in the saddle"</f>
        <v>The devil in the saddle</v>
      </c>
      <c r="D571">
        <v>359852</v>
      </c>
      <c r="E571" t="str">
        <f>"London, Julia"</f>
        <v>London, Julia</v>
      </c>
      <c r="G571" t="str">
        <f>"359 pages, 18 cm"</f>
        <v>359 pages, 18 cm</v>
      </c>
      <c r="H571" s="1">
        <v>19</v>
      </c>
      <c r="I571">
        <v>2019</v>
      </c>
      <c r="J571" t="str">
        <f t="shared" si="89"/>
        <v>2: Fiction</v>
      </c>
      <c r="L571" t="s">
        <v>2395</v>
      </c>
      <c r="M571" t="s">
        <v>28</v>
      </c>
      <c r="N571" t="s">
        <v>2404</v>
      </c>
      <c r="O571">
        <v>3</v>
      </c>
      <c r="P571" s="2">
        <v>43815</v>
      </c>
      <c r="Q571" s="1">
        <v>13</v>
      </c>
      <c r="R571" t="s">
        <v>2749</v>
      </c>
      <c r="S571">
        <v>1123191537</v>
      </c>
    </row>
    <row r="572" spans="1:19" x14ac:dyDescent="0.2">
      <c r="A572" t="str">
        <f t="shared" si="90"/>
        <v>Adult Fiction</v>
      </c>
      <c r="B572" t="str">
        <f>"NEW F LUTZ"</f>
        <v>NEW F LUTZ</v>
      </c>
      <c r="C572" t="str">
        <f>"The swallows: a novel"</f>
        <v>The swallows: a novel</v>
      </c>
      <c r="D572">
        <v>356854</v>
      </c>
      <c r="E572" t="str">
        <f>"Lutz, Lisa"</f>
        <v>Lutz, Lisa</v>
      </c>
      <c r="G572" t="str">
        <f>"402 pages, 25 cm"</f>
        <v>402 pages, 25 cm</v>
      </c>
      <c r="H572" s="1">
        <v>19</v>
      </c>
      <c r="I572">
        <v>2019</v>
      </c>
      <c r="J572" t="str">
        <f t="shared" si="89"/>
        <v>2: Fiction</v>
      </c>
      <c r="L572" t="s">
        <v>2395</v>
      </c>
      <c r="M572" t="s">
        <v>28</v>
      </c>
      <c r="N572" t="s">
        <v>2404</v>
      </c>
      <c r="O572">
        <v>7</v>
      </c>
      <c r="P572" s="2">
        <v>43691</v>
      </c>
      <c r="Q572" s="1">
        <v>32</v>
      </c>
      <c r="R572" t="s">
        <v>2750</v>
      </c>
      <c r="S572">
        <v>1083715531</v>
      </c>
    </row>
    <row r="573" spans="1:19" x14ac:dyDescent="0.2">
      <c r="A573" t="str">
        <f t="shared" si="90"/>
        <v>Adult Fiction</v>
      </c>
      <c r="B573" t="str">
        <f>"NEW F LYONS"</f>
        <v>NEW F LYONS</v>
      </c>
      <c r="C573" t="str">
        <f>"The ruin of kings"</f>
        <v>The ruin of kings</v>
      </c>
      <c r="D573">
        <v>357542</v>
      </c>
      <c r="E573" t="str">
        <f>"Lyons, Jenn."</f>
        <v>Lyons, Jenn.</v>
      </c>
      <c r="F573" t="str">
        <f>"Chorus of Dragons series (1)"</f>
        <v>Chorus of Dragons series (1)</v>
      </c>
      <c r="H573" s="1">
        <v>19</v>
      </c>
      <c r="I573">
        <v>2019</v>
      </c>
      <c r="J573" t="str">
        <f t="shared" si="89"/>
        <v>2: Fiction</v>
      </c>
      <c r="L573" t="s">
        <v>2403</v>
      </c>
      <c r="M573" t="s">
        <v>28</v>
      </c>
      <c r="N573" t="s">
        <v>2404</v>
      </c>
      <c r="O573">
        <v>3</v>
      </c>
      <c r="P573" s="2">
        <v>43719</v>
      </c>
      <c r="Q573" s="1">
        <v>23</v>
      </c>
      <c r="R573" t="s">
        <v>2751</v>
      </c>
      <c r="S573">
        <v>1119665345</v>
      </c>
    </row>
    <row r="574" spans="1:19" x14ac:dyDescent="0.2">
      <c r="A574" t="str">
        <f t="shared" si="90"/>
        <v>Adult Fiction</v>
      </c>
      <c r="B574" t="str">
        <f>"NEW F MACDO"</f>
        <v>NEW F MACDO</v>
      </c>
      <c r="C574" t="str">
        <f>"When we were Vikings"</f>
        <v>When we were Vikings</v>
      </c>
      <c r="D574">
        <v>360563</v>
      </c>
      <c r="E574" t="str">
        <f>"Macdonald, Andrew"</f>
        <v>Macdonald, Andrew</v>
      </c>
      <c r="G574" t="str">
        <f>"326 pages"</f>
        <v>326 pages</v>
      </c>
      <c r="H574" s="1">
        <v>20</v>
      </c>
      <c r="I574">
        <v>2019</v>
      </c>
      <c r="J574" t="str">
        <f t="shared" si="89"/>
        <v>2: Fiction</v>
      </c>
      <c r="L574" t="s">
        <v>2395</v>
      </c>
      <c r="M574" t="s">
        <v>28</v>
      </c>
      <c r="N574" t="s">
        <v>2495</v>
      </c>
      <c r="O574">
        <v>0</v>
      </c>
      <c r="P574" s="2">
        <v>43858</v>
      </c>
      <c r="Q574" s="1">
        <v>32</v>
      </c>
      <c r="R574" t="s">
        <v>2752</v>
      </c>
    </row>
    <row r="575" spans="1:19" x14ac:dyDescent="0.2">
      <c r="A575" t="str">
        <f t="shared" si="90"/>
        <v>Adult Fiction</v>
      </c>
      <c r="B575" t="str">
        <f>"NEW F MACIN"</f>
        <v>NEW F MACIN</v>
      </c>
      <c r="C575" t="str">
        <f>"Scone Cold Dead"</f>
        <v>Scone Cold Dead</v>
      </c>
      <c r="D575">
        <v>357005</v>
      </c>
      <c r="E575" t="str">
        <f>"MacInerney, Karen"</f>
        <v>MacInerney, Karen</v>
      </c>
      <c r="F575" t="str">
        <f>"Gray Whale Inn Mystery series (9)"</f>
        <v>Gray Whale Inn Mystery series (9)</v>
      </c>
      <c r="H575" s="1">
        <v>19</v>
      </c>
      <c r="I575">
        <v>2019</v>
      </c>
      <c r="J575" t="str">
        <f t="shared" ref="J575:J638" si="91">"2: Fiction"</f>
        <v>2: Fiction</v>
      </c>
      <c r="L575" t="s">
        <v>2395</v>
      </c>
      <c r="M575" t="s">
        <v>28</v>
      </c>
      <c r="N575" t="s">
        <v>2404</v>
      </c>
      <c r="O575">
        <v>9</v>
      </c>
      <c r="P575" s="2">
        <v>43696</v>
      </c>
      <c r="Q575" s="1">
        <v>17</v>
      </c>
      <c r="R575" t="s">
        <v>2753</v>
      </c>
    </row>
    <row r="576" spans="1:19" x14ac:dyDescent="0.2">
      <c r="A576" t="str">
        <f t="shared" si="90"/>
        <v>Adult Fiction</v>
      </c>
      <c r="B576" t="str">
        <f>"NEW F MACIN"</f>
        <v>NEW F MACIN</v>
      </c>
      <c r="C576" t="str">
        <f>"Scone Cold Dead"</f>
        <v>Scone Cold Dead</v>
      </c>
      <c r="D576">
        <v>357006</v>
      </c>
      <c r="E576" t="str">
        <f>"MacInerney, Karen"</f>
        <v>MacInerney, Karen</v>
      </c>
      <c r="F576" t="str">
        <f>"Gray Whale Inn Mystery series (9)"</f>
        <v>Gray Whale Inn Mystery series (9)</v>
      </c>
      <c r="H576" s="1">
        <v>19</v>
      </c>
      <c r="I576">
        <v>2019</v>
      </c>
      <c r="J576" t="str">
        <f t="shared" si="91"/>
        <v>2: Fiction</v>
      </c>
      <c r="L576" t="s">
        <v>2395</v>
      </c>
      <c r="M576" t="s">
        <v>28</v>
      </c>
      <c r="N576" t="s">
        <v>2404</v>
      </c>
      <c r="O576">
        <v>9</v>
      </c>
      <c r="P576" s="2">
        <v>43696</v>
      </c>
      <c r="Q576" s="1">
        <v>17</v>
      </c>
      <c r="R576" t="s">
        <v>2753</v>
      </c>
    </row>
    <row r="577" spans="1:19" x14ac:dyDescent="0.2">
      <c r="A577" t="str">
        <f t="shared" si="90"/>
        <v>Adult Fiction</v>
      </c>
      <c r="B577" t="str">
        <f>"NEW F MACIN"</f>
        <v>NEW F MACIN</v>
      </c>
      <c r="C577" t="str">
        <f>"Wicked Harvest"</f>
        <v>Wicked Harvest</v>
      </c>
      <c r="D577">
        <v>359838</v>
      </c>
      <c r="E577" t="str">
        <f>"MacInerney, Karen"</f>
        <v>MacInerney, Karen</v>
      </c>
      <c r="F577" t="str">
        <f>"Dewberry Farm Mystery series (6)"</f>
        <v>Dewberry Farm Mystery series (6)</v>
      </c>
      <c r="G577" t="str">
        <f>"201 p."</f>
        <v>201 p.</v>
      </c>
      <c r="H577" s="1">
        <v>19</v>
      </c>
      <c r="I577">
        <v>2019</v>
      </c>
      <c r="J577" t="str">
        <f t="shared" si="91"/>
        <v>2: Fiction</v>
      </c>
      <c r="L577" t="s">
        <v>2395</v>
      </c>
      <c r="M577" t="s">
        <v>28</v>
      </c>
      <c r="N577" t="s">
        <v>2404</v>
      </c>
      <c r="O577">
        <v>3</v>
      </c>
      <c r="P577" s="2">
        <v>43815</v>
      </c>
      <c r="Q577" s="1">
        <v>17</v>
      </c>
      <c r="R577" t="s">
        <v>2754</v>
      </c>
    </row>
    <row r="578" spans="1:19" x14ac:dyDescent="0.2">
      <c r="A578" t="str">
        <f t="shared" si="90"/>
        <v>Adult Fiction</v>
      </c>
      <c r="B578" t="str">
        <f>"NEW F MACKE"</f>
        <v>NEW F MACKE</v>
      </c>
      <c r="C578" t="str">
        <f>"The merry Viscount"</f>
        <v>The merry Viscount</v>
      </c>
      <c r="D578">
        <v>358005</v>
      </c>
      <c r="E578" t="str">
        <f>"MacKenzie, Sally."</f>
        <v>MacKenzie, Sally.</v>
      </c>
      <c r="H578" s="1">
        <v>19</v>
      </c>
      <c r="I578">
        <v>2019</v>
      </c>
      <c r="J578" t="str">
        <f t="shared" si="91"/>
        <v>2: Fiction</v>
      </c>
      <c r="L578" t="s">
        <v>2395</v>
      </c>
      <c r="M578" t="s">
        <v>28</v>
      </c>
      <c r="N578" t="s">
        <v>2396</v>
      </c>
      <c r="O578">
        <v>5</v>
      </c>
      <c r="P578" s="2">
        <v>43739</v>
      </c>
      <c r="Q578" s="1">
        <v>13</v>
      </c>
      <c r="R578" t="s">
        <v>2755</v>
      </c>
      <c r="S578">
        <v>1080587667</v>
      </c>
    </row>
    <row r="579" spans="1:19" x14ac:dyDescent="0.2">
      <c r="A579" t="str">
        <f t="shared" si="90"/>
        <v>Adult Fiction</v>
      </c>
      <c r="B579" t="str">
        <f>"NEW F MACLA"</f>
        <v>NEW F MACLA</v>
      </c>
      <c r="C579" t="str">
        <f>"Wake, siren: Ovid resung"</f>
        <v>Wake, siren: Ovid resung</v>
      </c>
      <c r="D579">
        <v>408598</v>
      </c>
      <c r="E579" t="str">
        <f>"MacLaughlin, Nina,"</f>
        <v>MacLaughlin, Nina,</v>
      </c>
      <c r="G579" t="str">
        <f>"x, 342 pages, 19 cm"</f>
        <v>x, 342 pages, 19 cm</v>
      </c>
      <c r="H579" s="1">
        <v>19</v>
      </c>
      <c r="I579">
        <v>2019</v>
      </c>
      <c r="J579" t="str">
        <f t="shared" si="91"/>
        <v>2: Fiction</v>
      </c>
      <c r="L579" t="s">
        <v>2395</v>
      </c>
      <c r="M579" t="s">
        <v>28</v>
      </c>
      <c r="N579" t="s">
        <v>2404</v>
      </c>
      <c r="O579">
        <v>1</v>
      </c>
      <c r="P579" s="2">
        <v>43830</v>
      </c>
      <c r="Q579" s="1">
        <v>16</v>
      </c>
      <c r="R579" t="s">
        <v>2756</v>
      </c>
      <c r="S579">
        <v>1083225561</v>
      </c>
    </row>
    <row r="580" spans="1:19" x14ac:dyDescent="0.2">
      <c r="A580" t="str">
        <f t="shared" si="90"/>
        <v>Adult Fiction</v>
      </c>
      <c r="B580" t="str">
        <f>"NEW F MACLE"</f>
        <v>NEW F MACLE</v>
      </c>
      <c r="C580" t="str">
        <f>"A fire sparkling"</f>
        <v>A fire sparkling</v>
      </c>
      <c r="D580">
        <v>358110</v>
      </c>
      <c r="E580" t="str">
        <f>"MacLean, Julianne."</f>
        <v>MacLean, Julianne.</v>
      </c>
      <c r="G580" t="str">
        <f>"412 pages, 22 cm"</f>
        <v>412 pages, 22 cm</v>
      </c>
      <c r="H580" s="1">
        <v>19</v>
      </c>
      <c r="I580">
        <v>2019</v>
      </c>
      <c r="J580" t="str">
        <f t="shared" si="91"/>
        <v>2: Fiction</v>
      </c>
      <c r="L580" t="s">
        <v>2403</v>
      </c>
      <c r="M580" t="s">
        <v>28</v>
      </c>
      <c r="N580" t="s">
        <v>2396</v>
      </c>
      <c r="O580">
        <v>3</v>
      </c>
      <c r="P580" s="2">
        <v>43740</v>
      </c>
      <c r="Q580" s="1">
        <v>20</v>
      </c>
      <c r="R580" t="s">
        <v>2757</v>
      </c>
      <c r="S580">
        <v>1108636665</v>
      </c>
    </row>
    <row r="581" spans="1:19" x14ac:dyDescent="0.2">
      <c r="A581" t="str">
        <f t="shared" si="90"/>
        <v>Adult Fiction</v>
      </c>
      <c r="B581" t="str">
        <f>"NEW F MACMI"</f>
        <v>NEW F MACMI</v>
      </c>
      <c r="C581" t="str">
        <f>"The nanny: a novel"</f>
        <v>The nanny: a novel</v>
      </c>
      <c r="D581">
        <v>358548</v>
      </c>
      <c r="E581" t="str">
        <f>"Macmillan, Gilly"</f>
        <v>Macmillan, Gilly</v>
      </c>
      <c r="G581" t="str">
        <f>"384 pages, 24 cm"</f>
        <v>384 pages, 24 cm</v>
      </c>
      <c r="H581" s="1">
        <v>19</v>
      </c>
      <c r="I581">
        <v>2019</v>
      </c>
      <c r="J581" t="str">
        <f t="shared" si="91"/>
        <v>2: Fiction</v>
      </c>
      <c r="L581" t="s">
        <v>2395</v>
      </c>
      <c r="M581" t="s">
        <v>28</v>
      </c>
      <c r="N581" t="s">
        <v>2404</v>
      </c>
      <c r="O581">
        <v>7</v>
      </c>
      <c r="P581" s="2">
        <v>43756</v>
      </c>
      <c r="Q581" s="1">
        <v>32</v>
      </c>
      <c r="R581" t="s">
        <v>2758</v>
      </c>
      <c r="S581">
        <v>1117277630</v>
      </c>
    </row>
    <row r="582" spans="1:19" x14ac:dyDescent="0.2">
      <c r="A582" t="str">
        <f t="shared" si="90"/>
        <v>Adult Fiction</v>
      </c>
      <c r="B582" t="str">
        <f>"NEW F MACNE"</f>
        <v>NEW F MACNE</v>
      </c>
      <c r="C582" t="str">
        <f>"The doll factory: a novel"</f>
        <v>The doll factory: a novel</v>
      </c>
      <c r="D582">
        <v>356815</v>
      </c>
      <c r="E582" t="str">
        <f>"Macneal, Elizabeth"</f>
        <v>Macneal, Elizabeth</v>
      </c>
      <c r="G582" t="str">
        <f>"354 p."</f>
        <v>354 p.</v>
      </c>
      <c r="H582" s="1">
        <v>19</v>
      </c>
      <c r="I582">
        <v>2019</v>
      </c>
      <c r="J582" t="str">
        <f t="shared" si="91"/>
        <v>2: Fiction</v>
      </c>
      <c r="L582" t="s">
        <v>2403</v>
      </c>
      <c r="M582" t="s">
        <v>28</v>
      </c>
      <c r="N582" t="s">
        <v>2404</v>
      </c>
      <c r="O582">
        <v>8</v>
      </c>
      <c r="P582" s="2">
        <v>43690</v>
      </c>
      <c r="Q582" s="1">
        <v>32</v>
      </c>
      <c r="R582" t="s">
        <v>2759</v>
      </c>
      <c r="S582">
        <v>1045723052</v>
      </c>
    </row>
    <row r="583" spans="1:19" x14ac:dyDescent="0.2">
      <c r="A583" t="str">
        <f t="shared" ref="A583:A646" si="92">"Adult Fiction"</f>
        <v>Adult Fiction</v>
      </c>
      <c r="B583" t="str">
        <f>"NEW F MACOM"</f>
        <v>NEW F MACOM</v>
      </c>
      <c r="C583" t="str">
        <f>"A Mrs. Miracle Christmas: a novel"</f>
        <v>A Mrs. Miracle Christmas: a novel</v>
      </c>
      <c r="D583">
        <v>358075</v>
      </c>
      <c r="E583" t="str">
        <f>"Macomber, Debbie"</f>
        <v>Macomber, Debbie</v>
      </c>
      <c r="G583" t="str">
        <f>"256 p., 20 cm"</f>
        <v>256 p., 20 cm</v>
      </c>
      <c r="H583" s="1">
        <v>19</v>
      </c>
      <c r="I583">
        <v>2019</v>
      </c>
      <c r="J583" t="str">
        <f t="shared" si="91"/>
        <v>2: Fiction</v>
      </c>
      <c r="L583" t="s">
        <v>2403</v>
      </c>
      <c r="M583" t="s">
        <v>28</v>
      </c>
      <c r="N583" t="s">
        <v>2404</v>
      </c>
      <c r="O583">
        <v>8</v>
      </c>
      <c r="P583" s="2">
        <v>43740</v>
      </c>
      <c r="Q583" s="1">
        <v>25</v>
      </c>
      <c r="R583" t="s">
        <v>2760</v>
      </c>
      <c r="S583">
        <v>1081358034</v>
      </c>
    </row>
    <row r="584" spans="1:19" x14ac:dyDescent="0.2">
      <c r="A584" t="str">
        <f t="shared" si="92"/>
        <v>Adult Fiction</v>
      </c>
      <c r="B584" t="str">
        <f>"NEW F MACOM"</f>
        <v>NEW F MACOM</v>
      </c>
      <c r="C584" t="str">
        <f>"A Mrs. Miracle Christmas: a novel"</f>
        <v>A Mrs. Miracle Christmas: a novel</v>
      </c>
      <c r="D584">
        <v>358076</v>
      </c>
      <c r="E584" t="str">
        <f>"Macomber, Debbie"</f>
        <v>Macomber, Debbie</v>
      </c>
      <c r="G584" t="str">
        <f>"256 p., 20 cm"</f>
        <v>256 p., 20 cm</v>
      </c>
      <c r="H584" s="1">
        <v>19</v>
      </c>
      <c r="I584">
        <v>2019</v>
      </c>
      <c r="J584" t="str">
        <f t="shared" si="91"/>
        <v>2: Fiction</v>
      </c>
      <c r="L584" t="s">
        <v>2403</v>
      </c>
      <c r="M584" t="s">
        <v>28</v>
      </c>
      <c r="N584" t="s">
        <v>2404</v>
      </c>
      <c r="O584">
        <v>7</v>
      </c>
      <c r="P584" s="2">
        <v>43740</v>
      </c>
      <c r="Q584" s="1">
        <v>25</v>
      </c>
      <c r="R584" t="s">
        <v>2760</v>
      </c>
      <c r="S584">
        <v>1081358034</v>
      </c>
    </row>
    <row r="585" spans="1:19" x14ac:dyDescent="0.2">
      <c r="A585" t="str">
        <f t="shared" si="92"/>
        <v>Adult Fiction</v>
      </c>
      <c r="B585" t="str">
        <f>"NEW F MACOM"</f>
        <v>NEW F MACOM</v>
      </c>
      <c r="C585" t="str">
        <f>"Window on the bay: a novel"</f>
        <v>Window on the bay: a novel</v>
      </c>
      <c r="D585">
        <v>356315</v>
      </c>
      <c r="E585" t="str">
        <f>"Macomber, Debbie"</f>
        <v>Macomber, Debbie</v>
      </c>
      <c r="G585" t="str">
        <f>"315 p., 25 cm"</f>
        <v>315 p., 25 cm</v>
      </c>
      <c r="H585" s="1">
        <v>19</v>
      </c>
      <c r="I585">
        <v>2019</v>
      </c>
      <c r="J585" t="str">
        <f t="shared" si="91"/>
        <v>2: Fiction</v>
      </c>
      <c r="L585" t="s">
        <v>2395</v>
      </c>
      <c r="M585" t="s">
        <v>28</v>
      </c>
      <c r="N585" t="s">
        <v>2404</v>
      </c>
      <c r="O585">
        <v>19</v>
      </c>
      <c r="P585" s="2">
        <v>43668</v>
      </c>
      <c r="Q585" s="1">
        <v>32</v>
      </c>
      <c r="R585" t="s">
        <v>2761</v>
      </c>
      <c r="S585">
        <v>1057865304</v>
      </c>
    </row>
    <row r="586" spans="1:19" x14ac:dyDescent="0.2">
      <c r="A586" t="str">
        <f t="shared" si="92"/>
        <v>Adult Fiction</v>
      </c>
      <c r="B586" t="str">
        <f>"NEW F MACOM"</f>
        <v>NEW F MACOM</v>
      </c>
      <c r="C586" t="str">
        <f>"Window on the bay: a novel"</f>
        <v>Window on the bay: a novel</v>
      </c>
      <c r="D586">
        <v>356316</v>
      </c>
      <c r="E586" t="str">
        <f>"Macomber, Debbie"</f>
        <v>Macomber, Debbie</v>
      </c>
      <c r="G586" t="str">
        <f>"315 p., 25 cm"</f>
        <v>315 p., 25 cm</v>
      </c>
      <c r="H586" s="1">
        <v>19</v>
      </c>
      <c r="I586">
        <v>2019</v>
      </c>
      <c r="J586" t="str">
        <f t="shared" si="91"/>
        <v>2: Fiction</v>
      </c>
      <c r="L586" t="s">
        <v>2403</v>
      </c>
      <c r="M586" t="s">
        <v>28</v>
      </c>
      <c r="N586" t="s">
        <v>2404</v>
      </c>
      <c r="O586">
        <v>14</v>
      </c>
      <c r="P586" s="2">
        <v>43668</v>
      </c>
      <c r="Q586" s="1">
        <v>32</v>
      </c>
      <c r="R586" t="s">
        <v>2761</v>
      </c>
      <c r="S586">
        <v>1057865304</v>
      </c>
    </row>
    <row r="587" spans="1:19" x14ac:dyDescent="0.2">
      <c r="A587" t="str">
        <f t="shared" si="92"/>
        <v>Adult Fiction</v>
      </c>
      <c r="B587" t="str">
        <f>"NEW F MAREN"</f>
        <v>NEW F MAREN</v>
      </c>
      <c r="C587" t="str">
        <f>"Sugar Run"</f>
        <v>Sugar Run</v>
      </c>
      <c r="D587">
        <v>359221</v>
      </c>
      <c r="E587" t="str">
        <f>"Maren, Mesha"</f>
        <v>Maren, Mesha</v>
      </c>
      <c r="G587" t="str">
        <f>"319 p."</f>
        <v>319 p.</v>
      </c>
      <c r="H587" s="1">
        <v>19</v>
      </c>
      <c r="I587">
        <v>2019</v>
      </c>
      <c r="J587" t="str">
        <f t="shared" si="91"/>
        <v>2: Fiction</v>
      </c>
      <c r="L587" t="s">
        <v>2395</v>
      </c>
      <c r="M587" t="s">
        <v>28</v>
      </c>
      <c r="N587" t="s">
        <v>2404</v>
      </c>
      <c r="O587">
        <v>1</v>
      </c>
      <c r="P587" s="2">
        <v>43782</v>
      </c>
      <c r="Q587" s="1">
        <v>21</v>
      </c>
      <c r="R587" t="s">
        <v>2762</v>
      </c>
      <c r="S587">
        <v>1078894299</v>
      </c>
    </row>
    <row r="588" spans="1:19" x14ac:dyDescent="0.2">
      <c r="A588" t="str">
        <f t="shared" si="92"/>
        <v>Adult Fiction</v>
      </c>
      <c r="B588" t="str">
        <f>"NEW F MARIA"</f>
        <v>NEW F MARIA</v>
      </c>
      <c r="C588" t="str">
        <f>"Berta Isla: a novel"</f>
        <v>Berta Isla: a novel</v>
      </c>
      <c r="D588">
        <v>356703</v>
      </c>
      <c r="E588" t="str">
        <f>"Mar�as, Javier."</f>
        <v>Mar�as, Javier.</v>
      </c>
      <c r="G588" t="str">
        <f>"pages cm"</f>
        <v>pages cm</v>
      </c>
      <c r="H588" s="1">
        <v>19</v>
      </c>
      <c r="I588">
        <v>2019</v>
      </c>
      <c r="J588" t="str">
        <f t="shared" si="91"/>
        <v>2: Fiction</v>
      </c>
      <c r="L588" t="s">
        <v>2403</v>
      </c>
      <c r="M588" t="s">
        <v>28</v>
      </c>
      <c r="N588" t="s">
        <v>2404</v>
      </c>
      <c r="O588">
        <v>5</v>
      </c>
      <c r="P588" s="2">
        <v>43689</v>
      </c>
      <c r="Q588" s="1">
        <v>34</v>
      </c>
      <c r="R588" t="s">
        <v>2763</v>
      </c>
      <c r="S588">
        <v>1111229226</v>
      </c>
    </row>
    <row r="589" spans="1:19" x14ac:dyDescent="0.2">
      <c r="A589" t="str">
        <f t="shared" si="92"/>
        <v>Adult Fiction</v>
      </c>
      <c r="B589" t="str">
        <f>"NEW F MARIL"</f>
        <v>NEW F MARIL</v>
      </c>
      <c r="C589" t="str">
        <f>"The harp of kings"</f>
        <v>The harp of kings</v>
      </c>
      <c r="D589">
        <v>357481</v>
      </c>
      <c r="E589" t="str">
        <f>"Marillier, Juliet"</f>
        <v>Marillier, Juliet</v>
      </c>
      <c r="G589" t="str">
        <f>"xii, 448 pages, 20 cm"</f>
        <v>xii, 448 pages, 20 cm</v>
      </c>
      <c r="H589" s="1">
        <v>19</v>
      </c>
      <c r="I589">
        <v>2019</v>
      </c>
      <c r="J589" t="str">
        <f t="shared" si="91"/>
        <v>2: Fiction</v>
      </c>
      <c r="L589" t="s">
        <v>2403</v>
      </c>
      <c r="M589" t="s">
        <v>28</v>
      </c>
      <c r="N589" t="s">
        <v>2396</v>
      </c>
      <c r="O589">
        <v>3</v>
      </c>
      <c r="P589" s="2">
        <v>43719</v>
      </c>
      <c r="Q589" s="1">
        <v>21</v>
      </c>
      <c r="R589" t="s">
        <v>2764</v>
      </c>
      <c r="S589">
        <v>1078895114</v>
      </c>
    </row>
    <row r="590" spans="1:19" x14ac:dyDescent="0.2">
      <c r="A590" t="str">
        <f t="shared" si="92"/>
        <v>Adult Fiction</v>
      </c>
      <c r="B590" t="str">
        <f>"NEW F MARKO"</f>
        <v>NEW F MARKO</v>
      </c>
      <c r="C590" t="str">
        <f>"Christmas in Austin"</f>
        <v>Christmas in Austin</v>
      </c>
      <c r="D590">
        <v>408463</v>
      </c>
      <c r="E590" t="str">
        <f>"Markovits, Benjamin"</f>
        <v>Markovits, Benjamin</v>
      </c>
      <c r="G590" t="str">
        <f>"421 pages, 25 cm"</f>
        <v>421 pages, 25 cm</v>
      </c>
      <c r="H590" s="1">
        <v>19</v>
      </c>
      <c r="I590">
        <v>2019</v>
      </c>
      <c r="J590" t="str">
        <f t="shared" si="91"/>
        <v>2: Fiction</v>
      </c>
      <c r="L590" t="s">
        <v>2403</v>
      </c>
      <c r="M590" t="s">
        <v>28</v>
      </c>
      <c r="N590" t="s">
        <v>2404</v>
      </c>
      <c r="O590">
        <v>2</v>
      </c>
      <c r="P590" s="2">
        <v>43805</v>
      </c>
      <c r="Q590" s="1">
        <v>31</v>
      </c>
      <c r="R590" t="s">
        <v>2765</v>
      </c>
      <c r="S590">
        <v>1090867615</v>
      </c>
    </row>
    <row r="591" spans="1:19" x14ac:dyDescent="0.2">
      <c r="A591" t="str">
        <f t="shared" si="92"/>
        <v>Adult Fiction</v>
      </c>
      <c r="B591" t="str">
        <f>"NEW F MARWO"</f>
        <v>NEW F MARWO</v>
      </c>
      <c r="C591" t="str">
        <f>"The poison garden"</f>
        <v>The poison garden</v>
      </c>
      <c r="D591">
        <v>360629</v>
      </c>
      <c r="E591" t="str">
        <f>"Marwood, Alex."</f>
        <v>Marwood, Alex.</v>
      </c>
      <c r="G591" t="str">
        <f>"391 pages, 21 cm"</f>
        <v>391 pages, 21 cm</v>
      </c>
      <c r="H591" s="1">
        <v>20</v>
      </c>
      <c r="I591">
        <v>2020</v>
      </c>
      <c r="J591" t="str">
        <f t="shared" si="91"/>
        <v>2: Fiction</v>
      </c>
      <c r="L591" t="s">
        <v>2395</v>
      </c>
      <c r="M591" t="s">
        <v>28</v>
      </c>
      <c r="N591" t="s">
        <v>2495</v>
      </c>
      <c r="O591">
        <v>0</v>
      </c>
      <c r="P591" s="2">
        <v>43859</v>
      </c>
      <c r="Q591" s="1">
        <v>21</v>
      </c>
      <c r="R591" t="s">
        <v>2766</v>
      </c>
      <c r="S591">
        <v>1098813726</v>
      </c>
    </row>
    <row r="592" spans="1:19" x14ac:dyDescent="0.2">
      <c r="A592" t="str">
        <f t="shared" si="92"/>
        <v>Adult Fiction</v>
      </c>
      <c r="B592" t="str">
        <f>"NEW F MASON"</f>
        <v>NEW F MASON</v>
      </c>
      <c r="C592" t="str">
        <f>"The hidden things"</f>
        <v>The hidden things</v>
      </c>
      <c r="D592">
        <v>358313</v>
      </c>
      <c r="E592" t="str">
        <f>"Mason, Jamie."</f>
        <v>Mason, Jamie.</v>
      </c>
      <c r="G592" t="str">
        <f>"341 pages, 24 cm"</f>
        <v>341 pages, 24 cm</v>
      </c>
      <c r="H592" s="1">
        <v>19</v>
      </c>
      <c r="I592">
        <v>2019</v>
      </c>
      <c r="J592" t="str">
        <f t="shared" si="91"/>
        <v>2: Fiction</v>
      </c>
      <c r="L592" t="s">
        <v>2395</v>
      </c>
      <c r="M592" t="s">
        <v>28</v>
      </c>
      <c r="N592" t="s">
        <v>2404</v>
      </c>
      <c r="O592">
        <v>6</v>
      </c>
      <c r="P592" s="2">
        <v>43749</v>
      </c>
      <c r="Q592" s="1">
        <v>31</v>
      </c>
      <c r="R592" t="s">
        <v>2767</v>
      </c>
      <c r="S592">
        <v>1110727041</v>
      </c>
    </row>
    <row r="593" spans="1:19" x14ac:dyDescent="0.2">
      <c r="A593" t="str">
        <f t="shared" si="92"/>
        <v>Adult Fiction</v>
      </c>
      <c r="B593" t="str">
        <f>"NEW F MAUM"</f>
        <v>NEW F MAUM</v>
      </c>
      <c r="C593" t="s">
        <v>2768</v>
      </c>
      <c r="D593">
        <v>357098</v>
      </c>
      <c r="E593" t="str">
        <f>"Maum, Courtney,"</f>
        <v>Maum, Courtney,</v>
      </c>
      <c r="G593" t="str">
        <f>"227 pages, 21 cm, illustrations"</f>
        <v>227 pages, 21 cm, illustrations</v>
      </c>
      <c r="H593" s="1">
        <v>19</v>
      </c>
      <c r="I593">
        <v>2019</v>
      </c>
      <c r="J593" t="str">
        <f t="shared" si="91"/>
        <v>2: Fiction</v>
      </c>
      <c r="L593" t="s">
        <v>2395</v>
      </c>
      <c r="M593" t="s">
        <v>28</v>
      </c>
      <c r="N593" t="s">
        <v>2404</v>
      </c>
      <c r="O593">
        <v>4</v>
      </c>
      <c r="P593" s="2">
        <v>43704</v>
      </c>
      <c r="Q593" s="1">
        <v>25</v>
      </c>
      <c r="R593" t="s">
        <v>2769</v>
      </c>
      <c r="S593">
        <v>1053998649</v>
      </c>
    </row>
    <row r="594" spans="1:19" x14ac:dyDescent="0.2">
      <c r="A594" t="str">
        <f t="shared" si="92"/>
        <v>Adult Fiction</v>
      </c>
      <c r="B594" t="str">
        <f>"NEW F MAYHE"</f>
        <v>NEW F MAYHE</v>
      </c>
      <c r="C594" t="str">
        <f>"Impossible causes"</f>
        <v>Impossible causes</v>
      </c>
      <c r="D594">
        <v>359865</v>
      </c>
      <c r="E594" t="str">
        <f>"Mayhew, Julie"</f>
        <v>Mayhew, Julie</v>
      </c>
      <c r="G594" t="str">
        <f>"410 pages, 25 cm, illustrations, map"</f>
        <v>410 pages, 25 cm, illustrations, map</v>
      </c>
      <c r="H594" s="1">
        <v>19</v>
      </c>
      <c r="I594">
        <v>2019</v>
      </c>
      <c r="J594" t="str">
        <f t="shared" si="91"/>
        <v>2: Fiction</v>
      </c>
      <c r="L594" t="s">
        <v>2395</v>
      </c>
      <c r="M594" t="s">
        <v>28</v>
      </c>
      <c r="N594" t="s">
        <v>2404</v>
      </c>
      <c r="O594">
        <v>2</v>
      </c>
      <c r="P594" s="2">
        <v>43815</v>
      </c>
      <c r="Q594" s="1">
        <v>31</v>
      </c>
      <c r="R594" t="s">
        <v>2770</v>
      </c>
      <c r="S594">
        <v>1126787561</v>
      </c>
    </row>
    <row r="595" spans="1:19" x14ac:dyDescent="0.2">
      <c r="A595" t="str">
        <f t="shared" si="92"/>
        <v>Adult Fiction</v>
      </c>
      <c r="B595" t="str">
        <f>"NEW F MCALL"</f>
        <v>NEW F MCALL</v>
      </c>
      <c r="C595" t="str">
        <f>"The good sister: a novel"</f>
        <v>The good sister: a novel</v>
      </c>
      <c r="D595">
        <v>355535</v>
      </c>
      <c r="E595" t="str">
        <f>"McAllister, Gillian"</f>
        <v>McAllister, Gillian</v>
      </c>
      <c r="G595" t="str">
        <f>"392 pages, 21 cm"</f>
        <v>392 pages, 21 cm</v>
      </c>
      <c r="H595" s="1">
        <v>19</v>
      </c>
      <c r="I595">
        <v>2019</v>
      </c>
      <c r="J595" t="str">
        <f t="shared" si="91"/>
        <v>2: Fiction</v>
      </c>
      <c r="L595" t="s">
        <v>2395</v>
      </c>
      <c r="M595" t="s">
        <v>28</v>
      </c>
      <c r="N595" t="s">
        <v>2404</v>
      </c>
      <c r="O595">
        <v>8</v>
      </c>
      <c r="P595" s="2">
        <v>43634</v>
      </c>
      <c r="Q595" s="1">
        <v>21</v>
      </c>
      <c r="R595" t="s">
        <v>2771</v>
      </c>
      <c r="S595">
        <v>1102810188</v>
      </c>
    </row>
    <row r="596" spans="1:19" x14ac:dyDescent="0.2">
      <c r="A596" t="str">
        <f t="shared" si="92"/>
        <v>Adult Fiction</v>
      </c>
      <c r="B596" t="str">
        <f>"NEW F MCDER"</f>
        <v>NEW F MCDER</v>
      </c>
      <c r="C596" t="str">
        <f>"How the dead speak"</f>
        <v>How the dead speak</v>
      </c>
      <c r="D596">
        <v>359862</v>
      </c>
      <c r="E596" t="str">
        <f>"McDermid, Val"</f>
        <v>McDermid, Val</v>
      </c>
      <c r="G596" t="str">
        <f>"410 pages, 24 cm"</f>
        <v>410 pages, 24 cm</v>
      </c>
      <c r="H596" s="1">
        <v>19</v>
      </c>
      <c r="I596">
        <v>2019</v>
      </c>
      <c r="J596" t="str">
        <f t="shared" si="91"/>
        <v>2: Fiction</v>
      </c>
      <c r="L596" t="s">
        <v>2395</v>
      </c>
      <c r="M596" t="s">
        <v>28</v>
      </c>
      <c r="N596" t="s">
        <v>2396</v>
      </c>
      <c r="O596">
        <v>2</v>
      </c>
      <c r="P596" s="2">
        <v>43815</v>
      </c>
      <c r="Q596" s="1">
        <v>31</v>
      </c>
      <c r="R596" t="s">
        <v>2772</v>
      </c>
      <c r="S596">
        <v>1117498380</v>
      </c>
    </row>
    <row r="597" spans="1:19" x14ac:dyDescent="0.2">
      <c r="A597" t="str">
        <f t="shared" si="92"/>
        <v>Adult Fiction</v>
      </c>
      <c r="B597" t="str">
        <f>"NEW F MCFAR"</f>
        <v>NEW F MCFAR</v>
      </c>
      <c r="C597" t="str">
        <f>"Don't you forget about me: a novel"</f>
        <v>Don't you forget about me: a novel</v>
      </c>
      <c r="D597">
        <v>357737</v>
      </c>
      <c r="E597" t="str">
        <f>"McFarlane, Mhairi"</f>
        <v>McFarlane, Mhairi</v>
      </c>
      <c r="G597" t="str">
        <f>"420 pages, 21 cm"</f>
        <v>420 pages, 21 cm</v>
      </c>
      <c r="H597" s="1">
        <v>19</v>
      </c>
      <c r="I597">
        <v>2019</v>
      </c>
      <c r="J597" t="str">
        <f t="shared" si="91"/>
        <v>2: Fiction</v>
      </c>
      <c r="L597" t="s">
        <v>2395</v>
      </c>
      <c r="M597" t="s">
        <v>28</v>
      </c>
      <c r="N597" t="s">
        <v>2404</v>
      </c>
      <c r="O597">
        <v>6</v>
      </c>
      <c r="P597" s="2">
        <v>43725</v>
      </c>
      <c r="Q597" s="1">
        <v>21</v>
      </c>
      <c r="R597" t="s">
        <v>2773</v>
      </c>
      <c r="S597">
        <v>1099569273</v>
      </c>
    </row>
    <row r="598" spans="1:19" x14ac:dyDescent="0.2">
      <c r="A598" t="str">
        <f t="shared" si="92"/>
        <v>Adult Fiction</v>
      </c>
      <c r="B598" t="str">
        <f>"NEW F MCKEN"</f>
        <v>NEW F MCKEN</v>
      </c>
      <c r="C598" t="str">
        <f>"I'll never tell"</f>
        <v>I'll never tell</v>
      </c>
      <c r="D598">
        <v>355935</v>
      </c>
      <c r="E598" t="str">
        <f>"McKenzie, Catherine"</f>
        <v>McKenzie, Catherine</v>
      </c>
      <c r="G598" t="str">
        <f>"355 pages, 22 cm, illustration"</f>
        <v>355 pages, 22 cm, illustration</v>
      </c>
      <c r="H598" s="1">
        <v>19</v>
      </c>
      <c r="I598">
        <v>2019</v>
      </c>
      <c r="J598" t="str">
        <f t="shared" si="91"/>
        <v>2: Fiction</v>
      </c>
      <c r="L598" t="s">
        <v>2395</v>
      </c>
      <c r="M598" t="s">
        <v>28</v>
      </c>
      <c r="N598" t="s">
        <v>2404</v>
      </c>
      <c r="O598">
        <v>10</v>
      </c>
      <c r="P598" s="2">
        <v>43647</v>
      </c>
      <c r="Q598" s="1">
        <v>30</v>
      </c>
      <c r="R598" t="s">
        <v>2774</v>
      </c>
      <c r="S598">
        <v>1099525895</v>
      </c>
    </row>
    <row r="599" spans="1:19" x14ac:dyDescent="0.2">
      <c r="A599" t="str">
        <f t="shared" si="92"/>
        <v>Adult Fiction</v>
      </c>
      <c r="B599" t="str">
        <f>"NEW F MCKIN"</f>
        <v>NEW F MCKIN</v>
      </c>
      <c r="C599" t="str">
        <f>"Word to the wise"</f>
        <v>Word to the wise</v>
      </c>
      <c r="D599">
        <v>408289</v>
      </c>
      <c r="E599" t="str">
        <f>"McKinlay, Jenn"</f>
        <v>McKinlay, Jenn</v>
      </c>
      <c r="F599" t="str">
        <f>"Library Lover's Mystery series (10)"</f>
        <v>Library Lover's Mystery series (10)</v>
      </c>
      <c r="G599" t="str">
        <f>"293 pages, 22 cm"</f>
        <v>293 pages, 22 cm</v>
      </c>
      <c r="H599" s="1">
        <v>19</v>
      </c>
      <c r="I599">
        <v>2019</v>
      </c>
      <c r="J599" t="str">
        <f t="shared" si="91"/>
        <v>2: Fiction</v>
      </c>
      <c r="L599" t="s">
        <v>2403</v>
      </c>
      <c r="M599" t="s">
        <v>28</v>
      </c>
      <c r="N599" t="s">
        <v>2404</v>
      </c>
      <c r="O599">
        <v>3</v>
      </c>
      <c r="P599" s="2">
        <v>43766</v>
      </c>
      <c r="Q599" s="1">
        <v>31</v>
      </c>
      <c r="R599" t="s">
        <v>2775</v>
      </c>
      <c r="S599">
        <v>1078881540</v>
      </c>
    </row>
    <row r="600" spans="1:19" x14ac:dyDescent="0.2">
      <c r="A600" t="str">
        <f t="shared" si="92"/>
        <v>Adult Fiction</v>
      </c>
      <c r="B600" t="str">
        <f>"NEW F MCLAU"</f>
        <v>NEW F MCLAU</v>
      </c>
      <c r="C600" t="str">
        <f>"The lost causes of Bleak Creek: a novel"</f>
        <v>The lost causes of Bleak Creek: a novel</v>
      </c>
      <c r="D600">
        <v>359031</v>
      </c>
      <c r="E600" t="str">
        <f>"McLaughlin, Rhett"</f>
        <v>McLaughlin, Rhett</v>
      </c>
      <c r="G600" t="str">
        <f>"326 pages, 22 cm"</f>
        <v>326 pages, 22 cm</v>
      </c>
      <c r="H600" s="1">
        <v>19</v>
      </c>
      <c r="I600">
        <v>2019</v>
      </c>
      <c r="J600" t="str">
        <f t="shared" si="91"/>
        <v>2: Fiction</v>
      </c>
      <c r="L600" t="s">
        <v>2395</v>
      </c>
      <c r="M600" t="s">
        <v>28</v>
      </c>
      <c r="N600" t="s">
        <v>2404</v>
      </c>
      <c r="O600">
        <v>4</v>
      </c>
      <c r="P600" s="2">
        <v>43776</v>
      </c>
      <c r="Q600" s="1">
        <v>31</v>
      </c>
      <c r="R600" t="s">
        <v>2776</v>
      </c>
      <c r="S600">
        <v>1123216161</v>
      </c>
    </row>
    <row r="601" spans="1:19" x14ac:dyDescent="0.2">
      <c r="A601" t="str">
        <f t="shared" si="92"/>
        <v>Adult Fiction</v>
      </c>
      <c r="B601" t="str">
        <f>"NEW F MCPHE"</f>
        <v>NEW F MCPHE</v>
      </c>
      <c r="C601" t="str">
        <f>"A step so grave"</f>
        <v>A step so grave</v>
      </c>
      <c r="D601">
        <v>359220</v>
      </c>
      <c r="E601" t="str">
        <f>"McPherson, Catriona"</f>
        <v>McPherson, Catriona</v>
      </c>
      <c r="G601" t="str">
        <f>"320 pages, 24 cm"</f>
        <v>320 pages, 24 cm</v>
      </c>
      <c r="H601" s="1">
        <v>19</v>
      </c>
      <c r="I601">
        <v>2018</v>
      </c>
      <c r="J601" t="str">
        <f t="shared" si="91"/>
        <v>2: Fiction</v>
      </c>
      <c r="L601" t="s">
        <v>2395</v>
      </c>
      <c r="M601" t="s">
        <v>28</v>
      </c>
      <c r="N601" t="s">
        <v>2396</v>
      </c>
      <c r="O601">
        <v>2</v>
      </c>
      <c r="P601" s="2">
        <v>43782</v>
      </c>
      <c r="Q601" s="1">
        <v>32</v>
      </c>
      <c r="R601" t="s">
        <v>2777</v>
      </c>
      <c r="S601">
        <v>1080592828</v>
      </c>
    </row>
    <row r="602" spans="1:19" x14ac:dyDescent="0.2">
      <c r="A602" t="str">
        <f t="shared" si="92"/>
        <v>Adult Fiction</v>
      </c>
      <c r="B602" t="str">
        <f>"NEW F MCPHE"</f>
        <v>NEW F MCPHE</v>
      </c>
      <c r="C602" t="str">
        <f>"Strangers at the gate"</f>
        <v>Strangers at the gate</v>
      </c>
      <c r="D602">
        <v>358664</v>
      </c>
      <c r="E602" t="str">
        <f>"McPherson, Catriona"</f>
        <v>McPherson, Catriona</v>
      </c>
      <c r="G602" t="str">
        <f>"355 pages, 22 cm"</f>
        <v>355 pages, 22 cm</v>
      </c>
      <c r="H602" s="1">
        <v>19</v>
      </c>
      <c r="I602">
        <v>2019</v>
      </c>
      <c r="J602" t="str">
        <f t="shared" si="91"/>
        <v>2: Fiction</v>
      </c>
      <c r="L602" t="s">
        <v>2395</v>
      </c>
      <c r="M602" t="s">
        <v>28</v>
      </c>
      <c r="N602" t="s">
        <v>2404</v>
      </c>
      <c r="O602">
        <v>6</v>
      </c>
      <c r="P602" s="2">
        <v>43760</v>
      </c>
      <c r="Q602" s="1">
        <v>32</v>
      </c>
      <c r="R602" t="s">
        <v>2778</v>
      </c>
      <c r="S602">
        <v>1110661016</v>
      </c>
    </row>
    <row r="603" spans="1:19" x14ac:dyDescent="0.2">
      <c r="A603" t="str">
        <f t="shared" si="92"/>
        <v>Adult Fiction</v>
      </c>
      <c r="B603" t="str">
        <f>"NEW F MENGI"</f>
        <v>NEW F MENGI</v>
      </c>
      <c r="C603" t="str">
        <f>"The shadow king: a novel"</f>
        <v>The shadow king: a novel</v>
      </c>
      <c r="D603">
        <v>358347</v>
      </c>
      <c r="E603" t="str">
        <f>"Mengiste, Maaza"</f>
        <v>Mengiste, Maaza</v>
      </c>
      <c r="G603" t="str">
        <f>"428 pages, 25 cm, illustrations, map"</f>
        <v>428 pages, 25 cm, illustrations, map</v>
      </c>
      <c r="H603" s="1">
        <v>19</v>
      </c>
      <c r="I603">
        <v>2019</v>
      </c>
      <c r="J603" t="str">
        <f t="shared" si="91"/>
        <v>2: Fiction</v>
      </c>
      <c r="L603" t="s">
        <v>2395</v>
      </c>
      <c r="M603" t="s">
        <v>28</v>
      </c>
      <c r="N603" t="s">
        <v>2396</v>
      </c>
      <c r="O603">
        <v>3</v>
      </c>
      <c r="P603" s="2">
        <v>43749</v>
      </c>
      <c r="Q603" s="1">
        <v>32</v>
      </c>
      <c r="R603" t="s">
        <v>2779</v>
      </c>
      <c r="S603">
        <v>1084322904</v>
      </c>
    </row>
    <row r="604" spans="1:19" x14ac:dyDescent="0.2">
      <c r="A604" t="str">
        <f t="shared" si="92"/>
        <v>Adult Fiction</v>
      </c>
      <c r="B604" t="str">
        <f>"NEW F MICHA"</f>
        <v>NEW F MICHA</v>
      </c>
      <c r="C604" t="str">
        <f>"The silent patient"</f>
        <v>The silent patient</v>
      </c>
      <c r="D604">
        <v>353106</v>
      </c>
      <c r="E604" t="str">
        <f>"Michaelides, Alex."</f>
        <v>Michaelides, Alex.</v>
      </c>
      <c r="G604" t="str">
        <f>"323 p."</f>
        <v>323 p.</v>
      </c>
      <c r="H604" s="1">
        <v>19</v>
      </c>
      <c r="I604">
        <v>2019</v>
      </c>
      <c r="J604" t="str">
        <f t="shared" si="91"/>
        <v>2: Fiction</v>
      </c>
      <c r="L604" t="s">
        <v>2395</v>
      </c>
      <c r="M604" t="s">
        <v>28</v>
      </c>
      <c r="N604" t="s">
        <v>2404</v>
      </c>
      <c r="O604">
        <v>22</v>
      </c>
      <c r="P604" s="2">
        <v>43522</v>
      </c>
      <c r="Q604" s="1">
        <v>32</v>
      </c>
      <c r="R604" t="s">
        <v>2780</v>
      </c>
      <c r="S604">
        <v>1083205705</v>
      </c>
    </row>
    <row r="605" spans="1:19" x14ac:dyDescent="0.2">
      <c r="A605" t="str">
        <f t="shared" si="92"/>
        <v>Adult Fiction</v>
      </c>
      <c r="B605" t="str">
        <f>"NEW F MICHA"</f>
        <v>NEW F MICHA</v>
      </c>
      <c r="C605" t="str">
        <f>"The silent patient"</f>
        <v>The silent patient</v>
      </c>
      <c r="D605">
        <v>354224</v>
      </c>
      <c r="E605" t="str">
        <f>"Michaelides, Alex."</f>
        <v>Michaelides, Alex.</v>
      </c>
      <c r="G605" t="str">
        <f>"323 p."</f>
        <v>323 p.</v>
      </c>
      <c r="H605" s="1">
        <v>19</v>
      </c>
      <c r="I605">
        <v>2019</v>
      </c>
      <c r="J605" t="str">
        <f t="shared" si="91"/>
        <v>2: Fiction</v>
      </c>
      <c r="L605" t="s">
        <v>2395</v>
      </c>
      <c r="M605" t="s">
        <v>28</v>
      </c>
      <c r="N605" t="s">
        <v>2404</v>
      </c>
      <c r="O605">
        <v>23</v>
      </c>
      <c r="P605" s="2">
        <v>43572</v>
      </c>
      <c r="Q605" s="1">
        <v>32</v>
      </c>
      <c r="R605" t="s">
        <v>2780</v>
      </c>
      <c r="S605">
        <v>1083205705</v>
      </c>
    </row>
    <row r="606" spans="1:19" x14ac:dyDescent="0.2">
      <c r="A606" t="str">
        <f t="shared" si="92"/>
        <v>Adult Fiction</v>
      </c>
      <c r="B606" t="str">
        <f>"NEW F MICHA"</f>
        <v>NEW F MICHA</v>
      </c>
      <c r="C606" t="str">
        <f>"Cut and run"</f>
        <v>Cut and run</v>
      </c>
      <c r="D606">
        <v>357073</v>
      </c>
      <c r="E606" t="str">
        <f>"Michaels, Fern"</f>
        <v>Michaels, Fern</v>
      </c>
      <c r="F606" t="str">
        <f>"Sisterhood (30)"</f>
        <v>Sisterhood (30)</v>
      </c>
      <c r="G606" t="str">
        <f>"209 p."</f>
        <v>209 p.</v>
      </c>
      <c r="H606" s="1">
        <v>19</v>
      </c>
      <c r="I606">
        <v>2019</v>
      </c>
      <c r="J606" t="str">
        <f t="shared" si="91"/>
        <v>2: Fiction</v>
      </c>
      <c r="L606" t="s">
        <v>2395</v>
      </c>
      <c r="M606" t="s">
        <v>28</v>
      </c>
      <c r="N606" t="s">
        <v>2404</v>
      </c>
      <c r="O606">
        <v>8</v>
      </c>
      <c r="P606" s="2">
        <v>43704</v>
      </c>
      <c r="Q606" s="1">
        <v>34</v>
      </c>
      <c r="R606" t="s">
        <v>2781</v>
      </c>
      <c r="S606">
        <v>1113914462</v>
      </c>
    </row>
    <row r="607" spans="1:19" x14ac:dyDescent="0.2">
      <c r="A607" t="str">
        <f t="shared" si="92"/>
        <v>Adult Fiction</v>
      </c>
      <c r="B607" t="str">
        <f>"NEW F MICHA"</f>
        <v>NEW F MICHA</v>
      </c>
      <c r="C607" t="str">
        <f>"Cut and run"</f>
        <v>Cut and run</v>
      </c>
      <c r="D607">
        <v>357074</v>
      </c>
      <c r="E607" t="str">
        <f>"Michaels, Fern"</f>
        <v>Michaels, Fern</v>
      </c>
      <c r="F607" t="str">
        <f>"Sisterhood (30)"</f>
        <v>Sisterhood (30)</v>
      </c>
      <c r="G607" t="str">
        <f>"209 p."</f>
        <v>209 p.</v>
      </c>
      <c r="H607" s="1">
        <v>19</v>
      </c>
      <c r="I607">
        <v>2019</v>
      </c>
      <c r="J607" t="str">
        <f t="shared" si="91"/>
        <v>2: Fiction</v>
      </c>
      <c r="L607" t="s">
        <v>2395</v>
      </c>
      <c r="M607" t="s">
        <v>28</v>
      </c>
      <c r="N607" t="s">
        <v>2404</v>
      </c>
      <c r="O607">
        <v>9</v>
      </c>
      <c r="P607" s="2">
        <v>43704</v>
      </c>
      <c r="Q607" s="1">
        <v>34</v>
      </c>
      <c r="R607" t="s">
        <v>2781</v>
      </c>
      <c r="S607">
        <v>1113914462</v>
      </c>
    </row>
    <row r="608" spans="1:19" x14ac:dyDescent="0.2">
      <c r="A608" t="str">
        <f t="shared" si="92"/>
        <v>Adult Fiction</v>
      </c>
      <c r="B608" t="str">
        <f>"NEW F MICHA"</f>
        <v>NEW F MICHA</v>
      </c>
      <c r="C608" t="str">
        <f>"Spirit of the season"</f>
        <v>Spirit of the season</v>
      </c>
      <c r="D608">
        <v>357961</v>
      </c>
      <c r="E608" t="str">
        <f>"Michaels, Fern"</f>
        <v>Michaels, Fern</v>
      </c>
      <c r="H608" s="1">
        <v>19</v>
      </c>
      <c r="I608">
        <v>2019</v>
      </c>
      <c r="J608" t="str">
        <f t="shared" si="91"/>
        <v>2: Fiction</v>
      </c>
      <c r="L608" t="s">
        <v>2403</v>
      </c>
      <c r="M608" t="s">
        <v>28</v>
      </c>
      <c r="N608" t="s">
        <v>2404</v>
      </c>
      <c r="O608">
        <v>10</v>
      </c>
      <c r="P608" s="2">
        <v>43733</v>
      </c>
      <c r="Q608" s="1">
        <v>28</v>
      </c>
      <c r="R608" t="s">
        <v>2782</v>
      </c>
      <c r="S608">
        <v>1080588368</v>
      </c>
    </row>
    <row r="609" spans="1:19" x14ac:dyDescent="0.2">
      <c r="A609" t="str">
        <f t="shared" si="92"/>
        <v>Adult Fiction</v>
      </c>
      <c r="B609" t="str">
        <f>"NEW F MILLE"</f>
        <v>NEW F MILLE</v>
      </c>
      <c r="C609" t="str">
        <f>"Country strong"</f>
        <v>Country strong</v>
      </c>
      <c r="D609">
        <v>360397</v>
      </c>
      <c r="E609" t="str">
        <f>"Miller, Linda Lael"</f>
        <v>Miller, Linda Lael</v>
      </c>
      <c r="F609" t="str">
        <f>"Painted Pony Creek series (1)"</f>
        <v>Painted Pony Creek series (1)</v>
      </c>
      <c r="G609" t="str">
        <f>"331 p."</f>
        <v>331 p.</v>
      </c>
      <c r="H609" s="1">
        <v>20</v>
      </c>
      <c r="I609">
        <v>2020</v>
      </c>
      <c r="J609" t="str">
        <f t="shared" si="91"/>
        <v>2: Fiction</v>
      </c>
      <c r="L609" t="s">
        <v>2395</v>
      </c>
      <c r="M609" t="s">
        <v>28</v>
      </c>
      <c r="N609" t="s">
        <v>2404</v>
      </c>
      <c r="O609">
        <v>2</v>
      </c>
      <c r="P609" s="2">
        <v>43851</v>
      </c>
      <c r="Q609" s="1">
        <v>33</v>
      </c>
      <c r="R609" t="s">
        <v>2783</v>
      </c>
      <c r="S609">
        <v>1135350231</v>
      </c>
    </row>
    <row r="610" spans="1:19" x14ac:dyDescent="0.2">
      <c r="A610" t="str">
        <f t="shared" si="92"/>
        <v>Adult Fiction</v>
      </c>
      <c r="B610" t="str">
        <f>"NEW F MILLS"</f>
        <v>NEW F MILLS</v>
      </c>
      <c r="C610" t="str">
        <f>"Fatal strike"</f>
        <v>Fatal strike</v>
      </c>
      <c r="D610">
        <v>359854</v>
      </c>
      <c r="E610" t="str">
        <f>"Mills, DiAnn."</f>
        <v>Mills, DiAnn.</v>
      </c>
      <c r="G610" t="str">
        <f>"xiii, 382 pages, 22 cm"</f>
        <v>xiii, 382 pages, 22 cm</v>
      </c>
      <c r="H610" s="1">
        <v>19</v>
      </c>
      <c r="I610">
        <v>2019</v>
      </c>
      <c r="J610" t="str">
        <f t="shared" si="91"/>
        <v>2: Fiction</v>
      </c>
      <c r="L610" t="s">
        <v>2403</v>
      </c>
      <c r="M610" t="s">
        <v>28</v>
      </c>
      <c r="N610" t="s">
        <v>2404</v>
      </c>
      <c r="O610">
        <v>1</v>
      </c>
      <c r="P610" s="2">
        <v>43815</v>
      </c>
      <c r="Q610" s="1">
        <v>20</v>
      </c>
      <c r="R610" t="s">
        <v>2784</v>
      </c>
      <c r="S610">
        <v>907322627</v>
      </c>
    </row>
    <row r="611" spans="1:19" x14ac:dyDescent="0.2">
      <c r="A611" t="str">
        <f t="shared" si="92"/>
        <v>Adult Fiction</v>
      </c>
      <c r="B611" t="str">
        <f>"NEW F MINA"</f>
        <v>NEW F MINA</v>
      </c>
      <c r="C611" t="s">
        <v>2785</v>
      </c>
      <c r="D611">
        <v>355533</v>
      </c>
      <c r="E611" t="str">
        <f>"Mina, Denise"</f>
        <v>Mina, Denise</v>
      </c>
      <c r="G611" t="str">
        <f>"376 pages, 25 cm"</f>
        <v>376 pages, 25 cm</v>
      </c>
      <c r="H611" s="1">
        <v>19</v>
      </c>
      <c r="I611">
        <v>2019</v>
      </c>
      <c r="J611" t="str">
        <f t="shared" si="91"/>
        <v>2: Fiction</v>
      </c>
      <c r="L611" t="s">
        <v>2395</v>
      </c>
      <c r="M611" t="s">
        <v>28</v>
      </c>
      <c r="N611" t="s">
        <v>2404</v>
      </c>
      <c r="O611">
        <v>17</v>
      </c>
      <c r="P611" s="2">
        <v>43634</v>
      </c>
      <c r="Q611" s="1">
        <v>32</v>
      </c>
      <c r="R611" t="s">
        <v>2786</v>
      </c>
      <c r="S611">
        <v>1103440417</v>
      </c>
    </row>
    <row r="612" spans="1:19" x14ac:dyDescent="0.2">
      <c r="A612" t="str">
        <f t="shared" si="92"/>
        <v>Adult Fiction</v>
      </c>
      <c r="B612" t="str">
        <f>"NEW F MIRAN"</f>
        <v>NEW F MIRAN</v>
      </c>
      <c r="C612" t="str">
        <f>"The last house guest: a novel"</f>
        <v>The last house guest: a novel</v>
      </c>
      <c r="D612">
        <v>356295</v>
      </c>
      <c r="E612" t="str">
        <f>"Miranda, Megan."</f>
        <v>Miranda, Megan.</v>
      </c>
      <c r="G612" t="str">
        <f>"343 pages, 24 cm"</f>
        <v>343 pages, 24 cm</v>
      </c>
      <c r="H612" s="1">
        <v>19</v>
      </c>
      <c r="I612">
        <v>2019</v>
      </c>
      <c r="J612" t="str">
        <f t="shared" si="91"/>
        <v>2: Fiction</v>
      </c>
      <c r="L612" t="s">
        <v>2395</v>
      </c>
      <c r="M612" t="s">
        <v>28</v>
      </c>
      <c r="N612" t="s">
        <v>2404</v>
      </c>
      <c r="O612">
        <v>12</v>
      </c>
      <c r="P612" s="2">
        <v>43668</v>
      </c>
      <c r="Q612" s="1">
        <v>32</v>
      </c>
      <c r="R612" t="s">
        <v>2787</v>
      </c>
    </row>
    <row r="613" spans="1:19" x14ac:dyDescent="0.2">
      <c r="A613" t="str">
        <f t="shared" si="92"/>
        <v>Adult Fiction</v>
      </c>
      <c r="B613" t="str">
        <f>"NEW F MIRAN"</f>
        <v>NEW F MIRAN</v>
      </c>
      <c r="C613" t="str">
        <f>"The last house guest: a novel"</f>
        <v>The last house guest: a novel</v>
      </c>
      <c r="D613">
        <v>356296</v>
      </c>
      <c r="E613" t="str">
        <f>"Miranda, Megan."</f>
        <v>Miranda, Megan.</v>
      </c>
      <c r="G613" t="str">
        <f>"343 pages, 24 cm"</f>
        <v>343 pages, 24 cm</v>
      </c>
      <c r="H613" s="1">
        <v>19</v>
      </c>
      <c r="I613">
        <v>2019</v>
      </c>
      <c r="J613" t="str">
        <f t="shared" si="91"/>
        <v>2: Fiction</v>
      </c>
      <c r="L613" t="s">
        <v>2395</v>
      </c>
      <c r="M613" t="s">
        <v>28</v>
      </c>
      <c r="N613" t="s">
        <v>2401</v>
      </c>
      <c r="O613">
        <v>5</v>
      </c>
      <c r="P613" s="2">
        <v>43668</v>
      </c>
      <c r="Q613" s="1">
        <v>32</v>
      </c>
      <c r="R613" t="s">
        <v>2787</v>
      </c>
    </row>
    <row r="614" spans="1:19" x14ac:dyDescent="0.2">
      <c r="A614" t="str">
        <f t="shared" si="92"/>
        <v>Adult Fiction</v>
      </c>
      <c r="B614" t="str">
        <f>"NEW F MIRAN"</f>
        <v>NEW F MIRAN</v>
      </c>
      <c r="C614" t="str">
        <f>"The last house guest: a novel"</f>
        <v>The last house guest: a novel</v>
      </c>
      <c r="D614">
        <v>357166</v>
      </c>
      <c r="E614" t="str">
        <f>"Miranda, Megan."</f>
        <v>Miranda, Megan.</v>
      </c>
      <c r="G614" t="str">
        <f>"343 pages, 24 cm"</f>
        <v>343 pages, 24 cm</v>
      </c>
      <c r="H614" s="1">
        <v>19</v>
      </c>
      <c r="I614">
        <v>2019</v>
      </c>
      <c r="J614" t="str">
        <f t="shared" si="91"/>
        <v>2: Fiction</v>
      </c>
      <c r="L614" t="s">
        <v>2395</v>
      </c>
      <c r="M614" t="s">
        <v>28</v>
      </c>
      <c r="N614" t="s">
        <v>2396</v>
      </c>
      <c r="O614">
        <v>13</v>
      </c>
      <c r="P614" s="2">
        <v>43704</v>
      </c>
      <c r="Q614" s="1">
        <v>26.99</v>
      </c>
      <c r="R614" t="s">
        <v>2787</v>
      </c>
    </row>
    <row r="615" spans="1:19" x14ac:dyDescent="0.2">
      <c r="A615" t="str">
        <f t="shared" si="92"/>
        <v>Adult Fiction</v>
      </c>
      <c r="B615" t="str">
        <f>"NEW F MOMAD"</f>
        <v>NEW F MOMAD</v>
      </c>
      <c r="C615" t="str">
        <f>"House made of dawn"</f>
        <v>House made of dawn</v>
      </c>
      <c r="D615">
        <v>359373</v>
      </c>
      <c r="E615" t="str">
        <f>"Momaday, N. Scott"</f>
        <v>Momaday, N. Scott</v>
      </c>
      <c r="G615" t="str">
        <f>"xiii, 185, 18 pages, 21 cm"</f>
        <v>xiii, 185, 18 pages, 21 cm</v>
      </c>
      <c r="H615" s="1">
        <v>19</v>
      </c>
      <c r="I615">
        <v>2018</v>
      </c>
      <c r="J615" t="str">
        <f t="shared" si="91"/>
        <v>2: Fiction</v>
      </c>
      <c r="L615" t="s">
        <v>2403</v>
      </c>
      <c r="M615" t="s">
        <v>28</v>
      </c>
      <c r="N615" t="s">
        <v>2404</v>
      </c>
      <c r="O615">
        <v>3</v>
      </c>
      <c r="P615" s="2">
        <v>43788</v>
      </c>
      <c r="Q615" s="1">
        <v>21</v>
      </c>
      <c r="R615" t="s">
        <v>2788</v>
      </c>
      <c r="S615">
        <v>1079422376</v>
      </c>
    </row>
    <row r="616" spans="1:19" x14ac:dyDescent="0.2">
      <c r="A616" t="str">
        <f t="shared" si="92"/>
        <v>Adult Fiction</v>
      </c>
      <c r="B616" t="str">
        <f>"NEW F MONIZ"</f>
        <v>NEW F MONIZ</v>
      </c>
      <c r="C616" t="str">
        <f>"Big familia"</f>
        <v>Big familia</v>
      </c>
      <c r="D616">
        <v>359324</v>
      </c>
      <c r="E616" t="str">
        <f>"Moniz, Tomas."</f>
        <v>Moniz, Tomas.</v>
      </c>
      <c r="H616" s="1">
        <v>19</v>
      </c>
      <c r="I616">
        <v>2019</v>
      </c>
      <c r="J616" t="str">
        <f t="shared" si="91"/>
        <v>2: Fiction</v>
      </c>
      <c r="L616" t="s">
        <v>2395</v>
      </c>
      <c r="M616" t="s">
        <v>28</v>
      </c>
      <c r="N616" t="s">
        <v>2404</v>
      </c>
      <c r="O616">
        <v>2</v>
      </c>
      <c r="P616" s="2">
        <v>43788</v>
      </c>
      <c r="Q616" s="1">
        <v>24</v>
      </c>
      <c r="R616" t="s">
        <v>2789</v>
      </c>
      <c r="S616">
        <v>1090162061</v>
      </c>
    </row>
    <row r="617" spans="1:19" x14ac:dyDescent="0.2">
      <c r="A617" t="str">
        <f t="shared" si="92"/>
        <v>Adult Fiction</v>
      </c>
      <c r="B617" t="str">
        <f>"NEW F MONZO"</f>
        <v>NEW F MONZO</v>
      </c>
      <c r="C617" t="str">
        <f>"Why, why, why?: stories"</f>
        <v>Why, why, why?: stories</v>
      </c>
      <c r="D617">
        <v>359228</v>
      </c>
      <c r="E617" t="str">
        <f>"Monz�, Quim,"</f>
        <v>Monz�, Quim,</v>
      </c>
      <c r="G617" t="str">
        <f>"119 pages, 22 cm"</f>
        <v>119 pages, 22 cm</v>
      </c>
      <c r="H617" s="1">
        <v>19</v>
      </c>
      <c r="I617">
        <v>2019</v>
      </c>
      <c r="J617" t="str">
        <f t="shared" si="91"/>
        <v>2: Fiction</v>
      </c>
      <c r="L617" t="s">
        <v>2395</v>
      </c>
      <c r="M617" t="s">
        <v>28</v>
      </c>
      <c r="N617" t="s">
        <v>2396</v>
      </c>
      <c r="O617">
        <v>1</v>
      </c>
      <c r="P617" s="2">
        <v>43782</v>
      </c>
      <c r="Q617" s="1">
        <v>19</v>
      </c>
      <c r="R617" t="s">
        <v>2790</v>
      </c>
      <c r="S617">
        <v>1121596973</v>
      </c>
    </row>
    <row r="618" spans="1:19" x14ac:dyDescent="0.2">
      <c r="A618" t="str">
        <f t="shared" si="92"/>
        <v>Adult Fiction</v>
      </c>
      <c r="B618" t="str">
        <f>"NEW F MOORE"</f>
        <v>NEW F MOORE</v>
      </c>
      <c r="C618" t="str">
        <f>"Long bright river"</f>
        <v>Long bright river</v>
      </c>
      <c r="D618">
        <v>360618</v>
      </c>
      <c r="E618" t="str">
        <f>"Moore, Liz,"</f>
        <v>Moore, Liz,</v>
      </c>
      <c r="G618" t="str">
        <f>"482 pages, 24 cm"</f>
        <v>482 pages, 24 cm</v>
      </c>
      <c r="H618" s="1">
        <v>20</v>
      </c>
      <c r="I618">
        <v>2020</v>
      </c>
      <c r="J618" t="str">
        <f t="shared" si="91"/>
        <v>2: Fiction</v>
      </c>
      <c r="L618" t="s">
        <v>2395</v>
      </c>
      <c r="M618" t="s">
        <v>28</v>
      </c>
      <c r="N618" t="s">
        <v>2495</v>
      </c>
      <c r="O618">
        <v>0</v>
      </c>
      <c r="P618" s="2">
        <v>43859</v>
      </c>
      <c r="Q618" s="1">
        <v>31</v>
      </c>
      <c r="R618" t="s">
        <v>2791</v>
      </c>
      <c r="S618">
        <v>1132272102</v>
      </c>
    </row>
    <row r="619" spans="1:19" x14ac:dyDescent="0.2">
      <c r="A619" t="str">
        <f t="shared" si="92"/>
        <v>Adult Fiction</v>
      </c>
      <c r="B619" t="str">
        <f>"NEW F MOORE"</f>
        <v>NEW F MOORE</v>
      </c>
      <c r="C619" t="str">
        <f>"Long bright river"</f>
        <v>Long bright river</v>
      </c>
      <c r="D619">
        <v>360619</v>
      </c>
      <c r="E619" t="str">
        <f>"Moore, Liz,"</f>
        <v>Moore, Liz,</v>
      </c>
      <c r="G619" t="str">
        <f>"482 pages, 24 cm"</f>
        <v>482 pages, 24 cm</v>
      </c>
      <c r="H619" s="1">
        <v>20</v>
      </c>
      <c r="I619">
        <v>2020</v>
      </c>
      <c r="J619" t="str">
        <f t="shared" si="91"/>
        <v>2: Fiction</v>
      </c>
      <c r="L619" t="s">
        <v>2403</v>
      </c>
      <c r="M619" t="s">
        <v>28</v>
      </c>
      <c r="N619" t="s">
        <v>2495</v>
      </c>
      <c r="O619">
        <v>0</v>
      </c>
      <c r="P619" s="2">
        <v>43859</v>
      </c>
      <c r="Q619" s="1">
        <v>31</v>
      </c>
      <c r="R619" t="s">
        <v>2791</v>
      </c>
      <c r="S619">
        <v>1132272102</v>
      </c>
    </row>
    <row r="620" spans="1:19" x14ac:dyDescent="0.2">
      <c r="A620" t="str">
        <f t="shared" si="92"/>
        <v>Adult Fiction</v>
      </c>
      <c r="B620" t="str">
        <f>"NEW F MORGE"</f>
        <v>NEW F MORGE</v>
      </c>
      <c r="C620" t="str">
        <f>"The starless sea"</f>
        <v>The starless sea</v>
      </c>
      <c r="D620">
        <v>359074</v>
      </c>
      <c r="E620" t="str">
        <f>"Morgenstern, Erin."</f>
        <v>Morgenstern, Erin.</v>
      </c>
      <c r="G620" t="str">
        <f>"494 pages, 25 cm"</f>
        <v>494 pages, 25 cm</v>
      </c>
      <c r="H620" s="1">
        <v>19</v>
      </c>
      <c r="I620">
        <v>2019</v>
      </c>
      <c r="J620" t="str">
        <f t="shared" si="91"/>
        <v>2: Fiction</v>
      </c>
      <c r="L620" t="s">
        <v>2395</v>
      </c>
      <c r="M620" t="s">
        <v>28</v>
      </c>
      <c r="N620" t="s">
        <v>2404</v>
      </c>
      <c r="O620">
        <v>4</v>
      </c>
      <c r="P620" s="2">
        <v>43776</v>
      </c>
      <c r="Q620" s="1">
        <v>34</v>
      </c>
      <c r="R620" t="s">
        <v>2792</v>
      </c>
      <c r="S620">
        <v>1124767908</v>
      </c>
    </row>
    <row r="621" spans="1:19" x14ac:dyDescent="0.2">
      <c r="A621" t="str">
        <f t="shared" si="92"/>
        <v>Adult Fiction</v>
      </c>
      <c r="B621" t="str">
        <f>"NEW F MORGE"</f>
        <v>NEW F MORGE</v>
      </c>
      <c r="C621" t="str">
        <f>"The starless sea"</f>
        <v>The starless sea</v>
      </c>
      <c r="D621">
        <v>359390</v>
      </c>
      <c r="E621" t="str">
        <f>"Morgenstern, Erin."</f>
        <v>Morgenstern, Erin.</v>
      </c>
      <c r="G621" t="str">
        <f>"494 pages, 25 cm"</f>
        <v>494 pages, 25 cm</v>
      </c>
      <c r="H621" s="1">
        <v>19</v>
      </c>
      <c r="I621">
        <v>2019</v>
      </c>
      <c r="J621" t="str">
        <f t="shared" si="91"/>
        <v>2: Fiction</v>
      </c>
      <c r="L621" t="s">
        <v>2395</v>
      </c>
      <c r="M621" t="s">
        <v>28</v>
      </c>
      <c r="N621" t="str">
        <f>"Reserve Cart"</f>
        <v>Reserve Cart</v>
      </c>
      <c r="O621">
        <v>4</v>
      </c>
      <c r="P621" s="2">
        <v>43788</v>
      </c>
      <c r="Q621" s="1">
        <v>34</v>
      </c>
      <c r="R621" t="s">
        <v>2792</v>
      </c>
      <c r="S621">
        <v>1124767908</v>
      </c>
    </row>
    <row r="622" spans="1:19" x14ac:dyDescent="0.2">
      <c r="A622" t="str">
        <f t="shared" si="92"/>
        <v>Adult Fiction</v>
      </c>
      <c r="B622" t="str">
        <f>"NEW F MORRI"</f>
        <v>NEW F MORRI</v>
      </c>
      <c r="C622" t="str">
        <f>"Cilka's journey"</f>
        <v>Cilka's journey</v>
      </c>
      <c r="D622">
        <v>358527</v>
      </c>
      <c r="E622" t="str">
        <f>"Morris, Heather"</f>
        <v>Morris, Heather</v>
      </c>
      <c r="G622" t="str">
        <f>"343 pages, 25 cm, color illustration, map"</f>
        <v>343 pages, 25 cm, color illustration, map</v>
      </c>
      <c r="H622" s="1">
        <v>19</v>
      </c>
      <c r="I622">
        <v>2019</v>
      </c>
      <c r="J622" t="str">
        <f t="shared" si="91"/>
        <v>2: Fiction</v>
      </c>
      <c r="L622" t="s">
        <v>2403</v>
      </c>
      <c r="M622" t="s">
        <v>28</v>
      </c>
      <c r="N622" t="s">
        <v>2396</v>
      </c>
      <c r="O622">
        <v>4</v>
      </c>
      <c r="P622" s="2">
        <v>43756</v>
      </c>
      <c r="Q622" s="1">
        <v>33</v>
      </c>
      <c r="R622" t="s">
        <v>2793</v>
      </c>
      <c r="S622">
        <v>1120052964</v>
      </c>
    </row>
    <row r="623" spans="1:19" x14ac:dyDescent="0.2">
      <c r="A623" t="str">
        <f t="shared" si="92"/>
        <v>Adult Fiction</v>
      </c>
      <c r="B623" t="str">
        <f>"NEW F MORRI"</f>
        <v>NEW F MORRI</v>
      </c>
      <c r="C623" t="str">
        <f>"Cilka's journey"</f>
        <v>Cilka's journey</v>
      </c>
      <c r="D623">
        <v>359367</v>
      </c>
      <c r="E623" t="str">
        <f>"Morris, Heather"</f>
        <v>Morris, Heather</v>
      </c>
      <c r="G623" t="str">
        <f>"343 pages, 25 cm, color illustration, map"</f>
        <v>343 pages, 25 cm, color illustration, map</v>
      </c>
      <c r="H623" s="1">
        <v>19</v>
      </c>
      <c r="I623">
        <v>2019</v>
      </c>
      <c r="J623" t="str">
        <f t="shared" si="91"/>
        <v>2: Fiction</v>
      </c>
      <c r="L623" t="s">
        <v>2403</v>
      </c>
      <c r="M623" t="s">
        <v>28</v>
      </c>
      <c r="N623" t="s">
        <v>2404</v>
      </c>
      <c r="O623">
        <v>5</v>
      </c>
      <c r="P623" s="2">
        <v>43788</v>
      </c>
      <c r="Q623" s="1">
        <v>33</v>
      </c>
      <c r="R623" t="s">
        <v>2793</v>
      </c>
      <c r="S623">
        <v>1120052964</v>
      </c>
    </row>
    <row r="624" spans="1:19" x14ac:dyDescent="0.2">
      <c r="A624" t="str">
        <f t="shared" si="92"/>
        <v>Adult Fiction</v>
      </c>
      <c r="B624" t="str">
        <f>"NEW F MOSER"</f>
        <v>NEW F MOSER</v>
      </c>
      <c r="C624" t="str">
        <f>"The shop keepers"</f>
        <v>The shop keepers</v>
      </c>
      <c r="D624">
        <v>408249</v>
      </c>
      <c r="E624" t="str">
        <f>"Moser, Nancy."</f>
        <v>Moser, Nancy.</v>
      </c>
      <c r="G624" t="str">
        <f>"289 pages, 22 cm, illustrations"</f>
        <v>289 pages, 22 cm, illustrations</v>
      </c>
      <c r="H624" s="1">
        <v>19</v>
      </c>
      <c r="I624">
        <v>2019</v>
      </c>
      <c r="J624" t="str">
        <f t="shared" si="91"/>
        <v>2: Fiction</v>
      </c>
      <c r="L624" t="s">
        <v>2403</v>
      </c>
      <c r="M624" t="s">
        <v>28</v>
      </c>
      <c r="N624" t="s">
        <v>2404</v>
      </c>
      <c r="O624">
        <v>3</v>
      </c>
      <c r="P624" s="2">
        <v>43762</v>
      </c>
      <c r="Q624" s="1">
        <v>16</v>
      </c>
      <c r="R624" t="s">
        <v>2794</v>
      </c>
      <c r="S624">
        <v>1107701184</v>
      </c>
    </row>
    <row r="625" spans="1:19" x14ac:dyDescent="0.2">
      <c r="A625" t="str">
        <f t="shared" si="92"/>
        <v>Adult Fiction</v>
      </c>
      <c r="B625" t="str">
        <f>"NEW F MOYES"</f>
        <v>NEW F MOYES</v>
      </c>
      <c r="C625" t="str">
        <f>"The giver of stars"</f>
        <v>The giver of stars</v>
      </c>
      <c r="D625">
        <v>358242</v>
      </c>
      <c r="E625" t="str">
        <f>"Moyes, Jojo"</f>
        <v>Moyes, Jojo</v>
      </c>
      <c r="G625" t="str">
        <f>"400 p."</f>
        <v>400 p.</v>
      </c>
      <c r="H625" s="1">
        <v>19</v>
      </c>
      <c r="I625">
        <v>2019</v>
      </c>
      <c r="J625" t="str">
        <f t="shared" si="91"/>
        <v>2: Fiction</v>
      </c>
      <c r="L625" t="s">
        <v>2395</v>
      </c>
      <c r="M625" t="s">
        <v>28</v>
      </c>
      <c r="N625" t="str">
        <f>"Reserve Cart"</f>
        <v>Reserve Cart</v>
      </c>
      <c r="O625">
        <v>5</v>
      </c>
      <c r="P625" s="2">
        <v>43745</v>
      </c>
      <c r="Q625" s="1">
        <v>33</v>
      </c>
      <c r="R625" t="s">
        <v>2795</v>
      </c>
      <c r="S625">
        <v>1121657617</v>
      </c>
    </row>
    <row r="626" spans="1:19" x14ac:dyDescent="0.2">
      <c r="A626" t="str">
        <f t="shared" si="92"/>
        <v>Adult Fiction</v>
      </c>
      <c r="B626" t="str">
        <f>"NEW F MOYES"</f>
        <v>NEW F MOYES</v>
      </c>
      <c r="C626" t="str">
        <f>"The giver of stars"</f>
        <v>The giver of stars</v>
      </c>
      <c r="D626">
        <v>358243</v>
      </c>
      <c r="E626" t="str">
        <f>"Moyes, Jojo"</f>
        <v>Moyes, Jojo</v>
      </c>
      <c r="G626" t="str">
        <f>"400 p."</f>
        <v>400 p.</v>
      </c>
      <c r="H626" s="1">
        <v>19</v>
      </c>
      <c r="I626">
        <v>2019</v>
      </c>
      <c r="J626" t="str">
        <f t="shared" si="91"/>
        <v>2: Fiction</v>
      </c>
      <c r="L626" t="s">
        <v>2395</v>
      </c>
      <c r="M626" t="s">
        <v>28</v>
      </c>
      <c r="N626" t="s">
        <v>2404</v>
      </c>
      <c r="O626">
        <v>8</v>
      </c>
      <c r="P626" s="2">
        <v>43745</v>
      </c>
      <c r="Q626" s="1">
        <v>33</v>
      </c>
      <c r="R626" t="s">
        <v>2795</v>
      </c>
      <c r="S626">
        <v>1121657617</v>
      </c>
    </row>
    <row r="627" spans="1:19" x14ac:dyDescent="0.2">
      <c r="A627" t="str">
        <f t="shared" si="92"/>
        <v>Adult Fiction</v>
      </c>
      <c r="B627" t="str">
        <f>"NEW F MOYES"</f>
        <v>NEW F MOYES</v>
      </c>
      <c r="C627" t="str">
        <f>"The giver of stars"</f>
        <v>The giver of stars</v>
      </c>
      <c r="D627">
        <v>358244</v>
      </c>
      <c r="E627" t="str">
        <f>"Moyes, Jojo"</f>
        <v>Moyes, Jojo</v>
      </c>
      <c r="G627" t="str">
        <f>"400 p."</f>
        <v>400 p.</v>
      </c>
      <c r="H627" s="1">
        <v>19</v>
      </c>
      <c r="I627">
        <v>2019</v>
      </c>
      <c r="J627" t="str">
        <f t="shared" si="91"/>
        <v>2: Fiction</v>
      </c>
      <c r="L627" t="s">
        <v>2395</v>
      </c>
      <c r="M627" t="s">
        <v>28</v>
      </c>
      <c r="N627" t="s">
        <v>2404</v>
      </c>
      <c r="O627">
        <v>9</v>
      </c>
      <c r="P627" s="2">
        <v>43745</v>
      </c>
      <c r="Q627" s="1">
        <v>33</v>
      </c>
      <c r="R627" t="s">
        <v>2795</v>
      </c>
      <c r="S627">
        <v>1121657617</v>
      </c>
    </row>
    <row r="628" spans="1:19" x14ac:dyDescent="0.2">
      <c r="A628" t="str">
        <f t="shared" si="92"/>
        <v>Adult Fiction</v>
      </c>
      <c r="B628" t="str">
        <f>"NEW F MOYES"</f>
        <v>NEW F MOYES</v>
      </c>
      <c r="C628" t="str">
        <f>"The giver of stars"</f>
        <v>The giver of stars</v>
      </c>
      <c r="D628">
        <v>358245</v>
      </c>
      <c r="E628" t="str">
        <f>"Moyes, Jojo"</f>
        <v>Moyes, Jojo</v>
      </c>
      <c r="G628" t="str">
        <f>"400 p."</f>
        <v>400 p.</v>
      </c>
      <c r="H628" s="1">
        <v>19</v>
      </c>
      <c r="I628">
        <v>2019</v>
      </c>
      <c r="J628" t="str">
        <f t="shared" si="91"/>
        <v>2: Fiction</v>
      </c>
      <c r="L628" t="s">
        <v>2403</v>
      </c>
      <c r="M628" t="s">
        <v>28</v>
      </c>
      <c r="N628" t="s">
        <v>2404</v>
      </c>
      <c r="O628">
        <v>7</v>
      </c>
      <c r="P628" s="2">
        <v>43745</v>
      </c>
      <c r="Q628" s="1">
        <v>33</v>
      </c>
      <c r="R628" t="s">
        <v>2795</v>
      </c>
      <c r="S628">
        <v>1121657617</v>
      </c>
    </row>
    <row r="629" spans="1:19" x14ac:dyDescent="0.2">
      <c r="A629" t="str">
        <f t="shared" si="92"/>
        <v>Adult Fiction</v>
      </c>
      <c r="B629" t="str">
        <f>"NEW F MOYES"</f>
        <v>NEW F MOYES</v>
      </c>
      <c r="C629" t="str">
        <f>"The giver of stars"</f>
        <v>The giver of stars</v>
      </c>
      <c r="D629">
        <v>360435</v>
      </c>
      <c r="E629" t="str">
        <f>"Moyes, Jojo"</f>
        <v>Moyes, Jojo</v>
      </c>
      <c r="G629" t="str">
        <f>"400 p."</f>
        <v>400 p.</v>
      </c>
      <c r="H629" s="1">
        <v>20</v>
      </c>
      <c r="I629">
        <v>2019</v>
      </c>
      <c r="J629" t="str">
        <f t="shared" si="91"/>
        <v>2: Fiction</v>
      </c>
      <c r="L629" t="s">
        <v>2395</v>
      </c>
      <c r="M629" t="s">
        <v>28</v>
      </c>
      <c r="N629" t="str">
        <f>"Reserve Cart"</f>
        <v>Reserve Cart</v>
      </c>
      <c r="O629">
        <v>0</v>
      </c>
      <c r="P629" s="2">
        <v>43851</v>
      </c>
      <c r="Q629" s="1">
        <v>33</v>
      </c>
      <c r="R629" t="s">
        <v>2795</v>
      </c>
      <c r="S629">
        <v>1121657617</v>
      </c>
    </row>
    <row r="630" spans="1:19" x14ac:dyDescent="0.2">
      <c r="A630" t="str">
        <f t="shared" si="92"/>
        <v>Adult Fiction</v>
      </c>
      <c r="B630" t="str">
        <f>"NEW F MREJE"</f>
        <v>NEW F MREJE</v>
      </c>
      <c r="C630" t="str">
        <f>"Black Forest"</f>
        <v>Black Forest</v>
      </c>
      <c r="D630">
        <v>359180</v>
      </c>
      <c r="E630" t="str">
        <f>"Mrejen, Valerie."</f>
        <v>Mrejen, Valerie.</v>
      </c>
      <c r="G630" t="str">
        <f>"72 p."</f>
        <v>72 p.</v>
      </c>
      <c r="H630" s="1">
        <v>19</v>
      </c>
      <c r="I630">
        <v>2019</v>
      </c>
      <c r="J630" t="str">
        <f t="shared" si="91"/>
        <v>2: Fiction</v>
      </c>
      <c r="L630" t="s">
        <v>2395</v>
      </c>
      <c r="M630" t="s">
        <v>28</v>
      </c>
      <c r="N630" t="s">
        <v>2396</v>
      </c>
      <c r="O630">
        <v>1</v>
      </c>
      <c r="P630" s="2">
        <v>43782</v>
      </c>
      <c r="Q630" s="1">
        <v>21</v>
      </c>
      <c r="R630" t="s">
        <v>2796</v>
      </c>
    </row>
    <row r="631" spans="1:19" x14ac:dyDescent="0.2">
      <c r="A631" t="str">
        <f t="shared" si="92"/>
        <v>Adult Fiction</v>
      </c>
      <c r="B631" t="str">
        <f>"NEW F MUIR"</f>
        <v>NEW F MUIR</v>
      </c>
      <c r="C631" t="str">
        <f>"Gideon the ninth"</f>
        <v>Gideon the ninth</v>
      </c>
      <c r="D631">
        <v>357543</v>
      </c>
      <c r="E631" t="str">
        <f>"Muir, Tamsyn"</f>
        <v>Muir, Tamsyn</v>
      </c>
      <c r="G631" t="str">
        <f>"448 pages, 21 cm"</f>
        <v>448 pages, 21 cm</v>
      </c>
      <c r="H631" s="1">
        <v>19</v>
      </c>
      <c r="I631">
        <v>2019</v>
      </c>
      <c r="J631" t="str">
        <f t="shared" si="91"/>
        <v>2: Fiction</v>
      </c>
      <c r="L631" t="s">
        <v>2403</v>
      </c>
      <c r="M631" t="s">
        <v>28</v>
      </c>
      <c r="N631" t="s">
        <v>2396</v>
      </c>
      <c r="O631">
        <v>3</v>
      </c>
      <c r="P631" s="2">
        <v>43719</v>
      </c>
      <c r="Q631" s="1">
        <v>31</v>
      </c>
      <c r="R631" t="s">
        <v>2797</v>
      </c>
      <c r="S631">
        <v>1054836121</v>
      </c>
    </row>
    <row r="632" spans="1:19" x14ac:dyDescent="0.2">
      <c r="A632" t="str">
        <f t="shared" si="92"/>
        <v>Adult Fiction</v>
      </c>
      <c r="B632" t="str">
        <f>"NEW F MURUG"</f>
        <v>NEW F MURUG</v>
      </c>
      <c r="C632" t="str">
        <f>"The story of a goat"</f>
        <v>The story of a goat</v>
      </c>
      <c r="D632">
        <v>359633</v>
      </c>
      <c r="E632" t="str">
        <f>"Murugan, Perumal"</f>
        <v>Murugan, Perumal</v>
      </c>
      <c r="G632" t="str">
        <f>"pages cm"</f>
        <v>pages cm</v>
      </c>
      <c r="H632" s="1">
        <v>19</v>
      </c>
      <c r="I632">
        <v>2019</v>
      </c>
      <c r="J632" t="str">
        <f t="shared" si="91"/>
        <v>2: Fiction</v>
      </c>
      <c r="L632" t="s">
        <v>2395</v>
      </c>
      <c r="M632" t="s">
        <v>28</v>
      </c>
      <c r="N632" t="s">
        <v>2404</v>
      </c>
      <c r="O632">
        <v>3</v>
      </c>
      <c r="P632" s="2">
        <v>43803</v>
      </c>
      <c r="Q632" s="1">
        <v>21</v>
      </c>
      <c r="R632" t="s">
        <v>2798</v>
      </c>
      <c r="S632">
        <v>1119975225</v>
      </c>
    </row>
    <row r="633" spans="1:19" x14ac:dyDescent="0.2">
      <c r="A633" t="str">
        <f t="shared" si="92"/>
        <v>Adult Fiction</v>
      </c>
      <c r="B633" t="str">
        <f>"NEW F MYERS"</f>
        <v>NEW F MYERS</v>
      </c>
      <c r="C633" t="str">
        <f>"Puddin' on the blitz"</f>
        <v>Puddin' on the blitz</v>
      </c>
      <c r="D633">
        <v>358264</v>
      </c>
      <c r="E633" t="str">
        <f>"Myers, Tamar"</f>
        <v>Myers, Tamar</v>
      </c>
      <c r="G633" t="str">
        <f>"vi, 216 pages, 23 cm"</f>
        <v>vi, 216 pages, 23 cm</v>
      </c>
      <c r="H633" s="1">
        <v>19</v>
      </c>
      <c r="I633">
        <v>2019</v>
      </c>
      <c r="J633" t="str">
        <f t="shared" si="91"/>
        <v>2: Fiction</v>
      </c>
      <c r="L633" t="s">
        <v>2395</v>
      </c>
      <c r="M633" t="s">
        <v>28</v>
      </c>
      <c r="N633" t="s">
        <v>2396</v>
      </c>
      <c r="O633">
        <v>7</v>
      </c>
      <c r="P633" s="2">
        <v>43745</v>
      </c>
      <c r="Q633" s="1">
        <v>34</v>
      </c>
      <c r="R633" t="s">
        <v>2799</v>
      </c>
      <c r="S633">
        <v>1091845837</v>
      </c>
    </row>
    <row r="634" spans="1:19" x14ac:dyDescent="0.2">
      <c r="A634" t="str">
        <f t="shared" si="92"/>
        <v>Adult Fiction</v>
      </c>
      <c r="B634" t="str">
        <f>"NEW F NAPOL"</f>
        <v>NEW F NAPOL</v>
      </c>
      <c r="C634" t="str">
        <f>"Dear Edward: a novel"</f>
        <v>Dear Edward: a novel</v>
      </c>
      <c r="D634">
        <v>360213</v>
      </c>
      <c r="E634" t="str">
        <f>"Napolitano, Ann."</f>
        <v>Napolitano, Ann.</v>
      </c>
      <c r="G634" t="str">
        <f>"340 pages, 25 cm"</f>
        <v>340 pages, 25 cm</v>
      </c>
      <c r="H634" s="1">
        <v>19</v>
      </c>
      <c r="I634">
        <v>2020</v>
      </c>
      <c r="J634" t="str">
        <f t="shared" si="91"/>
        <v>2: Fiction</v>
      </c>
      <c r="L634" t="s">
        <v>2395</v>
      </c>
      <c r="M634" t="s">
        <v>28</v>
      </c>
      <c r="N634" t="s">
        <v>2404</v>
      </c>
      <c r="O634">
        <v>1</v>
      </c>
      <c r="P634" s="2">
        <v>43844</v>
      </c>
      <c r="Q634" s="1">
        <v>32</v>
      </c>
      <c r="R634" t="s">
        <v>2800</v>
      </c>
      <c r="S634">
        <v>1082327363</v>
      </c>
    </row>
    <row r="635" spans="1:19" x14ac:dyDescent="0.2">
      <c r="A635" t="str">
        <f t="shared" si="92"/>
        <v>Adult Fiction</v>
      </c>
      <c r="B635" t="str">
        <f>"NEW F NAPOL"</f>
        <v>NEW F NAPOL</v>
      </c>
      <c r="C635" t="str">
        <f>"Dear Edward: a novel"</f>
        <v>Dear Edward: a novel</v>
      </c>
      <c r="D635">
        <v>360427</v>
      </c>
      <c r="E635" t="str">
        <f>"Napolitano, Ann."</f>
        <v>Napolitano, Ann.</v>
      </c>
      <c r="G635" t="str">
        <f>"340 pages, 25 cm"</f>
        <v>340 pages, 25 cm</v>
      </c>
      <c r="H635" s="1">
        <v>20</v>
      </c>
      <c r="I635">
        <v>2020</v>
      </c>
      <c r="J635" t="str">
        <f t="shared" si="91"/>
        <v>2: Fiction</v>
      </c>
      <c r="L635" t="s">
        <v>2395</v>
      </c>
      <c r="M635" t="s">
        <v>28</v>
      </c>
      <c r="N635" t="s">
        <v>2404</v>
      </c>
      <c r="O635">
        <v>1</v>
      </c>
      <c r="P635" s="2">
        <v>43851</v>
      </c>
      <c r="Q635" s="1">
        <v>32</v>
      </c>
      <c r="R635" t="s">
        <v>2800</v>
      </c>
      <c r="S635">
        <v>1082327363</v>
      </c>
    </row>
    <row r="636" spans="1:19" x14ac:dyDescent="0.2">
      <c r="A636" t="str">
        <f t="shared" si="92"/>
        <v>Adult Fiction</v>
      </c>
      <c r="B636" t="str">
        <f>"NEW F NAPOL"</f>
        <v>NEW F NAPOL</v>
      </c>
      <c r="C636" t="str">
        <f>"Dear Edward: a novel"</f>
        <v>Dear Edward: a novel</v>
      </c>
      <c r="D636">
        <v>360428</v>
      </c>
      <c r="E636" t="str">
        <f>"Napolitano, Ann."</f>
        <v>Napolitano, Ann.</v>
      </c>
      <c r="G636" t="str">
        <f>"340 pages, 25 cm"</f>
        <v>340 pages, 25 cm</v>
      </c>
      <c r="H636" s="1">
        <v>20</v>
      </c>
      <c r="I636">
        <v>2020</v>
      </c>
      <c r="J636" t="str">
        <f t="shared" si="91"/>
        <v>2: Fiction</v>
      </c>
      <c r="L636" t="s">
        <v>2395</v>
      </c>
      <c r="M636" t="s">
        <v>28</v>
      </c>
      <c r="N636" t="s">
        <v>2415</v>
      </c>
      <c r="O636">
        <v>0</v>
      </c>
      <c r="P636" s="2">
        <v>43851</v>
      </c>
      <c r="Q636" s="1">
        <v>32</v>
      </c>
      <c r="R636" t="s">
        <v>2800</v>
      </c>
      <c r="S636">
        <v>1082327363</v>
      </c>
    </row>
    <row r="637" spans="1:19" x14ac:dyDescent="0.2">
      <c r="A637" t="str">
        <f t="shared" si="92"/>
        <v>Adult Fiction</v>
      </c>
      <c r="B637" t="str">
        <f>"NEW F NESBO"</f>
        <v>NEW F NESBO</v>
      </c>
      <c r="C637" t="s">
        <v>2801</v>
      </c>
      <c r="D637">
        <v>356162</v>
      </c>
      <c r="E637" t="str">
        <f>"Nesbo, Jo"</f>
        <v>Nesbo, Jo</v>
      </c>
      <c r="F637" t="str">
        <f>"Harry Hole series (12)"</f>
        <v>Harry Hole series (12)</v>
      </c>
      <c r="G637" t="str">
        <f>"451 pages, 25 cm"</f>
        <v>451 pages, 25 cm</v>
      </c>
      <c r="H637" s="1">
        <v>19</v>
      </c>
      <c r="I637">
        <v>2019</v>
      </c>
      <c r="J637" t="str">
        <f t="shared" si="91"/>
        <v>2: Fiction</v>
      </c>
      <c r="L637" t="s">
        <v>2395</v>
      </c>
      <c r="M637" t="s">
        <v>28</v>
      </c>
      <c r="N637" t="s">
        <v>2404</v>
      </c>
      <c r="O637">
        <v>8</v>
      </c>
      <c r="P637" s="2">
        <v>43655</v>
      </c>
      <c r="Q637" s="1">
        <v>33</v>
      </c>
      <c r="R637" t="s">
        <v>2802</v>
      </c>
      <c r="S637">
        <v>1057304611</v>
      </c>
    </row>
    <row r="638" spans="1:19" x14ac:dyDescent="0.2">
      <c r="A638" t="str">
        <f t="shared" si="92"/>
        <v>Adult Fiction</v>
      </c>
      <c r="B638" t="str">
        <f>"NEW F NESBO"</f>
        <v>NEW F NESBO</v>
      </c>
      <c r="C638" t="s">
        <v>2801</v>
      </c>
      <c r="D638">
        <v>356163</v>
      </c>
      <c r="E638" t="str">
        <f>"Nesbo, Jo"</f>
        <v>Nesbo, Jo</v>
      </c>
      <c r="F638" t="str">
        <f>"Harry Hole series (12)"</f>
        <v>Harry Hole series (12)</v>
      </c>
      <c r="G638" t="str">
        <f>"451 pages, 25 cm"</f>
        <v>451 pages, 25 cm</v>
      </c>
      <c r="H638" s="1">
        <v>19</v>
      </c>
      <c r="I638">
        <v>2019</v>
      </c>
      <c r="J638" t="str">
        <f t="shared" si="91"/>
        <v>2: Fiction</v>
      </c>
      <c r="L638" t="s">
        <v>2395</v>
      </c>
      <c r="M638" t="s">
        <v>28</v>
      </c>
      <c r="N638" t="s">
        <v>2404</v>
      </c>
      <c r="O638">
        <v>9</v>
      </c>
      <c r="P638" s="2">
        <v>43655</v>
      </c>
      <c r="Q638" s="1">
        <v>33</v>
      </c>
      <c r="R638" t="s">
        <v>2802</v>
      </c>
      <c r="S638">
        <v>1057304611</v>
      </c>
    </row>
    <row r="639" spans="1:19" x14ac:dyDescent="0.2">
      <c r="A639" t="str">
        <f t="shared" si="92"/>
        <v>Adult Fiction</v>
      </c>
      <c r="B639" t="str">
        <f>"NEW F NEWIT"</f>
        <v>NEW F NEWIT</v>
      </c>
      <c r="C639" t="str">
        <f>"The future of another timeline"</f>
        <v>The future of another timeline</v>
      </c>
      <c r="D639">
        <v>357680</v>
      </c>
      <c r="E639" t="str">
        <f>"Newitz, Annalee."</f>
        <v>Newitz, Annalee.</v>
      </c>
      <c r="G639" t="str">
        <f>"352 p."</f>
        <v>352 p.</v>
      </c>
      <c r="H639" s="1">
        <v>19</v>
      </c>
      <c r="I639">
        <v>2019</v>
      </c>
      <c r="J639" t="str">
        <f t="shared" ref="J639:J702" si="93">"2: Fiction"</f>
        <v>2: Fiction</v>
      </c>
      <c r="L639" t="s">
        <v>2395</v>
      </c>
      <c r="M639" t="s">
        <v>28</v>
      </c>
      <c r="N639" t="s">
        <v>2396</v>
      </c>
      <c r="O639">
        <v>3</v>
      </c>
      <c r="P639" s="2">
        <v>43725</v>
      </c>
      <c r="Q639" s="1">
        <v>32</v>
      </c>
      <c r="R639" t="s">
        <v>2803</v>
      </c>
      <c r="S639">
        <v>1119388399</v>
      </c>
    </row>
    <row r="640" spans="1:19" x14ac:dyDescent="0.2">
      <c r="A640" t="str">
        <f t="shared" si="92"/>
        <v>Adult Fiction</v>
      </c>
      <c r="B640" t="str">
        <f>"NEW F NORTH"</f>
        <v>NEW F NORTH</v>
      </c>
      <c r="C640" t="str">
        <f>"The whisper man"</f>
        <v>The whisper man</v>
      </c>
      <c r="D640">
        <v>356950</v>
      </c>
      <c r="E640" t="str">
        <f>"North, Alex"</f>
        <v>North, Alex</v>
      </c>
      <c r="G640" t="str">
        <f>"355 pages, 25 cm"</f>
        <v>355 pages, 25 cm</v>
      </c>
      <c r="H640" s="1">
        <v>19</v>
      </c>
      <c r="I640">
        <v>2019</v>
      </c>
      <c r="J640" t="str">
        <f t="shared" si="93"/>
        <v>2: Fiction</v>
      </c>
      <c r="L640" t="s">
        <v>2403</v>
      </c>
      <c r="M640" t="s">
        <v>28</v>
      </c>
      <c r="N640" t="s">
        <v>2404</v>
      </c>
      <c r="O640">
        <v>8</v>
      </c>
      <c r="P640" s="2">
        <v>43696</v>
      </c>
      <c r="Q640" s="1">
        <v>32</v>
      </c>
      <c r="R640" t="s">
        <v>2804</v>
      </c>
      <c r="S640">
        <v>1053581034</v>
      </c>
    </row>
    <row r="641" spans="1:19" x14ac:dyDescent="0.2">
      <c r="A641" t="str">
        <f t="shared" si="92"/>
        <v>Adult Fiction</v>
      </c>
      <c r="B641" t="str">
        <f>"NEW F NORTH"</f>
        <v>NEW F NORTH</v>
      </c>
      <c r="C641" t="str">
        <f>"The whisper man"</f>
        <v>The whisper man</v>
      </c>
      <c r="D641">
        <v>356951</v>
      </c>
      <c r="E641" t="str">
        <f>"North, Alex"</f>
        <v>North, Alex</v>
      </c>
      <c r="G641" t="str">
        <f>"355 pages, 25 cm"</f>
        <v>355 pages, 25 cm</v>
      </c>
      <c r="H641" s="1">
        <v>19</v>
      </c>
      <c r="I641">
        <v>2019</v>
      </c>
      <c r="J641" t="str">
        <f t="shared" si="93"/>
        <v>2: Fiction</v>
      </c>
      <c r="L641" t="s">
        <v>2395</v>
      </c>
      <c r="M641" t="s">
        <v>28</v>
      </c>
      <c r="N641" t="s">
        <v>2404</v>
      </c>
      <c r="O641">
        <v>12</v>
      </c>
      <c r="P641" s="2">
        <v>43696</v>
      </c>
      <c r="Q641" s="1">
        <v>32</v>
      </c>
      <c r="R641" t="s">
        <v>2804</v>
      </c>
      <c r="S641">
        <v>1053581034</v>
      </c>
    </row>
    <row r="642" spans="1:19" x14ac:dyDescent="0.2">
      <c r="A642" t="str">
        <f t="shared" si="92"/>
        <v>Adult Fiction</v>
      </c>
      <c r="B642" t="str">
        <f>"NEW F OAKLE"</f>
        <v>NEW F OAKLE</v>
      </c>
      <c r="C642" t="str">
        <f>"You were there too"</f>
        <v>You were there too</v>
      </c>
      <c r="D642">
        <v>360270</v>
      </c>
      <c r="E642" t="str">
        <f>"Oakley, Colleen,"</f>
        <v>Oakley, Colleen,</v>
      </c>
      <c r="G642" t="str">
        <f>"327 p., 22 cm"</f>
        <v>327 p., 22 cm</v>
      </c>
      <c r="H642" s="1">
        <v>19</v>
      </c>
      <c r="I642">
        <v>2020</v>
      </c>
      <c r="J642" t="str">
        <f t="shared" si="93"/>
        <v>2: Fiction</v>
      </c>
      <c r="L642" t="s">
        <v>2395</v>
      </c>
      <c r="M642" t="s">
        <v>28</v>
      </c>
      <c r="N642" t="s">
        <v>2396</v>
      </c>
      <c r="O642">
        <v>0</v>
      </c>
      <c r="P642" s="2">
        <v>43844</v>
      </c>
      <c r="Q642" s="1">
        <v>21</v>
      </c>
      <c r="R642" t="s">
        <v>2805</v>
      </c>
      <c r="S642">
        <v>1097366478</v>
      </c>
    </row>
    <row r="643" spans="1:19" x14ac:dyDescent="0.2">
      <c r="A643" t="str">
        <f t="shared" si="92"/>
        <v>Adult Fiction</v>
      </c>
      <c r="B643" t="str">
        <f>"NEW F OATES"</f>
        <v>NEW F OATES</v>
      </c>
      <c r="C643" t="str">
        <f>"Pursuit: a novel of suspense"</f>
        <v>Pursuit: a novel of suspense</v>
      </c>
      <c r="D643">
        <v>357842</v>
      </c>
      <c r="E643" t="str">
        <f>"Oates, Joyce Carol"</f>
        <v>Oates, Joyce Carol</v>
      </c>
      <c r="G643" t="str">
        <f>"216 pages, 22 cm"</f>
        <v>216 pages, 22 cm</v>
      </c>
      <c r="H643" s="1">
        <v>19</v>
      </c>
      <c r="I643">
        <v>2019</v>
      </c>
      <c r="J643" t="str">
        <f t="shared" si="93"/>
        <v>2: Fiction</v>
      </c>
      <c r="L643" t="s">
        <v>2403</v>
      </c>
      <c r="M643" t="s">
        <v>28</v>
      </c>
      <c r="N643" t="s">
        <v>2404</v>
      </c>
      <c r="O643">
        <v>5</v>
      </c>
      <c r="P643" s="2">
        <v>43731</v>
      </c>
      <c r="Q643" s="1">
        <v>28</v>
      </c>
      <c r="R643" t="s">
        <v>2806</v>
      </c>
      <c r="S643">
        <v>1114280697</v>
      </c>
    </row>
    <row r="644" spans="1:19" x14ac:dyDescent="0.2">
      <c r="A644" t="str">
        <f t="shared" si="92"/>
        <v>Adult Fiction</v>
      </c>
      <c r="B644" t="str">
        <f>"NEW F OBREH"</f>
        <v>NEW F OBREH</v>
      </c>
      <c r="C644" t="str">
        <f>"Inland: a novel"</f>
        <v>Inland: a novel</v>
      </c>
      <c r="D644">
        <v>356810</v>
      </c>
      <c r="E644" t="str">
        <f>"Obreht, T�a."</f>
        <v>Obreht, T�a.</v>
      </c>
      <c r="G644" t="str">
        <f>"370 p."</f>
        <v>370 p.</v>
      </c>
      <c r="H644" s="1">
        <v>19</v>
      </c>
      <c r="I644">
        <v>2019</v>
      </c>
      <c r="J644" t="str">
        <f t="shared" si="93"/>
        <v>2: Fiction</v>
      </c>
      <c r="L644" t="s">
        <v>2395</v>
      </c>
      <c r="M644" t="s">
        <v>28</v>
      </c>
      <c r="N644" t="s">
        <v>2396</v>
      </c>
      <c r="O644">
        <v>10</v>
      </c>
      <c r="P644" s="2">
        <v>43690</v>
      </c>
      <c r="Q644" s="1">
        <v>32</v>
      </c>
      <c r="R644" t="s">
        <v>2807</v>
      </c>
    </row>
    <row r="645" spans="1:19" x14ac:dyDescent="0.2">
      <c r="A645" t="str">
        <f t="shared" si="92"/>
        <v>Adult Fiction</v>
      </c>
      <c r="B645" t="str">
        <f>"NEW F OBREH"</f>
        <v>NEW F OBREH</v>
      </c>
      <c r="C645" t="str">
        <f>"Inland: a novel"</f>
        <v>Inland: a novel</v>
      </c>
      <c r="D645">
        <v>360613</v>
      </c>
      <c r="E645" t="str">
        <f>"Obreht, T�a."</f>
        <v>Obreht, T�a.</v>
      </c>
      <c r="G645" t="str">
        <f>"370 p."</f>
        <v>370 p.</v>
      </c>
      <c r="H645" s="1">
        <v>20</v>
      </c>
      <c r="I645">
        <v>2019</v>
      </c>
      <c r="J645" t="str">
        <f t="shared" si="93"/>
        <v>2: Fiction</v>
      </c>
      <c r="L645" t="s">
        <v>2395</v>
      </c>
      <c r="M645" t="s">
        <v>28</v>
      </c>
      <c r="N645" t="s">
        <v>2396</v>
      </c>
      <c r="O645">
        <v>0</v>
      </c>
      <c r="P645" s="2">
        <v>43859</v>
      </c>
      <c r="Q645" s="1">
        <v>32</v>
      </c>
      <c r="R645" t="s">
        <v>2807</v>
      </c>
    </row>
    <row r="646" spans="1:19" x14ac:dyDescent="0.2">
      <c r="A646" t="str">
        <f t="shared" si="92"/>
        <v>Adult Fiction</v>
      </c>
      <c r="B646" t="str">
        <f>"NEW F OBRIE"</f>
        <v>NEW F OBRIE</v>
      </c>
      <c r="C646" t="s">
        <v>2808</v>
      </c>
      <c r="D646">
        <v>358378</v>
      </c>
      <c r="E646" t="str">
        <f>"O'Brien, Edna"</f>
        <v>O'Brien, Edna</v>
      </c>
      <c r="G646" t="str">
        <f>"230 pages, 22 cm"</f>
        <v>230 pages, 22 cm</v>
      </c>
      <c r="H646" s="1">
        <v>19</v>
      </c>
      <c r="I646">
        <v>2019</v>
      </c>
      <c r="J646" t="str">
        <f t="shared" si="93"/>
        <v>2: Fiction</v>
      </c>
      <c r="L646" t="s">
        <v>2395</v>
      </c>
      <c r="M646" t="s">
        <v>28</v>
      </c>
      <c r="N646" t="s">
        <v>2396</v>
      </c>
      <c r="O646">
        <v>6</v>
      </c>
      <c r="P646" s="2">
        <v>43749</v>
      </c>
      <c r="Q646" s="1">
        <v>31</v>
      </c>
      <c r="R646" t="s">
        <v>2809</v>
      </c>
      <c r="S646">
        <v>1082561815</v>
      </c>
    </row>
    <row r="647" spans="1:19" x14ac:dyDescent="0.2">
      <c r="A647" t="str">
        <f t="shared" ref="A647:A710" si="94">"Adult Fiction"</f>
        <v>Adult Fiction</v>
      </c>
      <c r="B647" t="str">
        <f>"NEW F OCAMP"</f>
        <v>NEW F OCAMP</v>
      </c>
      <c r="C647" t="str">
        <f>"Forgotten journey"</f>
        <v>Forgotten journey</v>
      </c>
      <c r="D647">
        <v>358816</v>
      </c>
      <c r="E647" t="str">
        <f>"Ocampo, Silvina"</f>
        <v>Ocampo, Silvina</v>
      </c>
      <c r="G647" t="str">
        <f>"xvii, 125 pages, 18 cm"</f>
        <v>xvii, 125 pages, 18 cm</v>
      </c>
      <c r="H647" s="1">
        <v>19</v>
      </c>
      <c r="I647">
        <v>2019</v>
      </c>
      <c r="J647" t="str">
        <f t="shared" si="93"/>
        <v>2: Fiction</v>
      </c>
      <c r="L647" t="s">
        <v>2395</v>
      </c>
      <c r="M647" t="s">
        <v>28</v>
      </c>
      <c r="N647" t="s">
        <v>2396</v>
      </c>
      <c r="O647">
        <v>0</v>
      </c>
      <c r="P647" s="2">
        <v>43766</v>
      </c>
      <c r="Q647" s="1">
        <v>20</v>
      </c>
      <c r="R647" t="s">
        <v>2810</v>
      </c>
      <c r="S647">
        <v>1125037916</v>
      </c>
    </row>
    <row r="648" spans="1:19" x14ac:dyDescent="0.2">
      <c r="A648" t="str">
        <f t="shared" si="94"/>
        <v>Adult Fiction</v>
      </c>
      <c r="B648" t="str">
        <f>"NEW F ODOEV"</f>
        <v>NEW F ODOEV</v>
      </c>
      <c r="C648" t="s">
        <v>2811</v>
      </c>
      <c r="D648">
        <v>359084</v>
      </c>
      <c r="E648" t="str">
        <f>"Odoevtseva, Irena."</f>
        <v>Odoevtseva, Irena.</v>
      </c>
      <c r="G648" t="str">
        <f>"313 p."</f>
        <v>313 p.</v>
      </c>
      <c r="H648" s="1">
        <v>19</v>
      </c>
      <c r="I648">
        <v>2019</v>
      </c>
      <c r="J648" t="str">
        <f t="shared" si="93"/>
        <v>2: Fiction</v>
      </c>
      <c r="L648" t="s">
        <v>2395</v>
      </c>
      <c r="M648" t="s">
        <v>28</v>
      </c>
      <c r="N648" t="s">
        <v>2404</v>
      </c>
      <c r="O648">
        <v>1</v>
      </c>
      <c r="P648" s="2">
        <v>43776</v>
      </c>
      <c r="Q648" s="1">
        <v>23</v>
      </c>
      <c r="R648" t="s">
        <v>2812</v>
      </c>
      <c r="S648">
        <v>1081254993</v>
      </c>
    </row>
    <row r="649" spans="1:19" x14ac:dyDescent="0.2">
      <c r="A649" t="str">
        <f t="shared" si="94"/>
        <v>Adult Fiction</v>
      </c>
      <c r="B649" t="str">
        <f>"NEW F OGAWA"</f>
        <v>NEW F OGAWA</v>
      </c>
      <c r="C649" t="str">
        <f>"The memory police"</f>
        <v>The memory police</v>
      </c>
      <c r="D649">
        <v>358711</v>
      </c>
      <c r="E649" t="str">
        <f>"Ogawa, Yoko"</f>
        <v>Ogawa, Yoko</v>
      </c>
      <c r="G649" t="str">
        <f>"274 pages, 22 cm"</f>
        <v>274 pages, 22 cm</v>
      </c>
      <c r="H649" s="1">
        <v>19</v>
      </c>
      <c r="I649">
        <v>2019</v>
      </c>
      <c r="J649" t="str">
        <f t="shared" si="93"/>
        <v>2: Fiction</v>
      </c>
      <c r="L649" t="s">
        <v>2395</v>
      </c>
      <c r="M649" t="s">
        <v>28</v>
      </c>
      <c r="N649" t="s">
        <v>2404</v>
      </c>
      <c r="O649">
        <v>4</v>
      </c>
      <c r="P649" s="2">
        <v>43762</v>
      </c>
      <c r="Q649" s="1">
        <v>31</v>
      </c>
      <c r="R649" t="s">
        <v>2813</v>
      </c>
      <c r="S649">
        <v>1080554306</v>
      </c>
    </row>
    <row r="650" spans="1:19" x14ac:dyDescent="0.2">
      <c r="A650" t="str">
        <f t="shared" si="94"/>
        <v>Adult Fiction</v>
      </c>
      <c r="B650" t="str">
        <f>"NEW F OLAFS"</f>
        <v>NEW F OLAFS</v>
      </c>
      <c r="C650" t="str">
        <f>"The sacrament"</f>
        <v>The sacrament</v>
      </c>
      <c r="D650">
        <v>359770</v>
      </c>
      <c r="G650" t="str">
        <f>"292 pages, 24 cm"</f>
        <v>292 pages, 24 cm</v>
      </c>
      <c r="H650" s="1">
        <v>19</v>
      </c>
      <c r="I650">
        <v>2019</v>
      </c>
      <c r="J650" t="str">
        <f t="shared" si="93"/>
        <v>2: Fiction</v>
      </c>
      <c r="L650" t="s">
        <v>2395</v>
      </c>
      <c r="M650" t="s">
        <v>28</v>
      </c>
      <c r="N650" t="s">
        <v>2404</v>
      </c>
      <c r="O650">
        <v>5</v>
      </c>
      <c r="P650" s="2">
        <v>43811</v>
      </c>
      <c r="Q650" s="1">
        <v>32</v>
      </c>
      <c r="R650" t="s">
        <v>2814</v>
      </c>
      <c r="S650">
        <v>1089487828</v>
      </c>
    </row>
    <row r="651" spans="1:19" x14ac:dyDescent="0.2">
      <c r="A651" t="str">
        <f t="shared" si="94"/>
        <v>Adult Fiction</v>
      </c>
      <c r="B651" t="str">
        <f>"NEW F OLAFS"</f>
        <v>NEW F OLAFS</v>
      </c>
      <c r="C651" t="str">
        <f>"The sacrament"</f>
        <v>The sacrament</v>
      </c>
      <c r="D651">
        <v>360014</v>
      </c>
      <c r="G651" t="str">
        <f>"292 pages, 24 cm"</f>
        <v>292 pages, 24 cm</v>
      </c>
      <c r="H651" s="1">
        <v>19</v>
      </c>
      <c r="I651">
        <v>2019</v>
      </c>
      <c r="J651" t="str">
        <f t="shared" si="93"/>
        <v>2: Fiction</v>
      </c>
      <c r="L651" t="s">
        <v>2395</v>
      </c>
      <c r="M651" t="s">
        <v>28</v>
      </c>
      <c r="N651" t="s">
        <v>2404</v>
      </c>
      <c r="O651">
        <v>2</v>
      </c>
      <c r="P651" s="2">
        <v>43826</v>
      </c>
      <c r="Q651" s="1">
        <v>32</v>
      </c>
      <c r="R651" t="s">
        <v>2814</v>
      </c>
      <c r="S651">
        <v>1089487828</v>
      </c>
    </row>
    <row r="652" spans="1:19" x14ac:dyDescent="0.2">
      <c r="A652" t="str">
        <f t="shared" si="94"/>
        <v>Adult Fiction</v>
      </c>
      <c r="B652" t="str">
        <f>"NEW F OLDER"</f>
        <v>NEW F OLDER</v>
      </c>
      <c r="C652" t="str">
        <f>"The book of lost saints"</f>
        <v>The book of lost saints</v>
      </c>
      <c r="D652">
        <v>359005</v>
      </c>
      <c r="E652" t="str">
        <f>"Older, Daniel Jos�,"</f>
        <v>Older, Daniel Jos�,</v>
      </c>
      <c r="G652" t="str">
        <f>"327 p., 24 cm"</f>
        <v>327 p., 24 cm</v>
      </c>
      <c r="H652" s="1">
        <v>19</v>
      </c>
      <c r="I652">
        <v>2019</v>
      </c>
      <c r="J652" t="str">
        <f t="shared" si="93"/>
        <v>2: Fiction</v>
      </c>
      <c r="L652" t="s">
        <v>2403</v>
      </c>
      <c r="M652" t="s">
        <v>28</v>
      </c>
      <c r="N652" t="s">
        <v>2396</v>
      </c>
      <c r="O652">
        <v>1</v>
      </c>
      <c r="P652" s="2">
        <v>43776</v>
      </c>
      <c r="Q652" s="1">
        <v>32</v>
      </c>
      <c r="R652" t="s">
        <v>2815</v>
      </c>
      <c r="S652">
        <v>1084644510</v>
      </c>
    </row>
    <row r="653" spans="1:19" x14ac:dyDescent="0.2">
      <c r="A653" t="str">
        <f t="shared" si="94"/>
        <v>Adult Fiction</v>
      </c>
      <c r="B653" t="str">
        <f>"NEW F OLEAR"</f>
        <v>NEW F OLEAR</v>
      </c>
      <c r="C653" t="str">
        <f>"The flatshare"</f>
        <v>The flatshare</v>
      </c>
      <c r="D653">
        <v>355055</v>
      </c>
      <c r="E653" t="str">
        <f>"O'Leary, Beth"</f>
        <v>O'Leary, Beth</v>
      </c>
      <c r="G653" t="str">
        <f>"328 pages, 25 cm"</f>
        <v>328 pages, 25 cm</v>
      </c>
      <c r="H653" s="1">
        <v>19</v>
      </c>
      <c r="I653">
        <v>2019</v>
      </c>
      <c r="J653" t="str">
        <f t="shared" si="93"/>
        <v>2: Fiction</v>
      </c>
      <c r="L653" t="s">
        <v>2395</v>
      </c>
      <c r="M653" t="s">
        <v>28</v>
      </c>
      <c r="N653" t="s">
        <v>2404</v>
      </c>
      <c r="O653">
        <v>9</v>
      </c>
      <c r="P653" s="2">
        <v>43613</v>
      </c>
      <c r="Q653" s="1">
        <v>32</v>
      </c>
      <c r="R653" t="s">
        <v>2816</v>
      </c>
      <c r="S653">
        <v>1048945318</v>
      </c>
    </row>
    <row r="654" spans="1:19" x14ac:dyDescent="0.2">
      <c r="A654" t="str">
        <f t="shared" si="94"/>
        <v>Adult Fiction</v>
      </c>
      <c r="B654" t="str">
        <f>"NEW F OLSEN"</f>
        <v>NEW F OLSEN</v>
      </c>
      <c r="C654" t="str">
        <f>"Lying next to me"</f>
        <v>Lying next to me</v>
      </c>
      <c r="D654">
        <v>357301</v>
      </c>
      <c r="E654" t="str">
        <f>"Olsen, Gregg"</f>
        <v>Olsen, Gregg</v>
      </c>
      <c r="G654" t="str">
        <f>"381 pages, 21 cm"</f>
        <v>381 pages, 21 cm</v>
      </c>
      <c r="H654" s="1">
        <v>19</v>
      </c>
      <c r="I654">
        <v>2019</v>
      </c>
      <c r="J654" t="str">
        <f t="shared" si="93"/>
        <v>2: Fiction</v>
      </c>
      <c r="L654" t="s">
        <v>2403</v>
      </c>
      <c r="M654" t="s">
        <v>28</v>
      </c>
      <c r="N654" t="s">
        <v>2404</v>
      </c>
      <c r="O654">
        <v>9</v>
      </c>
      <c r="P654" s="2">
        <v>43711</v>
      </c>
      <c r="Q654" s="1">
        <v>21</v>
      </c>
      <c r="R654" t="s">
        <v>2817</v>
      </c>
      <c r="S654">
        <v>1082411868</v>
      </c>
    </row>
    <row r="655" spans="1:19" x14ac:dyDescent="0.2">
      <c r="A655" t="str">
        <f t="shared" si="94"/>
        <v>Adult Fiction</v>
      </c>
      <c r="B655" t="str">
        <f>"NEW F OREGA"</f>
        <v>NEW F OREGA</v>
      </c>
      <c r="C655" t="str">
        <f>"Wonderland: an anthology"</f>
        <v>Wonderland: an anthology</v>
      </c>
      <c r="D655">
        <v>357630</v>
      </c>
      <c r="E655" t="str">
        <f>"O'Regan, Marie."</f>
        <v>O'Regan, Marie.</v>
      </c>
      <c r="G655" t="str">
        <f>"363 p."</f>
        <v>363 p.</v>
      </c>
      <c r="H655" s="1">
        <v>19</v>
      </c>
      <c r="I655">
        <v>2019</v>
      </c>
      <c r="J655" t="str">
        <f t="shared" si="93"/>
        <v>2: Fiction</v>
      </c>
      <c r="L655" t="s">
        <v>2395</v>
      </c>
      <c r="M655" t="s">
        <v>28</v>
      </c>
      <c r="N655" t="s">
        <v>2404</v>
      </c>
      <c r="O655">
        <v>4</v>
      </c>
      <c r="P655" s="2">
        <v>43725</v>
      </c>
      <c r="Q655" s="1">
        <v>20</v>
      </c>
      <c r="R655" t="s">
        <v>2818</v>
      </c>
    </row>
    <row r="656" spans="1:19" x14ac:dyDescent="0.2">
      <c r="A656" t="str">
        <f t="shared" si="94"/>
        <v>Adult Fiction</v>
      </c>
      <c r="B656" t="str">
        <f t="shared" ref="B656:B661" si="95">"NEW F OWENS"</f>
        <v>NEW F OWENS</v>
      </c>
      <c r="C656" t="str">
        <f t="shared" ref="C656:C661" si="96">"Where the crawdads sing"</f>
        <v>Where the crawdads sing</v>
      </c>
      <c r="D656">
        <v>404504</v>
      </c>
      <c r="E656" t="str">
        <f t="shared" ref="E656:E661" si="97">"Owens, Delia"</f>
        <v>Owens, Delia</v>
      </c>
      <c r="G656" t="str">
        <f t="shared" ref="G656:G661" si="98">"368 p."</f>
        <v>368 p.</v>
      </c>
      <c r="H656" s="1">
        <v>19</v>
      </c>
      <c r="I656">
        <v>2018</v>
      </c>
      <c r="J656" t="str">
        <f t="shared" si="93"/>
        <v>2: Fiction</v>
      </c>
      <c r="L656" t="s">
        <v>2395</v>
      </c>
      <c r="M656" t="s">
        <v>28</v>
      </c>
      <c r="N656" t="s">
        <v>2404</v>
      </c>
      <c r="O656">
        <v>22</v>
      </c>
      <c r="P656" s="2">
        <v>43489</v>
      </c>
      <c r="Q656" s="1">
        <v>31</v>
      </c>
      <c r="R656" t="s">
        <v>2819</v>
      </c>
      <c r="S656">
        <v>1016305674</v>
      </c>
    </row>
    <row r="657" spans="1:19" x14ac:dyDescent="0.2">
      <c r="A657" t="str">
        <f t="shared" si="94"/>
        <v>Adult Fiction</v>
      </c>
      <c r="B657" t="str">
        <f t="shared" si="95"/>
        <v>NEW F OWENS</v>
      </c>
      <c r="C657" t="str">
        <f t="shared" si="96"/>
        <v>Where the crawdads sing</v>
      </c>
      <c r="D657">
        <v>404505</v>
      </c>
      <c r="E657" t="str">
        <f t="shared" si="97"/>
        <v>Owens, Delia</v>
      </c>
      <c r="G657" t="str">
        <f t="shared" si="98"/>
        <v>368 p.</v>
      </c>
      <c r="H657" s="1">
        <v>19</v>
      </c>
      <c r="I657">
        <v>2018</v>
      </c>
      <c r="J657" t="str">
        <f t="shared" si="93"/>
        <v>2: Fiction</v>
      </c>
      <c r="L657" t="s">
        <v>2395</v>
      </c>
      <c r="M657" t="s">
        <v>28</v>
      </c>
      <c r="N657" t="s">
        <v>2404</v>
      </c>
      <c r="O657">
        <v>24</v>
      </c>
      <c r="P657" s="2">
        <v>43489</v>
      </c>
      <c r="Q657" s="1">
        <v>31</v>
      </c>
      <c r="R657" t="s">
        <v>2819</v>
      </c>
      <c r="S657">
        <v>1016305674</v>
      </c>
    </row>
    <row r="658" spans="1:19" x14ac:dyDescent="0.2">
      <c r="A658" t="str">
        <f t="shared" si="94"/>
        <v>Adult Fiction</v>
      </c>
      <c r="B658" t="str">
        <f t="shared" si="95"/>
        <v>NEW F OWENS</v>
      </c>
      <c r="C658" t="str">
        <f t="shared" si="96"/>
        <v>Where the crawdads sing</v>
      </c>
      <c r="D658">
        <v>404506</v>
      </c>
      <c r="E658" t="str">
        <f t="shared" si="97"/>
        <v>Owens, Delia</v>
      </c>
      <c r="G658" t="str">
        <f t="shared" si="98"/>
        <v>368 p.</v>
      </c>
      <c r="H658" s="1">
        <v>19</v>
      </c>
      <c r="I658">
        <v>2018</v>
      </c>
      <c r="J658" t="str">
        <f t="shared" si="93"/>
        <v>2: Fiction</v>
      </c>
      <c r="L658" t="s">
        <v>2395</v>
      </c>
      <c r="M658" t="s">
        <v>28</v>
      </c>
      <c r="N658" t="str">
        <f>"Reserve Cart"</f>
        <v>Reserve Cart</v>
      </c>
      <c r="O658">
        <v>21</v>
      </c>
      <c r="P658" s="2">
        <v>43489</v>
      </c>
      <c r="Q658" s="1">
        <v>31</v>
      </c>
      <c r="R658" t="s">
        <v>2819</v>
      </c>
      <c r="S658">
        <v>1016305674</v>
      </c>
    </row>
    <row r="659" spans="1:19" x14ac:dyDescent="0.2">
      <c r="A659" t="str">
        <f t="shared" si="94"/>
        <v>Adult Fiction</v>
      </c>
      <c r="B659" t="str">
        <f t="shared" si="95"/>
        <v>NEW F OWENS</v>
      </c>
      <c r="C659" t="str">
        <f t="shared" si="96"/>
        <v>Where the crawdads sing</v>
      </c>
      <c r="D659">
        <v>404586</v>
      </c>
      <c r="E659" t="str">
        <f t="shared" si="97"/>
        <v>Owens, Delia</v>
      </c>
      <c r="G659" t="str">
        <f t="shared" si="98"/>
        <v>368 p.</v>
      </c>
      <c r="H659" s="1">
        <v>19</v>
      </c>
      <c r="I659">
        <v>2018</v>
      </c>
      <c r="J659" t="str">
        <f t="shared" si="93"/>
        <v>2: Fiction</v>
      </c>
      <c r="L659" t="s">
        <v>2395</v>
      </c>
      <c r="M659" t="s">
        <v>28</v>
      </c>
      <c r="N659" t="s">
        <v>2404</v>
      </c>
      <c r="O659">
        <v>25</v>
      </c>
      <c r="P659" s="2">
        <v>43494</v>
      </c>
      <c r="Q659" s="1">
        <v>31</v>
      </c>
      <c r="R659" t="s">
        <v>2819</v>
      </c>
      <c r="S659">
        <v>1016305674</v>
      </c>
    </row>
    <row r="660" spans="1:19" x14ac:dyDescent="0.2">
      <c r="A660" t="str">
        <f t="shared" si="94"/>
        <v>Adult Fiction</v>
      </c>
      <c r="B660" t="str">
        <f t="shared" si="95"/>
        <v>NEW F OWENS</v>
      </c>
      <c r="C660" t="str">
        <f t="shared" si="96"/>
        <v>Where the crawdads sing</v>
      </c>
      <c r="D660">
        <v>353612</v>
      </c>
      <c r="E660" t="str">
        <f t="shared" si="97"/>
        <v>Owens, Delia</v>
      </c>
      <c r="G660" t="str">
        <f t="shared" si="98"/>
        <v>368 p.</v>
      </c>
      <c r="H660" s="1">
        <v>19</v>
      </c>
      <c r="I660">
        <v>2018</v>
      </c>
      <c r="J660" t="str">
        <f t="shared" si="93"/>
        <v>2: Fiction</v>
      </c>
      <c r="L660" t="s">
        <v>2395</v>
      </c>
      <c r="M660" t="s">
        <v>28</v>
      </c>
      <c r="N660" t="s">
        <v>2404</v>
      </c>
      <c r="O660">
        <v>19</v>
      </c>
      <c r="P660" s="2">
        <v>43542</v>
      </c>
      <c r="Q660" s="1">
        <v>31</v>
      </c>
      <c r="R660" t="s">
        <v>2819</v>
      </c>
      <c r="S660">
        <v>1016305674</v>
      </c>
    </row>
    <row r="661" spans="1:19" x14ac:dyDescent="0.2">
      <c r="A661" t="str">
        <f t="shared" si="94"/>
        <v>Adult Fiction</v>
      </c>
      <c r="B661" t="str">
        <f t="shared" si="95"/>
        <v>NEW F OWENS</v>
      </c>
      <c r="C661" t="str">
        <f t="shared" si="96"/>
        <v>Where the crawdads sing</v>
      </c>
      <c r="D661">
        <v>353760</v>
      </c>
      <c r="E661" t="str">
        <f t="shared" si="97"/>
        <v>Owens, Delia</v>
      </c>
      <c r="G661" t="str">
        <f t="shared" si="98"/>
        <v>368 p.</v>
      </c>
      <c r="H661" s="1">
        <v>19</v>
      </c>
      <c r="I661">
        <v>2018</v>
      </c>
      <c r="J661" t="str">
        <f t="shared" si="93"/>
        <v>2: Fiction</v>
      </c>
      <c r="L661" t="s">
        <v>2395</v>
      </c>
      <c r="M661" t="s">
        <v>28</v>
      </c>
      <c r="N661" t="s">
        <v>2404</v>
      </c>
      <c r="O661">
        <v>18</v>
      </c>
      <c r="P661" s="2">
        <v>43549</v>
      </c>
      <c r="Q661" s="1">
        <v>31</v>
      </c>
      <c r="R661" t="s">
        <v>2819</v>
      </c>
      <c r="S661">
        <v>1016305674</v>
      </c>
    </row>
    <row r="662" spans="1:19" x14ac:dyDescent="0.2">
      <c r="A662" t="str">
        <f t="shared" si="94"/>
        <v>Adult Fiction</v>
      </c>
      <c r="B662" t="str">
        <f>"NEW F OYAMA"</f>
        <v>NEW F OYAMA</v>
      </c>
      <c r="C662" t="str">
        <f>"The factory"</f>
        <v>The factory</v>
      </c>
      <c r="D662">
        <v>358908</v>
      </c>
      <c r="E662" t="str">
        <f>"Oyamada, Hiroko,"</f>
        <v>Oyamada, Hiroko,</v>
      </c>
      <c r="G662" t="str">
        <f>"116 pages, 21 cm"</f>
        <v>116 pages, 21 cm</v>
      </c>
      <c r="H662" s="1">
        <v>19</v>
      </c>
      <c r="I662">
        <v>2019</v>
      </c>
      <c r="J662" t="str">
        <f t="shared" si="93"/>
        <v>2: Fiction</v>
      </c>
      <c r="L662" t="s">
        <v>2395</v>
      </c>
      <c r="M662" t="s">
        <v>28</v>
      </c>
      <c r="N662" t="s">
        <v>2404</v>
      </c>
      <c r="O662">
        <v>3</v>
      </c>
      <c r="P662" s="2">
        <v>43769</v>
      </c>
      <c r="Q662" s="1">
        <v>19</v>
      </c>
      <c r="R662" t="s">
        <v>2820</v>
      </c>
      <c r="S662">
        <v>1124792112</v>
      </c>
    </row>
    <row r="663" spans="1:19" x14ac:dyDescent="0.2">
      <c r="A663" t="str">
        <f t="shared" si="94"/>
        <v>Adult Fiction</v>
      </c>
      <c r="B663" t="str">
        <f>"NEW F PALME"</f>
        <v>NEW F PALME</v>
      </c>
      <c r="C663" t="str">
        <f>"Wyoming heart"</f>
        <v>Wyoming heart</v>
      </c>
      <c r="D663">
        <v>358818</v>
      </c>
      <c r="E663" t="str">
        <f>"Palmer, Diana"</f>
        <v>Palmer, Diana</v>
      </c>
      <c r="H663" s="1">
        <v>19</v>
      </c>
      <c r="I663">
        <v>2019</v>
      </c>
      <c r="J663" t="str">
        <f t="shared" si="93"/>
        <v>2: Fiction</v>
      </c>
      <c r="L663" t="s">
        <v>2403</v>
      </c>
      <c r="M663" t="s">
        <v>28</v>
      </c>
      <c r="N663" t="s">
        <v>2396</v>
      </c>
      <c r="O663">
        <v>8</v>
      </c>
      <c r="P663" s="2">
        <v>43766</v>
      </c>
      <c r="Q663" s="1">
        <v>33</v>
      </c>
      <c r="R663" t="s">
        <v>2821</v>
      </c>
      <c r="S663">
        <v>1099438788</v>
      </c>
    </row>
    <row r="664" spans="1:19" x14ac:dyDescent="0.2">
      <c r="A664" t="str">
        <f t="shared" si="94"/>
        <v>Adult Fiction</v>
      </c>
      <c r="B664" t="str">
        <f>"NEW F PALME"</f>
        <v>NEW F PALME</v>
      </c>
      <c r="C664" t="str">
        <f>"Wyoming heart"</f>
        <v>Wyoming heart</v>
      </c>
      <c r="D664">
        <v>358819</v>
      </c>
      <c r="E664" t="str">
        <f>"Palmer, Diana"</f>
        <v>Palmer, Diana</v>
      </c>
      <c r="H664" s="1">
        <v>19</v>
      </c>
      <c r="I664">
        <v>2019</v>
      </c>
      <c r="J664" t="str">
        <f t="shared" si="93"/>
        <v>2: Fiction</v>
      </c>
      <c r="L664" t="s">
        <v>2395</v>
      </c>
      <c r="M664" t="s">
        <v>28</v>
      </c>
      <c r="N664" t="s">
        <v>2404</v>
      </c>
      <c r="O664">
        <v>6</v>
      </c>
      <c r="P664" s="2">
        <v>43766</v>
      </c>
      <c r="Q664" s="1">
        <v>33</v>
      </c>
      <c r="R664" t="s">
        <v>2821</v>
      </c>
      <c r="S664">
        <v>1099438788</v>
      </c>
    </row>
    <row r="665" spans="1:19" x14ac:dyDescent="0.2">
      <c r="A665" t="str">
        <f t="shared" si="94"/>
        <v>Adult Fiction</v>
      </c>
      <c r="B665" t="str">
        <f>"NEW F PARKE"</f>
        <v>NEW F PARKE</v>
      </c>
      <c r="C665" t="str">
        <f>"Robert B. Parker's The bitterest pill"</f>
        <v>Robert B. Parker's The bitterest pill</v>
      </c>
      <c r="D665">
        <v>358559</v>
      </c>
      <c r="E665" t="str">
        <f>"Coleman, Reed Farrel,"</f>
        <v>Coleman, Reed Farrel,</v>
      </c>
      <c r="F665" t="str">
        <f>"Jesse Stone Mystery series (18)"</f>
        <v>Jesse Stone Mystery series (18)</v>
      </c>
      <c r="G665" t="str">
        <f>"352 pages, 24 cm"</f>
        <v>352 pages, 24 cm</v>
      </c>
      <c r="H665" s="1">
        <v>19</v>
      </c>
      <c r="I665">
        <v>2019</v>
      </c>
      <c r="J665" t="str">
        <f t="shared" si="93"/>
        <v>2: Fiction</v>
      </c>
      <c r="L665" t="s">
        <v>2395</v>
      </c>
      <c r="M665" t="s">
        <v>28</v>
      </c>
      <c r="N665" t="s">
        <v>2404</v>
      </c>
      <c r="O665">
        <v>5</v>
      </c>
      <c r="P665" s="2">
        <v>43756</v>
      </c>
      <c r="Q665" s="1">
        <v>32</v>
      </c>
      <c r="R665" t="s">
        <v>2822</v>
      </c>
      <c r="S665">
        <v>1080275101</v>
      </c>
    </row>
    <row r="666" spans="1:19" x14ac:dyDescent="0.2">
      <c r="A666" t="str">
        <f t="shared" si="94"/>
        <v>Adult Fiction</v>
      </c>
      <c r="B666" t="str">
        <f>"NEW F PARKE"</f>
        <v>NEW F PARKE</v>
      </c>
      <c r="C666" t="str">
        <f>"Robert B. Parker's The bitterest pill"</f>
        <v>Robert B. Parker's The bitterest pill</v>
      </c>
      <c r="D666">
        <v>359049</v>
      </c>
      <c r="E666" t="str">
        <f>"Coleman, Reed Farrel,"</f>
        <v>Coleman, Reed Farrel,</v>
      </c>
      <c r="F666" t="str">
        <f>"Jesse Stone Mystery series (18)"</f>
        <v>Jesse Stone Mystery series (18)</v>
      </c>
      <c r="G666" t="str">
        <f>"352 pages, 24 cm"</f>
        <v>352 pages, 24 cm</v>
      </c>
      <c r="H666" s="1">
        <v>19</v>
      </c>
      <c r="I666">
        <v>2019</v>
      </c>
      <c r="J666" t="str">
        <f t="shared" si="93"/>
        <v>2: Fiction</v>
      </c>
      <c r="L666" t="s">
        <v>2395</v>
      </c>
      <c r="M666" t="s">
        <v>28</v>
      </c>
      <c r="N666" t="s">
        <v>2404</v>
      </c>
      <c r="O666">
        <v>7</v>
      </c>
      <c r="P666" s="2">
        <v>43776</v>
      </c>
      <c r="Q666" s="1">
        <v>32</v>
      </c>
      <c r="R666" t="s">
        <v>2822</v>
      </c>
      <c r="S666">
        <v>1080275101</v>
      </c>
    </row>
    <row r="667" spans="1:19" x14ac:dyDescent="0.2">
      <c r="A667" t="str">
        <f t="shared" si="94"/>
        <v>Adult Fiction</v>
      </c>
      <c r="B667" t="str">
        <f>"NEW F PARKE"</f>
        <v>NEW F PARKE</v>
      </c>
      <c r="C667" t="str">
        <f>"Robert B. Parker's The bitterest pill"</f>
        <v>Robert B. Parker's The bitterest pill</v>
      </c>
      <c r="D667">
        <v>359050</v>
      </c>
      <c r="E667" t="str">
        <f>"Coleman, Reed Farrel,"</f>
        <v>Coleman, Reed Farrel,</v>
      </c>
      <c r="F667" t="str">
        <f>"Jesse Stone Mystery series (18)"</f>
        <v>Jesse Stone Mystery series (18)</v>
      </c>
      <c r="G667" t="str">
        <f>"352 pages, 24 cm"</f>
        <v>352 pages, 24 cm</v>
      </c>
      <c r="H667" s="1">
        <v>19</v>
      </c>
      <c r="I667">
        <v>2019</v>
      </c>
      <c r="J667" t="str">
        <f t="shared" si="93"/>
        <v>2: Fiction</v>
      </c>
      <c r="L667" t="s">
        <v>2395</v>
      </c>
      <c r="M667" t="s">
        <v>28</v>
      </c>
      <c r="N667" t="str">
        <f>"Reserve Cart"</f>
        <v>Reserve Cart</v>
      </c>
      <c r="O667">
        <v>5</v>
      </c>
      <c r="P667" s="2">
        <v>43776</v>
      </c>
      <c r="Q667" s="1">
        <v>32</v>
      </c>
      <c r="R667" t="s">
        <v>2822</v>
      </c>
      <c r="S667">
        <v>1080275101</v>
      </c>
    </row>
    <row r="668" spans="1:19" x14ac:dyDescent="0.2">
      <c r="A668" t="str">
        <f t="shared" si="94"/>
        <v>Adult Fiction</v>
      </c>
      <c r="B668" t="str">
        <f>"NEW F PARNE"</f>
        <v>NEW F PARNE</v>
      </c>
      <c r="C668" t="str">
        <f>"All out war"</f>
        <v>All out war</v>
      </c>
      <c r="D668">
        <v>357685</v>
      </c>
      <c r="E668" t="str">
        <f>"Parnell, Sean"</f>
        <v>Parnell, Sean</v>
      </c>
      <c r="G668" t="str">
        <f>"408 pages, 24 cm"</f>
        <v>408 pages, 24 cm</v>
      </c>
      <c r="H668" s="1">
        <v>19</v>
      </c>
      <c r="I668">
        <v>2019</v>
      </c>
      <c r="J668" t="str">
        <f t="shared" si="93"/>
        <v>2: Fiction</v>
      </c>
      <c r="L668" t="s">
        <v>2403</v>
      </c>
      <c r="M668" t="s">
        <v>28</v>
      </c>
      <c r="N668" t="s">
        <v>2404</v>
      </c>
      <c r="O668">
        <v>6</v>
      </c>
      <c r="P668" s="2">
        <v>43725</v>
      </c>
      <c r="Q668" s="1">
        <v>33</v>
      </c>
      <c r="R668" t="s">
        <v>2823</v>
      </c>
      <c r="S668">
        <v>1078431371</v>
      </c>
    </row>
    <row r="669" spans="1:19" x14ac:dyDescent="0.2">
      <c r="A669" t="str">
        <f t="shared" si="94"/>
        <v>Adult Fiction</v>
      </c>
      <c r="B669" t="str">
        <f>"NEW F PARSO"</f>
        <v>NEW F PARSO</v>
      </c>
      <c r="C669" t="str">
        <f>"Black light: stories"</f>
        <v>Black light: stories</v>
      </c>
      <c r="D669">
        <v>357273</v>
      </c>
      <c r="E669" t="str">
        <f>"Parsons, Kimberly King,"</f>
        <v>Parsons, Kimberly King,</v>
      </c>
      <c r="G669" t="str">
        <f>"211 pages, 20 cm"</f>
        <v>211 pages, 20 cm</v>
      </c>
      <c r="H669" s="1">
        <v>19</v>
      </c>
      <c r="I669">
        <v>2019</v>
      </c>
      <c r="J669" t="str">
        <f t="shared" si="93"/>
        <v>2: Fiction</v>
      </c>
      <c r="L669" t="s">
        <v>2395</v>
      </c>
      <c r="M669" t="s">
        <v>28</v>
      </c>
      <c r="N669" t="s">
        <v>2396</v>
      </c>
      <c r="O669">
        <v>0</v>
      </c>
      <c r="P669" s="2">
        <v>43711</v>
      </c>
      <c r="Q669" s="1">
        <v>20</v>
      </c>
      <c r="R669" t="s">
        <v>2824</v>
      </c>
      <c r="S669">
        <v>1109796738</v>
      </c>
    </row>
    <row r="670" spans="1:19" x14ac:dyDescent="0.2">
      <c r="A670" t="str">
        <f t="shared" si="94"/>
        <v>Adult Fiction</v>
      </c>
      <c r="B670" t="str">
        <f>"NEW F PARSO"</f>
        <v>NEW F PARSO</v>
      </c>
      <c r="C670" t="str">
        <f>"Black light: stories"</f>
        <v>Black light: stories</v>
      </c>
      <c r="D670">
        <v>357274</v>
      </c>
      <c r="E670" t="str">
        <f>"Parsons, Kimberly King,"</f>
        <v>Parsons, Kimberly King,</v>
      </c>
      <c r="G670" t="str">
        <f>"211 pages, 20 cm"</f>
        <v>211 pages, 20 cm</v>
      </c>
      <c r="H670" s="1">
        <v>19</v>
      </c>
      <c r="I670">
        <v>2019</v>
      </c>
      <c r="J670" t="str">
        <f t="shared" si="93"/>
        <v>2: Fiction</v>
      </c>
      <c r="L670" t="s">
        <v>2403</v>
      </c>
      <c r="M670" t="s">
        <v>28</v>
      </c>
      <c r="N670" t="s">
        <v>2396</v>
      </c>
      <c r="O670">
        <v>1</v>
      </c>
      <c r="P670" s="2">
        <v>43711</v>
      </c>
      <c r="Q670" s="1">
        <v>20</v>
      </c>
      <c r="R670" t="s">
        <v>2824</v>
      </c>
      <c r="S670">
        <v>1109796738</v>
      </c>
    </row>
    <row r="671" spans="1:19" x14ac:dyDescent="0.2">
      <c r="A671" t="str">
        <f t="shared" si="94"/>
        <v>Adult Fiction</v>
      </c>
      <c r="B671" t="str">
        <f t="shared" ref="B671:B681" si="99">"NEW F PATCH"</f>
        <v>NEW F PATCH</v>
      </c>
      <c r="C671" t="str">
        <f t="shared" ref="C671:C681" si="100">"The Dutch house: a novel"</f>
        <v>The Dutch house: a novel</v>
      </c>
      <c r="D671">
        <v>357854</v>
      </c>
      <c r="E671" t="str">
        <f t="shared" ref="E671:E681" si="101">"Patchett, Ann"</f>
        <v>Patchett, Ann</v>
      </c>
      <c r="G671" t="str">
        <f t="shared" ref="G671:G681" si="102">"337 pages, 24 cm"</f>
        <v>337 pages, 24 cm</v>
      </c>
      <c r="H671" s="1">
        <v>19</v>
      </c>
      <c r="I671">
        <v>2019</v>
      </c>
      <c r="J671" t="str">
        <f t="shared" si="93"/>
        <v>2: Fiction</v>
      </c>
      <c r="L671" t="s">
        <v>2395</v>
      </c>
      <c r="M671" t="s">
        <v>28</v>
      </c>
      <c r="N671" t="s">
        <v>2404</v>
      </c>
      <c r="O671">
        <v>9</v>
      </c>
      <c r="P671" s="2">
        <v>43731</v>
      </c>
      <c r="Q671" s="1">
        <v>33</v>
      </c>
      <c r="R671" t="s">
        <v>2825</v>
      </c>
      <c r="S671">
        <v>1090006765</v>
      </c>
    </row>
    <row r="672" spans="1:19" x14ac:dyDescent="0.2">
      <c r="A672" t="str">
        <f t="shared" si="94"/>
        <v>Adult Fiction</v>
      </c>
      <c r="B672" t="str">
        <f t="shared" si="99"/>
        <v>NEW F PATCH</v>
      </c>
      <c r="C672" t="str">
        <f t="shared" si="100"/>
        <v>The Dutch house: a novel</v>
      </c>
      <c r="D672">
        <v>357855</v>
      </c>
      <c r="E672" t="str">
        <f t="shared" si="101"/>
        <v>Patchett, Ann</v>
      </c>
      <c r="G672" t="str">
        <f t="shared" si="102"/>
        <v>337 pages, 24 cm</v>
      </c>
      <c r="H672" s="1">
        <v>19</v>
      </c>
      <c r="I672">
        <v>2019</v>
      </c>
      <c r="J672" t="str">
        <f t="shared" si="93"/>
        <v>2: Fiction</v>
      </c>
      <c r="L672" t="s">
        <v>2395</v>
      </c>
      <c r="M672" t="s">
        <v>28</v>
      </c>
      <c r="N672" t="s">
        <v>2404</v>
      </c>
      <c r="O672">
        <v>8</v>
      </c>
      <c r="P672" s="2">
        <v>43731</v>
      </c>
      <c r="Q672" s="1">
        <v>33</v>
      </c>
      <c r="R672" t="s">
        <v>2825</v>
      </c>
      <c r="S672">
        <v>1090006765</v>
      </c>
    </row>
    <row r="673" spans="1:19" x14ac:dyDescent="0.2">
      <c r="A673" t="str">
        <f t="shared" si="94"/>
        <v>Adult Fiction</v>
      </c>
      <c r="B673" t="str">
        <f t="shared" si="99"/>
        <v>NEW F PATCH</v>
      </c>
      <c r="C673" t="str">
        <f t="shared" si="100"/>
        <v>The Dutch house: a novel</v>
      </c>
      <c r="D673">
        <v>357856</v>
      </c>
      <c r="E673" t="str">
        <f t="shared" si="101"/>
        <v>Patchett, Ann</v>
      </c>
      <c r="G673" t="str">
        <f t="shared" si="102"/>
        <v>337 pages, 24 cm</v>
      </c>
      <c r="H673" s="1">
        <v>19</v>
      </c>
      <c r="I673">
        <v>2019</v>
      </c>
      <c r="J673" t="str">
        <f t="shared" si="93"/>
        <v>2: Fiction</v>
      </c>
      <c r="L673" t="s">
        <v>2403</v>
      </c>
      <c r="M673" t="s">
        <v>28</v>
      </c>
      <c r="N673" t="s">
        <v>2404</v>
      </c>
      <c r="O673">
        <v>11</v>
      </c>
      <c r="P673" s="2">
        <v>43731</v>
      </c>
      <c r="Q673" s="1">
        <v>33</v>
      </c>
      <c r="R673" t="s">
        <v>2825</v>
      </c>
      <c r="S673">
        <v>1090006765</v>
      </c>
    </row>
    <row r="674" spans="1:19" x14ac:dyDescent="0.2">
      <c r="A674" t="str">
        <f t="shared" si="94"/>
        <v>Adult Fiction</v>
      </c>
      <c r="B674" t="str">
        <f t="shared" si="99"/>
        <v>NEW F PATCH</v>
      </c>
      <c r="C674" t="str">
        <f t="shared" si="100"/>
        <v>The Dutch house: a novel</v>
      </c>
      <c r="D674">
        <v>357857</v>
      </c>
      <c r="E674" t="str">
        <f t="shared" si="101"/>
        <v>Patchett, Ann</v>
      </c>
      <c r="G674" t="str">
        <f t="shared" si="102"/>
        <v>337 pages, 24 cm</v>
      </c>
      <c r="H674" s="1">
        <v>19</v>
      </c>
      <c r="I674">
        <v>2019</v>
      </c>
      <c r="J674" t="str">
        <f t="shared" si="93"/>
        <v>2: Fiction</v>
      </c>
      <c r="L674" t="s">
        <v>2395</v>
      </c>
      <c r="M674" t="s">
        <v>28</v>
      </c>
      <c r="N674" t="s">
        <v>2404</v>
      </c>
      <c r="O674">
        <v>8</v>
      </c>
      <c r="P674" s="2">
        <v>43731</v>
      </c>
      <c r="Q674" s="1">
        <v>33</v>
      </c>
      <c r="R674" t="s">
        <v>2825</v>
      </c>
      <c r="S674">
        <v>1090006765</v>
      </c>
    </row>
    <row r="675" spans="1:19" x14ac:dyDescent="0.2">
      <c r="A675" t="str">
        <f t="shared" si="94"/>
        <v>Adult Fiction</v>
      </c>
      <c r="B675" t="str">
        <f t="shared" si="99"/>
        <v>NEW F PATCH</v>
      </c>
      <c r="C675" t="str">
        <f t="shared" si="100"/>
        <v>The Dutch house: a novel</v>
      </c>
      <c r="D675">
        <v>357858</v>
      </c>
      <c r="E675" t="str">
        <f t="shared" si="101"/>
        <v>Patchett, Ann</v>
      </c>
      <c r="G675" t="str">
        <f t="shared" si="102"/>
        <v>337 pages, 24 cm</v>
      </c>
      <c r="H675" s="1">
        <v>19</v>
      </c>
      <c r="I675">
        <v>2019</v>
      </c>
      <c r="J675" t="str">
        <f t="shared" si="93"/>
        <v>2: Fiction</v>
      </c>
      <c r="L675" t="s">
        <v>2395</v>
      </c>
      <c r="M675" t="s">
        <v>28</v>
      </c>
      <c r="N675" t="s">
        <v>2404</v>
      </c>
      <c r="O675">
        <v>6</v>
      </c>
      <c r="P675" s="2">
        <v>43731</v>
      </c>
      <c r="Q675" s="1">
        <v>33</v>
      </c>
      <c r="R675" t="s">
        <v>2825</v>
      </c>
      <c r="S675">
        <v>1090006765</v>
      </c>
    </row>
    <row r="676" spans="1:19" x14ac:dyDescent="0.2">
      <c r="A676" t="str">
        <f t="shared" si="94"/>
        <v>Adult Fiction</v>
      </c>
      <c r="B676" t="str">
        <f t="shared" si="99"/>
        <v>NEW F PATCH</v>
      </c>
      <c r="C676" t="str">
        <f t="shared" si="100"/>
        <v>The Dutch house: a novel</v>
      </c>
      <c r="D676">
        <v>357859</v>
      </c>
      <c r="E676" t="str">
        <f t="shared" si="101"/>
        <v>Patchett, Ann</v>
      </c>
      <c r="G676" t="str">
        <f t="shared" si="102"/>
        <v>337 pages, 24 cm</v>
      </c>
      <c r="H676" s="1">
        <v>19</v>
      </c>
      <c r="I676">
        <v>2019</v>
      </c>
      <c r="J676" t="str">
        <f t="shared" si="93"/>
        <v>2: Fiction</v>
      </c>
      <c r="L676" t="s">
        <v>2395</v>
      </c>
      <c r="M676" t="s">
        <v>28</v>
      </c>
      <c r="N676" t="s">
        <v>2404</v>
      </c>
      <c r="O676">
        <v>8</v>
      </c>
      <c r="P676" s="2">
        <v>43731</v>
      </c>
      <c r="Q676" s="1">
        <v>33</v>
      </c>
      <c r="R676" t="s">
        <v>2825</v>
      </c>
      <c r="S676">
        <v>1090006765</v>
      </c>
    </row>
    <row r="677" spans="1:19" x14ac:dyDescent="0.2">
      <c r="A677" t="str">
        <f t="shared" si="94"/>
        <v>Adult Fiction</v>
      </c>
      <c r="B677" t="str">
        <f t="shared" si="99"/>
        <v>NEW F PATCH</v>
      </c>
      <c r="C677" t="str">
        <f t="shared" si="100"/>
        <v>The Dutch house: a novel</v>
      </c>
      <c r="D677">
        <v>358685</v>
      </c>
      <c r="E677" t="str">
        <f t="shared" si="101"/>
        <v>Patchett, Ann</v>
      </c>
      <c r="G677" t="str">
        <f t="shared" si="102"/>
        <v>337 pages, 24 cm</v>
      </c>
      <c r="H677" s="1">
        <v>19</v>
      </c>
      <c r="I677">
        <v>2019</v>
      </c>
      <c r="J677" t="str">
        <f t="shared" si="93"/>
        <v>2: Fiction</v>
      </c>
      <c r="L677" t="s">
        <v>2395</v>
      </c>
      <c r="M677" t="s">
        <v>28</v>
      </c>
      <c r="N677" t="s">
        <v>2404</v>
      </c>
      <c r="O677">
        <v>7</v>
      </c>
      <c r="P677" s="2">
        <v>43762</v>
      </c>
      <c r="Q677" s="1">
        <v>33</v>
      </c>
      <c r="R677" t="s">
        <v>2825</v>
      </c>
      <c r="S677">
        <v>1090006765</v>
      </c>
    </row>
    <row r="678" spans="1:19" x14ac:dyDescent="0.2">
      <c r="A678" t="str">
        <f t="shared" si="94"/>
        <v>Adult Fiction</v>
      </c>
      <c r="B678" t="str">
        <f t="shared" si="99"/>
        <v>NEW F PATCH</v>
      </c>
      <c r="C678" t="str">
        <f t="shared" si="100"/>
        <v>The Dutch house: a novel</v>
      </c>
      <c r="D678">
        <v>358686</v>
      </c>
      <c r="E678" t="str">
        <f t="shared" si="101"/>
        <v>Patchett, Ann</v>
      </c>
      <c r="G678" t="str">
        <f t="shared" si="102"/>
        <v>337 pages, 24 cm</v>
      </c>
      <c r="H678" s="1">
        <v>19</v>
      </c>
      <c r="I678">
        <v>2019</v>
      </c>
      <c r="J678" t="str">
        <f t="shared" si="93"/>
        <v>2: Fiction</v>
      </c>
      <c r="L678" t="s">
        <v>2395</v>
      </c>
      <c r="M678" t="s">
        <v>28</v>
      </c>
      <c r="N678" t="s">
        <v>2404</v>
      </c>
      <c r="O678">
        <v>6</v>
      </c>
      <c r="P678" s="2">
        <v>43762</v>
      </c>
      <c r="Q678" s="1">
        <v>33</v>
      </c>
      <c r="R678" t="s">
        <v>2825</v>
      </c>
      <c r="S678">
        <v>1090006765</v>
      </c>
    </row>
    <row r="679" spans="1:19" x14ac:dyDescent="0.2">
      <c r="A679" t="str">
        <f t="shared" si="94"/>
        <v>Adult Fiction</v>
      </c>
      <c r="B679" t="str">
        <f t="shared" si="99"/>
        <v>NEW F PATCH</v>
      </c>
      <c r="C679" t="str">
        <f t="shared" si="100"/>
        <v>The Dutch house: a novel</v>
      </c>
      <c r="D679">
        <v>358687</v>
      </c>
      <c r="E679" t="str">
        <f t="shared" si="101"/>
        <v>Patchett, Ann</v>
      </c>
      <c r="G679" t="str">
        <f t="shared" si="102"/>
        <v>337 pages, 24 cm</v>
      </c>
      <c r="H679" s="1">
        <v>19</v>
      </c>
      <c r="I679">
        <v>2019</v>
      </c>
      <c r="J679" t="str">
        <f t="shared" si="93"/>
        <v>2: Fiction</v>
      </c>
      <c r="L679" t="s">
        <v>2395</v>
      </c>
      <c r="M679" t="s">
        <v>28</v>
      </c>
      <c r="N679" t="s">
        <v>2404</v>
      </c>
      <c r="O679">
        <v>5</v>
      </c>
      <c r="P679" s="2">
        <v>43762</v>
      </c>
      <c r="Q679" s="1">
        <v>33</v>
      </c>
      <c r="R679" t="s">
        <v>2825</v>
      </c>
      <c r="S679">
        <v>1090006765</v>
      </c>
    </row>
    <row r="680" spans="1:19" x14ac:dyDescent="0.2">
      <c r="A680" t="str">
        <f t="shared" si="94"/>
        <v>Adult Fiction</v>
      </c>
      <c r="B680" t="str">
        <f t="shared" si="99"/>
        <v>NEW F PATCH</v>
      </c>
      <c r="C680" t="str">
        <f t="shared" si="100"/>
        <v>The Dutch house: a novel</v>
      </c>
      <c r="D680">
        <v>359658</v>
      </c>
      <c r="E680" t="str">
        <f t="shared" si="101"/>
        <v>Patchett, Ann</v>
      </c>
      <c r="G680" t="str">
        <f t="shared" si="102"/>
        <v>337 pages, 24 cm</v>
      </c>
      <c r="H680" s="1">
        <v>19</v>
      </c>
      <c r="I680">
        <v>2019</v>
      </c>
      <c r="J680" t="str">
        <f t="shared" si="93"/>
        <v>2: Fiction</v>
      </c>
      <c r="L680" t="s">
        <v>2395</v>
      </c>
      <c r="M680" t="s">
        <v>28</v>
      </c>
      <c r="N680" t="s">
        <v>2404</v>
      </c>
      <c r="O680">
        <v>5</v>
      </c>
      <c r="P680" s="2">
        <v>43804</v>
      </c>
      <c r="Q680" s="1">
        <v>33</v>
      </c>
      <c r="R680" t="s">
        <v>2825</v>
      </c>
      <c r="S680">
        <v>1090006765</v>
      </c>
    </row>
    <row r="681" spans="1:19" x14ac:dyDescent="0.2">
      <c r="A681" t="str">
        <f t="shared" si="94"/>
        <v>Adult Fiction</v>
      </c>
      <c r="B681" t="str">
        <f t="shared" si="99"/>
        <v>NEW F PATCH</v>
      </c>
      <c r="C681" t="str">
        <f t="shared" si="100"/>
        <v>The Dutch house: a novel</v>
      </c>
      <c r="D681">
        <v>359659</v>
      </c>
      <c r="E681" t="str">
        <f t="shared" si="101"/>
        <v>Patchett, Ann</v>
      </c>
      <c r="G681" t="str">
        <f t="shared" si="102"/>
        <v>337 pages, 24 cm</v>
      </c>
      <c r="H681" s="1">
        <v>19</v>
      </c>
      <c r="I681">
        <v>2019</v>
      </c>
      <c r="J681" t="str">
        <f t="shared" si="93"/>
        <v>2: Fiction</v>
      </c>
      <c r="L681" t="s">
        <v>2403</v>
      </c>
      <c r="M681" t="s">
        <v>28</v>
      </c>
      <c r="N681" t="s">
        <v>2404</v>
      </c>
      <c r="O681">
        <v>4</v>
      </c>
      <c r="P681" s="2">
        <v>43804</v>
      </c>
      <c r="Q681" s="1">
        <v>33</v>
      </c>
      <c r="R681" t="s">
        <v>2825</v>
      </c>
      <c r="S681">
        <v>1090006765</v>
      </c>
    </row>
    <row r="682" spans="1:19" x14ac:dyDescent="0.2">
      <c r="A682" t="str">
        <f t="shared" si="94"/>
        <v>Adult Fiction</v>
      </c>
      <c r="B682" t="str">
        <f>"NEW F PATEL"</f>
        <v>NEW F PATEL</v>
      </c>
      <c r="C682" t="str">
        <f>"Silence of the Chagos"</f>
        <v>Silence of the Chagos</v>
      </c>
      <c r="D682">
        <v>359155</v>
      </c>
      <c r="E682" t="str">
        <f>"Patel, Shenaz,"</f>
        <v>Patel, Shenaz,</v>
      </c>
      <c r="G682" t="str">
        <f>"167 pages, 18 cm"</f>
        <v>167 pages, 18 cm</v>
      </c>
      <c r="H682" s="1">
        <v>19</v>
      </c>
      <c r="I682">
        <v>2019</v>
      </c>
      <c r="J682" t="str">
        <f t="shared" si="93"/>
        <v>2: Fiction</v>
      </c>
      <c r="L682" t="s">
        <v>2395</v>
      </c>
      <c r="M682" t="s">
        <v>28</v>
      </c>
      <c r="N682" t="s">
        <v>2404</v>
      </c>
      <c r="O682">
        <v>3</v>
      </c>
      <c r="P682" s="2">
        <v>43781</v>
      </c>
      <c r="Q682" s="1">
        <v>23</v>
      </c>
      <c r="R682" t="s">
        <v>2826</v>
      </c>
      <c r="S682">
        <v>1085216685</v>
      </c>
    </row>
    <row r="683" spans="1:19" x14ac:dyDescent="0.2">
      <c r="A683" t="str">
        <f t="shared" si="94"/>
        <v>Adult Fiction</v>
      </c>
      <c r="B683" t="str">
        <f t="shared" ref="B683:B710" si="103">"NEW F PATTE"</f>
        <v>NEW F PATTE</v>
      </c>
      <c r="C683" t="str">
        <f>"The 19th Christmas"</f>
        <v>The 19th Christmas</v>
      </c>
      <c r="D683">
        <v>358259</v>
      </c>
      <c r="E683" t="str">
        <f t="shared" ref="E683:E710" si="104">"Patterson, James"</f>
        <v>Patterson, James</v>
      </c>
      <c r="F683" t="str">
        <f>"Women's Murder Club series (19)"</f>
        <v>Women's Murder Club series (19)</v>
      </c>
      <c r="G683" t="str">
        <f>"v, 344, 15 pages, 25 cm"</f>
        <v>v, 344, 15 pages, 25 cm</v>
      </c>
      <c r="H683" s="1">
        <v>19</v>
      </c>
      <c r="I683">
        <v>2019</v>
      </c>
      <c r="J683" t="str">
        <f t="shared" si="93"/>
        <v>2: Fiction</v>
      </c>
      <c r="L683" t="s">
        <v>2403</v>
      </c>
      <c r="M683" t="s">
        <v>28</v>
      </c>
      <c r="N683" t="s">
        <v>2404</v>
      </c>
      <c r="O683">
        <v>10</v>
      </c>
      <c r="P683" s="2">
        <v>43745</v>
      </c>
      <c r="Q683" s="1">
        <v>34</v>
      </c>
      <c r="R683" t="s">
        <v>2827</v>
      </c>
      <c r="S683">
        <v>1120722308</v>
      </c>
    </row>
    <row r="684" spans="1:19" x14ac:dyDescent="0.2">
      <c r="A684" t="str">
        <f t="shared" si="94"/>
        <v>Adult Fiction</v>
      </c>
      <c r="B684" t="str">
        <f t="shared" si="103"/>
        <v>NEW F PATTE</v>
      </c>
      <c r="C684" t="str">
        <f>"The 19th Christmas"</f>
        <v>The 19th Christmas</v>
      </c>
      <c r="D684">
        <v>358260</v>
      </c>
      <c r="E684" t="str">
        <f t="shared" si="104"/>
        <v>Patterson, James</v>
      </c>
      <c r="F684" t="str">
        <f>"Women's Murder Club series (19)"</f>
        <v>Women's Murder Club series (19)</v>
      </c>
      <c r="G684" t="str">
        <f>"v, 344, 15 pages, 25 cm"</f>
        <v>v, 344, 15 pages, 25 cm</v>
      </c>
      <c r="H684" s="1">
        <v>19</v>
      </c>
      <c r="I684">
        <v>2019</v>
      </c>
      <c r="J684" t="str">
        <f t="shared" si="93"/>
        <v>2: Fiction</v>
      </c>
      <c r="L684" t="s">
        <v>2395</v>
      </c>
      <c r="M684" t="s">
        <v>28</v>
      </c>
      <c r="N684" t="s">
        <v>2404</v>
      </c>
      <c r="O684">
        <v>8</v>
      </c>
      <c r="P684" s="2">
        <v>43745</v>
      </c>
      <c r="Q684" s="1">
        <v>34</v>
      </c>
      <c r="R684" t="s">
        <v>2827</v>
      </c>
      <c r="S684">
        <v>1120722308</v>
      </c>
    </row>
    <row r="685" spans="1:19" x14ac:dyDescent="0.2">
      <c r="A685" t="str">
        <f t="shared" si="94"/>
        <v>Adult Fiction</v>
      </c>
      <c r="B685" t="str">
        <f t="shared" si="103"/>
        <v>NEW F PATTE</v>
      </c>
      <c r="C685" t="str">
        <f>"The 19th Christmas"</f>
        <v>The 19th Christmas</v>
      </c>
      <c r="D685">
        <v>358261</v>
      </c>
      <c r="E685" t="str">
        <f t="shared" si="104"/>
        <v>Patterson, James</v>
      </c>
      <c r="F685" t="str">
        <f>"Women's Murder Club series (19)"</f>
        <v>Women's Murder Club series (19)</v>
      </c>
      <c r="G685" t="str">
        <f>"v, 344, 15 pages, 25 cm"</f>
        <v>v, 344, 15 pages, 25 cm</v>
      </c>
      <c r="H685" s="1">
        <v>19</v>
      </c>
      <c r="I685">
        <v>2019</v>
      </c>
      <c r="J685" t="str">
        <f t="shared" si="93"/>
        <v>2: Fiction</v>
      </c>
      <c r="L685" t="s">
        <v>2395</v>
      </c>
      <c r="M685" t="s">
        <v>28</v>
      </c>
      <c r="N685" t="s">
        <v>2404</v>
      </c>
      <c r="O685">
        <v>7</v>
      </c>
      <c r="P685" s="2">
        <v>43745</v>
      </c>
      <c r="Q685" s="1">
        <v>34</v>
      </c>
      <c r="R685" t="s">
        <v>2827</v>
      </c>
      <c r="S685">
        <v>1120722308</v>
      </c>
    </row>
    <row r="686" spans="1:19" x14ac:dyDescent="0.2">
      <c r="A686" t="str">
        <f t="shared" si="94"/>
        <v>Adult Fiction</v>
      </c>
      <c r="B686" t="str">
        <f t="shared" si="103"/>
        <v>NEW F PATTE</v>
      </c>
      <c r="C686" t="str">
        <f>"The 19th Christmas"</f>
        <v>The 19th Christmas</v>
      </c>
      <c r="D686">
        <v>358262</v>
      </c>
      <c r="E686" t="str">
        <f t="shared" si="104"/>
        <v>Patterson, James</v>
      </c>
      <c r="F686" t="str">
        <f>"Women's Murder Club series (19)"</f>
        <v>Women's Murder Club series (19)</v>
      </c>
      <c r="G686" t="str">
        <f>"v, 344, 15 pages, 25 cm"</f>
        <v>v, 344, 15 pages, 25 cm</v>
      </c>
      <c r="H686" s="1">
        <v>19</v>
      </c>
      <c r="I686">
        <v>2019</v>
      </c>
      <c r="J686" t="str">
        <f t="shared" si="93"/>
        <v>2: Fiction</v>
      </c>
      <c r="L686" t="s">
        <v>2395</v>
      </c>
      <c r="M686" t="s">
        <v>28</v>
      </c>
      <c r="N686" t="s">
        <v>2404</v>
      </c>
      <c r="O686">
        <v>8</v>
      </c>
      <c r="P686" s="2">
        <v>43745</v>
      </c>
      <c r="Q686" s="1">
        <v>34</v>
      </c>
      <c r="R686" t="s">
        <v>2827</v>
      </c>
      <c r="S686">
        <v>1120722308</v>
      </c>
    </row>
    <row r="687" spans="1:19" x14ac:dyDescent="0.2">
      <c r="A687" t="str">
        <f t="shared" si="94"/>
        <v>Adult Fiction</v>
      </c>
      <c r="B687" t="str">
        <f t="shared" si="103"/>
        <v>NEW F PATTE</v>
      </c>
      <c r="C687" t="str">
        <f>"The 19th Christmas"</f>
        <v>The 19th Christmas</v>
      </c>
      <c r="D687">
        <v>358263</v>
      </c>
      <c r="E687" t="str">
        <f t="shared" si="104"/>
        <v>Patterson, James</v>
      </c>
      <c r="F687" t="str">
        <f>"Women's Murder Club series (19)"</f>
        <v>Women's Murder Club series (19)</v>
      </c>
      <c r="G687" t="str">
        <f>"v, 344, 15 pages, 25 cm"</f>
        <v>v, 344, 15 pages, 25 cm</v>
      </c>
      <c r="H687" s="1">
        <v>19</v>
      </c>
      <c r="I687">
        <v>2019</v>
      </c>
      <c r="J687" t="str">
        <f t="shared" si="93"/>
        <v>2: Fiction</v>
      </c>
      <c r="L687" t="s">
        <v>2403</v>
      </c>
      <c r="M687" t="s">
        <v>28</v>
      </c>
      <c r="N687" t="s">
        <v>2396</v>
      </c>
      <c r="O687">
        <v>7</v>
      </c>
      <c r="P687" s="2">
        <v>43745</v>
      </c>
      <c r="Q687" s="1">
        <v>34</v>
      </c>
      <c r="R687" t="s">
        <v>2827</v>
      </c>
      <c r="S687">
        <v>1120722308</v>
      </c>
    </row>
    <row r="688" spans="1:19" x14ac:dyDescent="0.2">
      <c r="A688" t="str">
        <f t="shared" si="94"/>
        <v>Adult Fiction</v>
      </c>
      <c r="B688" t="str">
        <f t="shared" si="103"/>
        <v>NEW F PATTE</v>
      </c>
      <c r="C688" t="str">
        <f t="shared" ref="C688:C693" si="105">"Criss cross"</f>
        <v>Criss cross</v>
      </c>
      <c r="D688">
        <v>359317</v>
      </c>
      <c r="E688" t="str">
        <f t="shared" si="104"/>
        <v>Patterson, James</v>
      </c>
      <c r="F688" t="str">
        <f t="shared" ref="F688:F693" si="106">"Alex Cross Mystery series (27)"</f>
        <v>Alex Cross Mystery series (27)</v>
      </c>
      <c r="G688" t="str">
        <f t="shared" ref="G688:G693" si="107">"387 pages, 25 cm"</f>
        <v>387 pages, 25 cm</v>
      </c>
      <c r="H688" s="1">
        <v>19</v>
      </c>
      <c r="I688">
        <v>2019</v>
      </c>
      <c r="J688" t="str">
        <f t="shared" si="93"/>
        <v>2: Fiction</v>
      </c>
      <c r="L688" t="s">
        <v>2395</v>
      </c>
      <c r="M688" t="s">
        <v>28</v>
      </c>
      <c r="N688" t="s">
        <v>2404</v>
      </c>
      <c r="O688">
        <v>4</v>
      </c>
      <c r="P688" s="2">
        <v>43788</v>
      </c>
      <c r="Q688" s="1">
        <v>34</v>
      </c>
      <c r="R688" t="s">
        <v>2828</v>
      </c>
      <c r="S688">
        <v>1117450843</v>
      </c>
    </row>
    <row r="689" spans="1:19" x14ac:dyDescent="0.2">
      <c r="A689" t="str">
        <f t="shared" si="94"/>
        <v>Adult Fiction</v>
      </c>
      <c r="B689" t="str">
        <f t="shared" si="103"/>
        <v>NEW F PATTE</v>
      </c>
      <c r="C689" t="str">
        <f t="shared" si="105"/>
        <v>Criss cross</v>
      </c>
      <c r="D689">
        <v>359318</v>
      </c>
      <c r="E689" t="str">
        <f t="shared" si="104"/>
        <v>Patterson, James</v>
      </c>
      <c r="F689" t="str">
        <f t="shared" si="106"/>
        <v>Alex Cross Mystery series (27)</v>
      </c>
      <c r="G689" t="str">
        <f t="shared" si="107"/>
        <v>387 pages, 25 cm</v>
      </c>
      <c r="H689" s="1">
        <v>19</v>
      </c>
      <c r="I689">
        <v>2019</v>
      </c>
      <c r="J689" t="str">
        <f t="shared" si="93"/>
        <v>2: Fiction</v>
      </c>
      <c r="L689" t="s">
        <v>2395</v>
      </c>
      <c r="M689" t="s">
        <v>28</v>
      </c>
      <c r="N689" t="s">
        <v>2404</v>
      </c>
      <c r="O689">
        <v>6</v>
      </c>
      <c r="P689" s="2">
        <v>43788</v>
      </c>
      <c r="Q689" s="1">
        <v>34</v>
      </c>
      <c r="R689" t="s">
        <v>2828</v>
      </c>
      <c r="S689">
        <v>1117450843</v>
      </c>
    </row>
    <row r="690" spans="1:19" x14ac:dyDescent="0.2">
      <c r="A690" t="str">
        <f t="shared" si="94"/>
        <v>Adult Fiction</v>
      </c>
      <c r="B690" t="str">
        <f t="shared" si="103"/>
        <v>NEW F PATTE</v>
      </c>
      <c r="C690" t="str">
        <f t="shared" si="105"/>
        <v>Criss cross</v>
      </c>
      <c r="D690">
        <v>359319</v>
      </c>
      <c r="E690" t="str">
        <f t="shared" si="104"/>
        <v>Patterson, James</v>
      </c>
      <c r="F690" t="str">
        <f t="shared" si="106"/>
        <v>Alex Cross Mystery series (27)</v>
      </c>
      <c r="G690" t="str">
        <f t="shared" si="107"/>
        <v>387 pages, 25 cm</v>
      </c>
      <c r="H690" s="1">
        <v>19</v>
      </c>
      <c r="I690">
        <v>2019</v>
      </c>
      <c r="J690" t="str">
        <f t="shared" si="93"/>
        <v>2: Fiction</v>
      </c>
      <c r="L690" t="s">
        <v>2395</v>
      </c>
      <c r="M690" t="s">
        <v>28</v>
      </c>
      <c r="N690" t="str">
        <f>"Reserve Cart"</f>
        <v>Reserve Cart</v>
      </c>
      <c r="O690">
        <v>4</v>
      </c>
      <c r="P690" s="2">
        <v>43788</v>
      </c>
      <c r="Q690" s="1">
        <v>34</v>
      </c>
      <c r="R690" t="s">
        <v>2828</v>
      </c>
      <c r="S690">
        <v>1117450843</v>
      </c>
    </row>
    <row r="691" spans="1:19" x14ac:dyDescent="0.2">
      <c r="A691" t="str">
        <f t="shared" si="94"/>
        <v>Adult Fiction</v>
      </c>
      <c r="B691" t="str">
        <f t="shared" si="103"/>
        <v>NEW F PATTE</v>
      </c>
      <c r="C691" t="str">
        <f t="shared" si="105"/>
        <v>Criss cross</v>
      </c>
      <c r="D691">
        <v>359320</v>
      </c>
      <c r="E691" t="str">
        <f t="shared" si="104"/>
        <v>Patterson, James</v>
      </c>
      <c r="F691" t="str">
        <f t="shared" si="106"/>
        <v>Alex Cross Mystery series (27)</v>
      </c>
      <c r="G691" t="str">
        <f t="shared" si="107"/>
        <v>387 pages, 25 cm</v>
      </c>
      <c r="H691" s="1">
        <v>19</v>
      </c>
      <c r="I691">
        <v>2019</v>
      </c>
      <c r="J691" t="str">
        <f t="shared" si="93"/>
        <v>2: Fiction</v>
      </c>
      <c r="L691" t="s">
        <v>2395</v>
      </c>
      <c r="M691" t="s">
        <v>28</v>
      </c>
      <c r="N691" t="s">
        <v>2404</v>
      </c>
      <c r="O691">
        <v>5</v>
      </c>
      <c r="P691" s="2">
        <v>43788</v>
      </c>
      <c r="Q691" s="1">
        <v>34</v>
      </c>
      <c r="R691" t="s">
        <v>2828</v>
      </c>
      <c r="S691">
        <v>1117450843</v>
      </c>
    </row>
    <row r="692" spans="1:19" x14ac:dyDescent="0.2">
      <c r="A692" t="str">
        <f t="shared" si="94"/>
        <v>Adult Fiction</v>
      </c>
      <c r="B692" t="str">
        <f t="shared" si="103"/>
        <v>NEW F PATTE</v>
      </c>
      <c r="C692" t="str">
        <f t="shared" si="105"/>
        <v>Criss cross</v>
      </c>
      <c r="D692">
        <v>359321</v>
      </c>
      <c r="E692" t="str">
        <f t="shared" si="104"/>
        <v>Patterson, James</v>
      </c>
      <c r="F692" t="str">
        <f t="shared" si="106"/>
        <v>Alex Cross Mystery series (27)</v>
      </c>
      <c r="G692" t="str">
        <f t="shared" si="107"/>
        <v>387 pages, 25 cm</v>
      </c>
      <c r="H692" s="1">
        <v>19</v>
      </c>
      <c r="I692">
        <v>2019</v>
      </c>
      <c r="J692" t="str">
        <f t="shared" si="93"/>
        <v>2: Fiction</v>
      </c>
      <c r="L692" t="s">
        <v>2395</v>
      </c>
      <c r="M692" t="s">
        <v>28</v>
      </c>
      <c r="N692" t="s">
        <v>2404</v>
      </c>
      <c r="O692">
        <v>4</v>
      </c>
      <c r="P692" s="2">
        <v>43788</v>
      </c>
      <c r="Q692" s="1">
        <v>34</v>
      </c>
      <c r="R692" t="s">
        <v>2828</v>
      </c>
      <c r="S692">
        <v>1117450843</v>
      </c>
    </row>
    <row r="693" spans="1:19" x14ac:dyDescent="0.2">
      <c r="A693" t="str">
        <f t="shared" si="94"/>
        <v>Adult Fiction</v>
      </c>
      <c r="B693" t="str">
        <f t="shared" si="103"/>
        <v>NEW F PATTE</v>
      </c>
      <c r="C693" t="str">
        <f t="shared" si="105"/>
        <v>Criss cross</v>
      </c>
      <c r="D693">
        <v>359322</v>
      </c>
      <c r="E693" t="str">
        <f t="shared" si="104"/>
        <v>Patterson, James</v>
      </c>
      <c r="F693" t="str">
        <f t="shared" si="106"/>
        <v>Alex Cross Mystery series (27)</v>
      </c>
      <c r="G693" t="str">
        <f t="shared" si="107"/>
        <v>387 pages, 25 cm</v>
      </c>
      <c r="H693" s="1">
        <v>19</v>
      </c>
      <c r="I693">
        <v>2019</v>
      </c>
      <c r="J693" t="str">
        <f t="shared" si="93"/>
        <v>2: Fiction</v>
      </c>
      <c r="L693" t="s">
        <v>2403</v>
      </c>
      <c r="M693" t="s">
        <v>28</v>
      </c>
      <c r="N693" t="s">
        <v>2404</v>
      </c>
      <c r="O693">
        <v>5</v>
      </c>
      <c r="P693" s="2">
        <v>43788</v>
      </c>
      <c r="Q693" s="1">
        <v>34</v>
      </c>
      <c r="R693" t="s">
        <v>2828</v>
      </c>
      <c r="S693">
        <v>1117450843</v>
      </c>
    </row>
    <row r="694" spans="1:19" x14ac:dyDescent="0.2">
      <c r="A694" t="str">
        <f t="shared" si="94"/>
        <v>Adult Fiction</v>
      </c>
      <c r="B694" t="str">
        <f t="shared" si="103"/>
        <v>NEW F PATTE</v>
      </c>
      <c r="C694" t="str">
        <f>"The Inn"</f>
        <v>The Inn</v>
      </c>
      <c r="D694">
        <v>356549</v>
      </c>
      <c r="E694" t="str">
        <f t="shared" si="104"/>
        <v>Patterson, James</v>
      </c>
      <c r="G694" t="str">
        <f>"384 p."</f>
        <v>384 p.</v>
      </c>
      <c r="H694" s="1">
        <v>19</v>
      </c>
      <c r="I694">
        <v>2019</v>
      </c>
      <c r="J694" t="str">
        <f t="shared" si="93"/>
        <v>2: Fiction</v>
      </c>
      <c r="L694" t="s">
        <v>2395</v>
      </c>
      <c r="M694" t="s">
        <v>28</v>
      </c>
      <c r="N694" t="s">
        <v>2404</v>
      </c>
      <c r="O694">
        <v>11</v>
      </c>
      <c r="P694" s="2">
        <v>43678</v>
      </c>
      <c r="Q694" s="1">
        <v>33</v>
      </c>
      <c r="R694" t="s">
        <v>2829</v>
      </c>
      <c r="S694">
        <v>1107814341</v>
      </c>
    </row>
    <row r="695" spans="1:19" x14ac:dyDescent="0.2">
      <c r="A695" t="str">
        <f t="shared" si="94"/>
        <v>Adult Fiction</v>
      </c>
      <c r="B695" t="str">
        <f t="shared" si="103"/>
        <v>NEW F PATTE</v>
      </c>
      <c r="C695" t="str">
        <f>"The Inn"</f>
        <v>The Inn</v>
      </c>
      <c r="D695">
        <v>356553</v>
      </c>
      <c r="E695" t="str">
        <f t="shared" si="104"/>
        <v>Patterson, James</v>
      </c>
      <c r="G695" t="str">
        <f>"384 p."</f>
        <v>384 p.</v>
      </c>
      <c r="H695" s="1">
        <v>19</v>
      </c>
      <c r="I695">
        <v>2019</v>
      </c>
      <c r="J695" t="str">
        <f t="shared" si="93"/>
        <v>2: Fiction</v>
      </c>
      <c r="L695" t="s">
        <v>2403</v>
      </c>
      <c r="M695" t="s">
        <v>28</v>
      </c>
      <c r="N695" t="s">
        <v>2396</v>
      </c>
      <c r="O695">
        <v>15</v>
      </c>
      <c r="P695" s="2">
        <v>43678</v>
      </c>
      <c r="Q695" s="1">
        <v>33</v>
      </c>
      <c r="R695" t="s">
        <v>2829</v>
      </c>
      <c r="S695">
        <v>1107814341</v>
      </c>
    </row>
    <row r="696" spans="1:19" x14ac:dyDescent="0.2">
      <c r="A696" t="str">
        <f t="shared" si="94"/>
        <v>Adult Fiction</v>
      </c>
      <c r="B696" t="str">
        <f t="shared" si="103"/>
        <v>NEW F PATTE</v>
      </c>
      <c r="C696" t="str">
        <f>"The Inn"</f>
        <v>The Inn</v>
      </c>
      <c r="D696">
        <v>356554</v>
      </c>
      <c r="E696" t="str">
        <f t="shared" si="104"/>
        <v>Patterson, James</v>
      </c>
      <c r="G696" t="str">
        <f>"384 p."</f>
        <v>384 p.</v>
      </c>
      <c r="H696" s="1">
        <v>19</v>
      </c>
      <c r="I696">
        <v>2019</v>
      </c>
      <c r="J696" t="str">
        <f t="shared" si="93"/>
        <v>2: Fiction</v>
      </c>
      <c r="L696" t="s">
        <v>2395</v>
      </c>
      <c r="M696" t="s">
        <v>28</v>
      </c>
      <c r="N696" t="s">
        <v>2401</v>
      </c>
      <c r="O696">
        <v>6</v>
      </c>
      <c r="P696" s="2">
        <v>43678</v>
      </c>
      <c r="Q696" s="1">
        <v>33</v>
      </c>
      <c r="R696" t="s">
        <v>2829</v>
      </c>
      <c r="S696">
        <v>1107814341</v>
      </c>
    </row>
    <row r="697" spans="1:19" x14ac:dyDescent="0.2">
      <c r="A697" t="str">
        <f t="shared" si="94"/>
        <v>Adult Fiction</v>
      </c>
      <c r="B697" t="str">
        <f t="shared" si="103"/>
        <v>NEW F PATTE</v>
      </c>
      <c r="C697" t="str">
        <f t="shared" ref="C697:C702" si="108">"Killer instinct"</f>
        <v>Killer instinct</v>
      </c>
      <c r="D697">
        <v>357319</v>
      </c>
      <c r="E697" t="str">
        <f t="shared" si="104"/>
        <v>Patterson, James</v>
      </c>
      <c r="G697" t="str">
        <f t="shared" ref="G697:G702" si="109">"381 p."</f>
        <v>381 p.</v>
      </c>
      <c r="H697" s="1">
        <v>19</v>
      </c>
      <c r="I697">
        <v>2019</v>
      </c>
      <c r="J697" t="str">
        <f t="shared" si="93"/>
        <v>2: Fiction</v>
      </c>
      <c r="L697" t="s">
        <v>2395</v>
      </c>
      <c r="M697" t="s">
        <v>28</v>
      </c>
      <c r="N697" t="s">
        <v>2404</v>
      </c>
      <c r="O697">
        <v>9</v>
      </c>
      <c r="P697" s="2">
        <v>43711</v>
      </c>
      <c r="Q697" s="1">
        <v>33</v>
      </c>
      <c r="R697" t="s">
        <v>2830</v>
      </c>
      <c r="S697">
        <v>1061288382</v>
      </c>
    </row>
    <row r="698" spans="1:19" x14ac:dyDescent="0.2">
      <c r="A698" t="str">
        <f t="shared" si="94"/>
        <v>Adult Fiction</v>
      </c>
      <c r="B698" t="str">
        <f t="shared" si="103"/>
        <v>NEW F PATTE</v>
      </c>
      <c r="C698" t="str">
        <f t="shared" si="108"/>
        <v>Killer instinct</v>
      </c>
      <c r="D698">
        <v>357320</v>
      </c>
      <c r="E698" t="str">
        <f t="shared" si="104"/>
        <v>Patterson, James</v>
      </c>
      <c r="G698" t="str">
        <f t="shared" si="109"/>
        <v>381 p.</v>
      </c>
      <c r="H698" s="1">
        <v>19</v>
      </c>
      <c r="I698">
        <v>2019</v>
      </c>
      <c r="J698" t="str">
        <f t="shared" si="93"/>
        <v>2: Fiction</v>
      </c>
      <c r="L698" t="s">
        <v>2403</v>
      </c>
      <c r="M698" t="s">
        <v>28</v>
      </c>
      <c r="N698" t="s">
        <v>2396</v>
      </c>
      <c r="O698">
        <v>9</v>
      </c>
      <c r="P698" s="2">
        <v>43711</v>
      </c>
      <c r="Q698" s="1">
        <v>33</v>
      </c>
      <c r="R698" t="s">
        <v>2830</v>
      </c>
      <c r="S698">
        <v>1061288382</v>
      </c>
    </row>
    <row r="699" spans="1:19" x14ac:dyDescent="0.2">
      <c r="A699" t="str">
        <f t="shared" si="94"/>
        <v>Adult Fiction</v>
      </c>
      <c r="B699" t="str">
        <f t="shared" si="103"/>
        <v>NEW F PATTE</v>
      </c>
      <c r="C699" t="str">
        <f t="shared" si="108"/>
        <v>Killer instinct</v>
      </c>
      <c r="D699">
        <v>357321</v>
      </c>
      <c r="E699" t="str">
        <f t="shared" si="104"/>
        <v>Patterson, James</v>
      </c>
      <c r="G699" t="str">
        <f t="shared" si="109"/>
        <v>381 p.</v>
      </c>
      <c r="H699" s="1">
        <v>19</v>
      </c>
      <c r="I699">
        <v>2019</v>
      </c>
      <c r="J699" t="str">
        <f t="shared" si="93"/>
        <v>2: Fiction</v>
      </c>
      <c r="L699" t="s">
        <v>2403</v>
      </c>
      <c r="M699" t="s">
        <v>28</v>
      </c>
      <c r="N699" t="s">
        <v>2404</v>
      </c>
      <c r="O699">
        <v>8</v>
      </c>
      <c r="P699" s="2">
        <v>43711</v>
      </c>
      <c r="Q699" s="1">
        <v>33</v>
      </c>
      <c r="R699" t="s">
        <v>2830</v>
      </c>
      <c r="S699">
        <v>1061288382</v>
      </c>
    </row>
    <row r="700" spans="1:19" x14ac:dyDescent="0.2">
      <c r="A700" t="str">
        <f t="shared" si="94"/>
        <v>Adult Fiction</v>
      </c>
      <c r="B700" t="str">
        <f t="shared" si="103"/>
        <v>NEW F PATTE</v>
      </c>
      <c r="C700" t="str">
        <f t="shared" si="108"/>
        <v>Killer instinct</v>
      </c>
      <c r="D700">
        <v>357322</v>
      </c>
      <c r="E700" t="str">
        <f t="shared" si="104"/>
        <v>Patterson, James</v>
      </c>
      <c r="G700" t="str">
        <f t="shared" si="109"/>
        <v>381 p.</v>
      </c>
      <c r="H700" s="1">
        <v>19</v>
      </c>
      <c r="I700">
        <v>2019</v>
      </c>
      <c r="J700" t="str">
        <f t="shared" si="93"/>
        <v>2: Fiction</v>
      </c>
      <c r="L700" t="s">
        <v>2403</v>
      </c>
      <c r="M700" t="s">
        <v>28</v>
      </c>
      <c r="N700" t="s">
        <v>2396</v>
      </c>
      <c r="O700">
        <v>6</v>
      </c>
      <c r="P700" s="2">
        <v>43711</v>
      </c>
      <c r="Q700" s="1">
        <v>33</v>
      </c>
      <c r="R700" t="s">
        <v>2830</v>
      </c>
      <c r="S700">
        <v>1061288382</v>
      </c>
    </row>
    <row r="701" spans="1:19" x14ac:dyDescent="0.2">
      <c r="A701" t="str">
        <f t="shared" si="94"/>
        <v>Adult Fiction</v>
      </c>
      <c r="B701" t="str">
        <f t="shared" si="103"/>
        <v>NEW F PATTE</v>
      </c>
      <c r="C701" t="str">
        <f t="shared" si="108"/>
        <v>Killer instinct</v>
      </c>
      <c r="D701">
        <v>357323</v>
      </c>
      <c r="E701" t="str">
        <f t="shared" si="104"/>
        <v>Patterson, James</v>
      </c>
      <c r="G701" t="str">
        <f t="shared" si="109"/>
        <v>381 p.</v>
      </c>
      <c r="H701" s="1">
        <v>19</v>
      </c>
      <c r="I701">
        <v>2019</v>
      </c>
      <c r="J701" t="str">
        <f t="shared" si="93"/>
        <v>2: Fiction</v>
      </c>
      <c r="L701" t="s">
        <v>2403</v>
      </c>
      <c r="M701" t="s">
        <v>28</v>
      </c>
      <c r="N701" t="s">
        <v>2404</v>
      </c>
      <c r="O701">
        <v>7</v>
      </c>
      <c r="P701" s="2">
        <v>43711</v>
      </c>
      <c r="Q701" s="1">
        <v>33</v>
      </c>
      <c r="R701" t="s">
        <v>2830</v>
      </c>
      <c r="S701">
        <v>1061288382</v>
      </c>
    </row>
    <row r="702" spans="1:19" x14ac:dyDescent="0.2">
      <c r="A702" t="str">
        <f t="shared" si="94"/>
        <v>Adult Fiction</v>
      </c>
      <c r="B702" t="str">
        <f t="shared" si="103"/>
        <v>NEW F PATTE</v>
      </c>
      <c r="C702" t="str">
        <f t="shared" si="108"/>
        <v>Killer instinct</v>
      </c>
      <c r="D702">
        <v>357324</v>
      </c>
      <c r="E702" t="str">
        <f t="shared" si="104"/>
        <v>Patterson, James</v>
      </c>
      <c r="G702" t="str">
        <f t="shared" si="109"/>
        <v>381 p.</v>
      </c>
      <c r="H702" s="1">
        <v>19</v>
      </c>
      <c r="I702">
        <v>2019</v>
      </c>
      <c r="J702" t="str">
        <f t="shared" si="93"/>
        <v>2: Fiction</v>
      </c>
      <c r="L702" t="s">
        <v>2395</v>
      </c>
      <c r="M702" t="s">
        <v>28</v>
      </c>
      <c r="N702" t="s">
        <v>2404</v>
      </c>
      <c r="O702">
        <v>9</v>
      </c>
      <c r="P702" s="2">
        <v>43711</v>
      </c>
      <c r="Q702" s="1">
        <v>33</v>
      </c>
      <c r="R702" t="s">
        <v>2830</v>
      </c>
      <c r="S702">
        <v>1061288382</v>
      </c>
    </row>
    <row r="703" spans="1:19" x14ac:dyDescent="0.2">
      <c r="A703" t="str">
        <f t="shared" si="94"/>
        <v>Adult Fiction</v>
      </c>
      <c r="B703" t="str">
        <f t="shared" si="103"/>
        <v>NEW F PATTE</v>
      </c>
      <c r="C703" t="s">
        <v>2831</v>
      </c>
      <c r="D703">
        <v>360275</v>
      </c>
      <c r="E703" t="str">
        <f t="shared" si="104"/>
        <v>Patterson, James</v>
      </c>
      <c r="G703" t="str">
        <f>"328, 13 pages, 25 cm"</f>
        <v>328, 13 pages, 25 cm</v>
      </c>
      <c r="H703" s="1">
        <v>19</v>
      </c>
      <c r="I703">
        <v>2020</v>
      </c>
      <c r="J703" t="str">
        <f t="shared" ref="J703:J766" si="110">"2: Fiction"</f>
        <v>2: Fiction</v>
      </c>
      <c r="L703" t="s">
        <v>2395</v>
      </c>
      <c r="M703" t="s">
        <v>28</v>
      </c>
      <c r="N703" t="s">
        <v>2404</v>
      </c>
      <c r="O703">
        <v>1</v>
      </c>
      <c r="P703" s="2">
        <v>43844</v>
      </c>
      <c r="Q703" s="1">
        <v>33</v>
      </c>
      <c r="R703" t="s">
        <v>2832</v>
      </c>
      <c r="S703">
        <v>1132808280</v>
      </c>
    </row>
    <row r="704" spans="1:19" x14ac:dyDescent="0.2">
      <c r="A704" t="str">
        <f t="shared" si="94"/>
        <v>Adult Fiction</v>
      </c>
      <c r="B704" t="str">
        <f t="shared" si="103"/>
        <v>NEW F PATTE</v>
      </c>
      <c r="C704" t="s">
        <v>2831</v>
      </c>
      <c r="D704">
        <v>360276</v>
      </c>
      <c r="E704" t="str">
        <f t="shared" si="104"/>
        <v>Patterson, James</v>
      </c>
      <c r="G704" t="str">
        <f>"328, 13 pages, 25 cm"</f>
        <v>328, 13 pages, 25 cm</v>
      </c>
      <c r="H704" s="1">
        <v>19</v>
      </c>
      <c r="I704">
        <v>2020</v>
      </c>
      <c r="J704" t="str">
        <f t="shared" si="110"/>
        <v>2: Fiction</v>
      </c>
      <c r="L704" t="s">
        <v>2395</v>
      </c>
      <c r="M704" t="s">
        <v>28</v>
      </c>
      <c r="N704" t="s">
        <v>2404</v>
      </c>
      <c r="O704">
        <v>1</v>
      </c>
      <c r="P704" s="2">
        <v>43844</v>
      </c>
      <c r="Q704" s="1">
        <v>33</v>
      </c>
      <c r="R704" t="s">
        <v>2832</v>
      </c>
      <c r="S704">
        <v>1132808280</v>
      </c>
    </row>
    <row r="705" spans="1:19" x14ac:dyDescent="0.2">
      <c r="A705" t="str">
        <f t="shared" si="94"/>
        <v>Adult Fiction</v>
      </c>
      <c r="B705" t="str">
        <f t="shared" si="103"/>
        <v>NEW F PATTE</v>
      </c>
      <c r="C705" t="s">
        <v>2831</v>
      </c>
      <c r="D705">
        <v>360277</v>
      </c>
      <c r="E705" t="str">
        <f t="shared" si="104"/>
        <v>Patterson, James</v>
      </c>
      <c r="G705" t="str">
        <f>"328, 13 pages, 25 cm"</f>
        <v>328, 13 pages, 25 cm</v>
      </c>
      <c r="H705" s="1">
        <v>19</v>
      </c>
      <c r="I705">
        <v>2020</v>
      </c>
      <c r="J705" t="str">
        <f t="shared" si="110"/>
        <v>2: Fiction</v>
      </c>
      <c r="L705" t="s">
        <v>2395</v>
      </c>
      <c r="M705" t="s">
        <v>28</v>
      </c>
      <c r="N705" t="s">
        <v>2404</v>
      </c>
      <c r="O705">
        <v>1</v>
      </c>
      <c r="P705" s="2">
        <v>43844</v>
      </c>
      <c r="Q705" s="1">
        <v>33</v>
      </c>
      <c r="R705" t="s">
        <v>2832</v>
      </c>
      <c r="S705">
        <v>1132808280</v>
      </c>
    </row>
    <row r="706" spans="1:19" x14ac:dyDescent="0.2">
      <c r="A706" t="str">
        <f t="shared" si="94"/>
        <v>Adult Fiction</v>
      </c>
      <c r="B706" t="str">
        <f t="shared" si="103"/>
        <v>NEW F PATTE</v>
      </c>
      <c r="C706" t="s">
        <v>2831</v>
      </c>
      <c r="D706">
        <v>360278</v>
      </c>
      <c r="E706" t="str">
        <f t="shared" si="104"/>
        <v>Patterson, James</v>
      </c>
      <c r="G706" t="str">
        <f>"328, 13 pages, 25 cm"</f>
        <v>328, 13 pages, 25 cm</v>
      </c>
      <c r="H706" s="1">
        <v>19</v>
      </c>
      <c r="I706">
        <v>2020</v>
      </c>
      <c r="J706" t="str">
        <f t="shared" si="110"/>
        <v>2: Fiction</v>
      </c>
      <c r="L706" t="s">
        <v>2395</v>
      </c>
      <c r="M706" t="s">
        <v>28</v>
      </c>
      <c r="N706" t="s">
        <v>2404</v>
      </c>
      <c r="O706">
        <v>1</v>
      </c>
      <c r="P706" s="2">
        <v>43844</v>
      </c>
      <c r="Q706" s="1">
        <v>33</v>
      </c>
      <c r="R706" t="s">
        <v>2832</v>
      </c>
      <c r="S706">
        <v>1132808280</v>
      </c>
    </row>
    <row r="707" spans="1:19" x14ac:dyDescent="0.2">
      <c r="A707" t="str">
        <f t="shared" si="94"/>
        <v>Adult Fiction</v>
      </c>
      <c r="B707" t="str">
        <f t="shared" si="103"/>
        <v>NEW F PATTE</v>
      </c>
      <c r="C707" t="s">
        <v>2833</v>
      </c>
      <c r="D707">
        <v>355193</v>
      </c>
      <c r="E707" t="str">
        <f t="shared" si="104"/>
        <v>Patterson, James</v>
      </c>
      <c r="G707" t="str">
        <f>"468 pages, 25 cm"</f>
        <v>468 pages, 25 cm</v>
      </c>
      <c r="H707" s="1">
        <v>19</v>
      </c>
      <c r="I707">
        <v>2019</v>
      </c>
      <c r="J707" t="str">
        <f t="shared" si="110"/>
        <v>2: Fiction</v>
      </c>
      <c r="L707" t="s">
        <v>2395</v>
      </c>
      <c r="M707" t="s">
        <v>28</v>
      </c>
      <c r="N707" t="s">
        <v>2404</v>
      </c>
      <c r="O707">
        <v>15</v>
      </c>
      <c r="P707" s="2">
        <v>43620</v>
      </c>
      <c r="Q707" s="1">
        <v>33</v>
      </c>
      <c r="R707" t="s">
        <v>2834</v>
      </c>
      <c r="S707">
        <v>1052877265</v>
      </c>
    </row>
    <row r="708" spans="1:19" x14ac:dyDescent="0.2">
      <c r="A708" t="str">
        <f t="shared" si="94"/>
        <v>Adult Fiction</v>
      </c>
      <c r="B708" t="str">
        <f t="shared" si="103"/>
        <v>NEW F PATTE</v>
      </c>
      <c r="C708" t="str">
        <f>"The warning"</f>
        <v>The warning</v>
      </c>
      <c r="D708">
        <v>356801</v>
      </c>
      <c r="E708" t="str">
        <f t="shared" si="104"/>
        <v>Patterson, James</v>
      </c>
      <c r="G708" t="str">
        <f>"318 p."</f>
        <v>318 p.</v>
      </c>
      <c r="H708" s="1">
        <v>19</v>
      </c>
      <c r="I708">
        <v>2019</v>
      </c>
      <c r="J708" t="str">
        <f t="shared" si="110"/>
        <v>2: Fiction</v>
      </c>
      <c r="L708" t="s">
        <v>2395</v>
      </c>
      <c r="M708" t="s">
        <v>28</v>
      </c>
      <c r="N708" t="s">
        <v>2396</v>
      </c>
      <c r="O708">
        <v>9</v>
      </c>
      <c r="P708" s="2">
        <v>43690</v>
      </c>
      <c r="Q708" s="1">
        <v>34</v>
      </c>
      <c r="R708" t="s">
        <v>2835</v>
      </c>
    </row>
    <row r="709" spans="1:19" x14ac:dyDescent="0.2">
      <c r="A709" t="str">
        <f t="shared" si="94"/>
        <v>Adult Fiction</v>
      </c>
      <c r="B709" t="str">
        <f t="shared" si="103"/>
        <v>NEW F PATTE</v>
      </c>
      <c r="C709" t="str">
        <f>"The warning"</f>
        <v>The warning</v>
      </c>
      <c r="D709">
        <v>356803</v>
      </c>
      <c r="E709" t="str">
        <f t="shared" si="104"/>
        <v>Patterson, James</v>
      </c>
      <c r="G709" t="str">
        <f>"318 p."</f>
        <v>318 p.</v>
      </c>
      <c r="H709" s="1">
        <v>19</v>
      </c>
      <c r="I709">
        <v>2019</v>
      </c>
      <c r="J709" t="str">
        <f t="shared" si="110"/>
        <v>2: Fiction</v>
      </c>
      <c r="L709" t="s">
        <v>2395</v>
      </c>
      <c r="M709" t="s">
        <v>28</v>
      </c>
      <c r="N709" t="s">
        <v>2404</v>
      </c>
      <c r="O709">
        <v>9</v>
      </c>
      <c r="P709" s="2">
        <v>43690</v>
      </c>
      <c r="Q709" s="1">
        <v>34</v>
      </c>
      <c r="R709" t="s">
        <v>2835</v>
      </c>
    </row>
    <row r="710" spans="1:19" x14ac:dyDescent="0.2">
      <c r="A710" t="str">
        <f t="shared" si="94"/>
        <v>Adult Fiction</v>
      </c>
      <c r="B710" t="str">
        <f t="shared" si="103"/>
        <v>NEW F PATTE</v>
      </c>
      <c r="C710" t="str">
        <f>"The warning"</f>
        <v>The warning</v>
      </c>
      <c r="D710">
        <v>356804</v>
      </c>
      <c r="E710" t="str">
        <f t="shared" si="104"/>
        <v>Patterson, James</v>
      </c>
      <c r="G710" t="str">
        <f>"318 p."</f>
        <v>318 p.</v>
      </c>
      <c r="H710" s="1">
        <v>19</v>
      </c>
      <c r="I710">
        <v>2019</v>
      </c>
      <c r="J710" t="str">
        <f t="shared" si="110"/>
        <v>2: Fiction</v>
      </c>
      <c r="L710" t="s">
        <v>2395</v>
      </c>
      <c r="M710" t="s">
        <v>28</v>
      </c>
      <c r="N710" t="s">
        <v>2404</v>
      </c>
      <c r="O710">
        <v>10</v>
      </c>
      <c r="P710" s="2">
        <v>43690</v>
      </c>
      <c r="Q710" s="1">
        <v>34</v>
      </c>
      <c r="R710" t="s">
        <v>2835</v>
      </c>
    </row>
    <row r="711" spans="1:19" x14ac:dyDescent="0.2">
      <c r="A711" t="str">
        <f t="shared" ref="A711:A774" si="111">"Adult Fiction"</f>
        <v>Adult Fiction</v>
      </c>
      <c r="B711" t="str">
        <f>"NEW F PAUL"</f>
        <v>NEW F PAUL</v>
      </c>
      <c r="C711" t="str">
        <f>"The lost daughter"</f>
        <v>The lost daughter</v>
      </c>
      <c r="D711">
        <v>357515</v>
      </c>
      <c r="E711" t="str">
        <f>"Paul, Gill"</f>
        <v>Paul, Gill</v>
      </c>
      <c r="G711" t="str">
        <f>"460, 24 pages, 21 cm, illustrations"</f>
        <v>460, 24 pages, 21 cm, illustrations</v>
      </c>
      <c r="H711" s="1">
        <v>19</v>
      </c>
      <c r="I711">
        <v>2018</v>
      </c>
      <c r="J711" t="str">
        <f t="shared" si="110"/>
        <v>2: Fiction</v>
      </c>
      <c r="L711" t="s">
        <v>2395</v>
      </c>
      <c r="M711" t="s">
        <v>28</v>
      </c>
      <c r="N711" t="s">
        <v>2404</v>
      </c>
      <c r="O711">
        <v>6</v>
      </c>
      <c r="P711" s="2">
        <v>43719</v>
      </c>
      <c r="Q711" s="1">
        <v>22</v>
      </c>
      <c r="R711" t="s">
        <v>2836</v>
      </c>
      <c r="S711">
        <v>1112887121</v>
      </c>
    </row>
    <row r="712" spans="1:19" x14ac:dyDescent="0.2">
      <c r="A712" t="str">
        <f t="shared" si="111"/>
        <v>Adult Fiction</v>
      </c>
      <c r="B712" t="str">
        <f>"NEW F PENNY"</f>
        <v>NEW F PENNY</v>
      </c>
      <c r="C712" t="str">
        <f>"A better man"</f>
        <v>A better man</v>
      </c>
      <c r="D712">
        <v>357080</v>
      </c>
      <c r="E712" t="str">
        <f>"Penny, Louise"</f>
        <v>Penny, Louise</v>
      </c>
      <c r="F712" t="str">
        <f>"Chief Inspector Gamache Three Pines Mystery series (15)"</f>
        <v>Chief Inspector Gamache Three Pines Mystery series (15)</v>
      </c>
      <c r="G712" t="str">
        <f>"437 pages, 25 cm"</f>
        <v>437 pages, 25 cm</v>
      </c>
      <c r="H712" s="1">
        <v>19</v>
      </c>
      <c r="I712">
        <v>2019</v>
      </c>
      <c r="J712" t="str">
        <f t="shared" si="110"/>
        <v>2: Fiction</v>
      </c>
      <c r="L712" t="s">
        <v>2395</v>
      </c>
      <c r="M712" t="s">
        <v>28</v>
      </c>
      <c r="N712" t="s">
        <v>2404</v>
      </c>
      <c r="O712">
        <v>10</v>
      </c>
      <c r="P712" s="2">
        <v>43704</v>
      </c>
      <c r="Q712" s="1">
        <v>34</v>
      </c>
      <c r="R712" t="s">
        <v>2837</v>
      </c>
      <c r="S712">
        <v>1091295529</v>
      </c>
    </row>
    <row r="713" spans="1:19" x14ac:dyDescent="0.2">
      <c r="A713" t="str">
        <f t="shared" si="111"/>
        <v>Adult Fiction</v>
      </c>
      <c r="B713" t="str">
        <f>"NEW F PENNY"</f>
        <v>NEW F PENNY</v>
      </c>
      <c r="C713" t="str">
        <f>"A better man"</f>
        <v>A better man</v>
      </c>
      <c r="D713">
        <v>357081</v>
      </c>
      <c r="E713" t="str">
        <f>"Penny, Louise"</f>
        <v>Penny, Louise</v>
      </c>
      <c r="F713" t="str">
        <f>"Chief Inspector Gamache Three Pines Mystery series (15)"</f>
        <v>Chief Inspector Gamache Three Pines Mystery series (15)</v>
      </c>
      <c r="G713" t="str">
        <f>"437 pages, 25 cm"</f>
        <v>437 pages, 25 cm</v>
      </c>
      <c r="H713" s="1">
        <v>19</v>
      </c>
      <c r="I713">
        <v>2019</v>
      </c>
      <c r="J713" t="str">
        <f t="shared" si="110"/>
        <v>2: Fiction</v>
      </c>
      <c r="L713" t="s">
        <v>2403</v>
      </c>
      <c r="M713" t="s">
        <v>28</v>
      </c>
      <c r="N713" t="s">
        <v>2404</v>
      </c>
      <c r="O713">
        <v>11</v>
      </c>
      <c r="P713" s="2">
        <v>43704</v>
      </c>
      <c r="Q713" s="1">
        <v>34</v>
      </c>
      <c r="R713" t="s">
        <v>2837</v>
      </c>
      <c r="S713">
        <v>1091295529</v>
      </c>
    </row>
    <row r="714" spans="1:19" x14ac:dyDescent="0.2">
      <c r="A714" t="str">
        <f t="shared" si="111"/>
        <v>Adult Fiction</v>
      </c>
      <c r="B714" t="str">
        <f>"NEW F PENNY"</f>
        <v>NEW F PENNY</v>
      </c>
      <c r="C714" t="str">
        <f>"A better man"</f>
        <v>A better man</v>
      </c>
      <c r="D714">
        <v>357082</v>
      </c>
      <c r="E714" t="str">
        <f>"Penny, Louise"</f>
        <v>Penny, Louise</v>
      </c>
      <c r="F714" t="str">
        <f>"Chief Inspector Gamache Three Pines Mystery series (15)"</f>
        <v>Chief Inspector Gamache Three Pines Mystery series (15)</v>
      </c>
      <c r="G714" t="str">
        <f>"437 pages, 25 cm"</f>
        <v>437 pages, 25 cm</v>
      </c>
      <c r="H714" s="1">
        <v>19</v>
      </c>
      <c r="I714">
        <v>2019</v>
      </c>
      <c r="J714" t="str">
        <f t="shared" si="110"/>
        <v>2: Fiction</v>
      </c>
      <c r="L714" t="s">
        <v>2395</v>
      </c>
      <c r="M714" t="s">
        <v>28</v>
      </c>
      <c r="N714" t="s">
        <v>2404</v>
      </c>
      <c r="O714">
        <v>11</v>
      </c>
      <c r="P714" s="2">
        <v>43704</v>
      </c>
      <c r="Q714" s="1">
        <v>34</v>
      </c>
      <c r="R714" t="s">
        <v>2837</v>
      </c>
      <c r="S714">
        <v>1091295529</v>
      </c>
    </row>
    <row r="715" spans="1:19" x14ac:dyDescent="0.2">
      <c r="A715" t="str">
        <f t="shared" si="111"/>
        <v>Adult Fiction</v>
      </c>
      <c r="B715" t="str">
        <f>"NEW F PENNY"</f>
        <v>NEW F PENNY</v>
      </c>
      <c r="C715" t="str">
        <f>"A better man"</f>
        <v>A better man</v>
      </c>
      <c r="D715">
        <v>357083</v>
      </c>
      <c r="E715" t="str">
        <f>"Penny, Louise"</f>
        <v>Penny, Louise</v>
      </c>
      <c r="F715" t="str">
        <f>"Chief Inspector Gamache Three Pines Mystery series (15)"</f>
        <v>Chief Inspector Gamache Three Pines Mystery series (15)</v>
      </c>
      <c r="G715" t="str">
        <f>"437 pages, 25 cm"</f>
        <v>437 pages, 25 cm</v>
      </c>
      <c r="H715" s="1">
        <v>19</v>
      </c>
      <c r="I715">
        <v>2019</v>
      </c>
      <c r="J715" t="str">
        <f t="shared" si="110"/>
        <v>2: Fiction</v>
      </c>
      <c r="L715" t="s">
        <v>2395</v>
      </c>
      <c r="M715" t="s">
        <v>28</v>
      </c>
      <c r="N715" t="s">
        <v>2404</v>
      </c>
      <c r="O715">
        <v>12</v>
      </c>
      <c r="P715" s="2">
        <v>43704</v>
      </c>
      <c r="Q715" s="1">
        <v>34</v>
      </c>
      <c r="R715" t="s">
        <v>2837</v>
      </c>
      <c r="S715">
        <v>1091295529</v>
      </c>
    </row>
    <row r="716" spans="1:19" x14ac:dyDescent="0.2">
      <c r="A716" t="str">
        <f t="shared" si="111"/>
        <v>Adult Fiction</v>
      </c>
      <c r="B716" t="str">
        <f t="shared" ref="B716:B721" si="112">"NEW F PERRY"</f>
        <v>NEW F PERRY</v>
      </c>
      <c r="C716" t="str">
        <f>"A Christmas gathering: a novel"</f>
        <v>A Christmas gathering: a novel</v>
      </c>
      <c r="D716">
        <v>359079</v>
      </c>
      <c r="E716" t="str">
        <f>"Perry, Anne"</f>
        <v>Perry, Anne</v>
      </c>
      <c r="G716" t="str">
        <f>"193 pages, 20 cm"</f>
        <v>193 pages, 20 cm</v>
      </c>
      <c r="H716" s="1">
        <v>19</v>
      </c>
      <c r="I716">
        <v>2019</v>
      </c>
      <c r="J716" t="str">
        <f t="shared" si="110"/>
        <v>2: Fiction</v>
      </c>
      <c r="L716" t="s">
        <v>2395</v>
      </c>
      <c r="M716" t="s">
        <v>28</v>
      </c>
      <c r="N716" t="s">
        <v>2404</v>
      </c>
      <c r="O716">
        <v>6</v>
      </c>
      <c r="P716" s="2">
        <v>43776</v>
      </c>
      <c r="Q716" s="1">
        <v>25</v>
      </c>
      <c r="R716" t="s">
        <v>2838</v>
      </c>
      <c r="S716">
        <v>1114273831</v>
      </c>
    </row>
    <row r="717" spans="1:19" x14ac:dyDescent="0.2">
      <c r="A717" t="str">
        <f t="shared" si="111"/>
        <v>Adult Fiction</v>
      </c>
      <c r="B717" t="str">
        <f t="shared" si="112"/>
        <v>NEW F PERRY</v>
      </c>
      <c r="C717" t="str">
        <f>"A Christmas gathering: a novel"</f>
        <v>A Christmas gathering: a novel</v>
      </c>
      <c r="D717">
        <v>359080</v>
      </c>
      <c r="E717" t="str">
        <f>"Perry, Anne"</f>
        <v>Perry, Anne</v>
      </c>
      <c r="G717" t="str">
        <f>"193 pages, 20 cm"</f>
        <v>193 pages, 20 cm</v>
      </c>
      <c r="H717" s="1">
        <v>19</v>
      </c>
      <c r="I717">
        <v>2019</v>
      </c>
      <c r="J717" t="str">
        <f t="shared" si="110"/>
        <v>2: Fiction</v>
      </c>
      <c r="L717" t="s">
        <v>2403</v>
      </c>
      <c r="M717" t="s">
        <v>28</v>
      </c>
      <c r="N717" t="s">
        <v>2404</v>
      </c>
      <c r="O717">
        <v>6</v>
      </c>
      <c r="P717" s="2">
        <v>43776</v>
      </c>
      <c r="Q717" s="1">
        <v>25</v>
      </c>
      <c r="R717" t="s">
        <v>2838</v>
      </c>
      <c r="S717">
        <v>1114273831</v>
      </c>
    </row>
    <row r="718" spans="1:19" x14ac:dyDescent="0.2">
      <c r="A718" t="str">
        <f t="shared" si="111"/>
        <v>Adult Fiction</v>
      </c>
      <c r="B718" t="str">
        <f t="shared" si="112"/>
        <v>NEW F PERRY</v>
      </c>
      <c r="C718" t="str">
        <f>"Death in focus: an Elena Standish novel"</f>
        <v>Death in focus: an Elena Standish novel</v>
      </c>
      <c r="D718">
        <v>357634</v>
      </c>
      <c r="E718" t="str">
        <f>"Perry, Anne"</f>
        <v>Perry, Anne</v>
      </c>
      <c r="F718" t="str">
        <f>"Elena Standish series (1)"</f>
        <v>Elena Standish series (1)</v>
      </c>
      <c r="G718" t="str">
        <f>"pages ; cm"</f>
        <v>pages ; cm</v>
      </c>
      <c r="H718" s="1">
        <v>19</v>
      </c>
      <c r="I718">
        <v>2019</v>
      </c>
      <c r="J718" t="str">
        <f t="shared" si="110"/>
        <v>2: Fiction</v>
      </c>
      <c r="L718" t="s">
        <v>2403</v>
      </c>
      <c r="M718" t="s">
        <v>28</v>
      </c>
      <c r="N718" t="s">
        <v>2396</v>
      </c>
      <c r="O718">
        <v>6</v>
      </c>
      <c r="P718" s="2">
        <v>43725</v>
      </c>
      <c r="Q718" s="1">
        <v>33</v>
      </c>
      <c r="R718" t="s">
        <v>2839</v>
      </c>
      <c r="S718">
        <v>1080275431</v>
      </c>
    </row>
    <row r="719" spans="1:19" x14ac:dyDescent="0.2">
      <c r="A719" t="str">
        <f t="shared" si="111"/>
        <v>Adult Fiction</v>
      </c>
      <c r="B719" t="str">
        <f t="shared" si="112"/>
        <v>NEW F PERRY</v>
      </c>
      <c r="C719" t="str">
        <f>"Death in focus: an Elena Standish novel"</f>
        <v>Death in focus: an Elena Standish novel</v>
      </c>
      <c r="D719">
        <v>357635</v>
      </c>
      <c r="E719" t="str">
        <f>"Perry, Anne"</f>
        <v>Perry, Anne</v>
      </c>
      <c r="F719" t="str">
        <f>"Elena Standish series (1)"</f>
        <v>Elena Standish series (1)</v>
      </c>
      <c r="G719" t="str">
        <f>"pages ; cm"</f>
        <v>pages ; cm</v>
      </c>
      <c r="H719" s="1">
        <v>19</v>
      </c>
      <c r="I719">
        <v>2019</v>
      </c>
      <c r="J719" t="str">
        <f t="shared" si="110"/>
        <v>2: Fiction</v>
      </c>
      <c r="L719" t="s">
        <v>2403</v>
      </c>
      <c r="M719" t="s">
        <v>28</v>
      </c>
      <c r="N719" t="s">
        <v>2404</v>
      </c>
      <c r="O719">
        <v>14</v>
      </c>
      <c r="P719" s="2">
        <v>43725</v>
      </c>
      <c r="Q719" s="1">
        <v>33</v>
      </c>
      <c r="R719" t="s">
        <v>2839</v>
      </c>
      <c r="S719">
        <v>1080275431</v>
      </c>
    </row>
    <row r="720" spans="1:19" x14ac:dyDescent="0.2">
      <c r="A720" t="str">
        <f t="shared" si="111"/>
        <v>Adult Fiction</v>
      </c>
      <c r="B720" t="str">
        <f t="shared" si="112"/>
        <v>NEW F PERRY</v>
      </c>
      <c r="C720" t="str">
        <f>"A small town: a novel"</f>
        <v>A small town: a novel</v>
      </c>
      <c r="D720">
        <v>359772</v>
      </c>
      <c r="E720" t="str">
        <f>"Perry, Thomas"</f>
        <v>Perry, Thomas</v>
      </c>
      <c r="G720" t="str">
        <f>"320 pages, 24 cm"</f>
        <v>320 pages, 24 cm</v>
      </c>
      <c r="H720" s="1">
        <v>19</v>
      </c>
      <c r="I720">
        <v>2020</v>
      </c>
      <c r="J720" t="str">
        <f t="shared" si="110"/>
        <v>2: Fiction</v>
      </c>
      <c r="L720" t="s">
        <v>2395</v>
      </c>
      <c r="M720" t="s">
        <v>28</v>
      </c>
      <c r="N720" t="s">
        <v>2404</v>
      </c>
      <c r="O720">
        <v>5</v>
      </c>
      <c r="P720" s="2">
        <v>43811</v>
      </c>
      <c r="Q720" s="1">
        <v>26</v>
      </c>
      <c r="R720" t="s">
        <v>2840</v>
      </c>
      <c r="S720">
        <v>1117453532</v>
      </c>
    </row>
    <row r="721" spans="1:19" x14ac:dyDescent="0.2">
      <c r="A721" t="str">
        <f t="shared" si="111"/>
        <v>Adult Fiction</v>
      </c>
      <c r="B721" t="str">
        <f t="shared" si="112"/>
        <v>NEW F PERRY</v>
      </c>
      <c r="C721" t="str">
        <f>"A small town: a novel"</f>
        <v>A small town: a novel</v>
      </c>
      <c r="D721">
        <v>359773</v>
      </c>
      <c r="E721" t="str">
        <f>"Perry, Thomas"</f>
        <v>Perry, Thomas</v>
      </c>
      <c r="G721" t="str">
        <f>"320 pages, 24 cm"</f>
        <v>320 pages, 24 cm</v>
      </c>
      <c r="H721" s="1">
        <v>19</v>
      </c>
      <c r="I721">
        <v>2020</v>
      </c>
      <c r="J721" t="str">
        <f t="shared" si="110"/>
        <v>2: Fiction</v>
      </c>
      <c r="L721" t="s">
        <v>2395</v>
      </c>
      <c r="M721" t="s">
        <v>28</v>
      </c>
      <c r="N721" t="s">
        <v>2404</v>
      </c>
      <c r="O721">
        <v>5</v>
      </c>
      <c r="P721" s="2">
        <v>43811</v>
      </c>
      <c r="Q721" s="1">
        <v>26</v>
      </c>
      <c r="R721" t="s">
        <v>2840</v>
      </c>
      <c r="S721">
        <v>1117453532</v>
      </c>
    </row>
    <row r="722" spans="1:19" x14ac:dyDescent="0.2">
      <c r="A722" t="str">
        <f t="shared" si="111"/>
        <v>Adult Fiction</v>
      </c>
      <c r="B722" t="str">
        <f>"NEW F PETER"</f>
        <v>NEW F PETER</v>
      </c>
      <c r="C722" t="str">
        <f>"It's hot in the Hamptons: a novel"</f>
        <v>It's hot in the Hamptons: a novel</v>
      </c>
      <c r="D722">
        <v>358118</v>
      </c>
      <c r="E722" t="str">
        <f>"Peterson, Holly"</f>
        <v>Peterson, Holly</v>
      </c>
      <c r="G722" t="str">
        <f>"371 pages, 21 cm"</f>
        <v>371 pages, 21 cm</v>
      </c>
      <c r="H722" s="1">
        <v>19</v>
      </c>
      <c r="I722">
        <v>2019</v>
      </c>
      <c r="J722" t="str">
        <f t="shared" si="110"/>
        <v>2: Fiction</v>
      </c>
      <c r="L722" t="s">
        <v>2403</v>
      </c>
      <c r="M722" t="s">
        <v>28</v>
      </c>
      <c r="N722" t="s">
        <v>2396</v>
      </c>
      <c r="O722">
        <v>3</v>
      </c>
      <c r="P722" s="2">
        <v>43740</v>
      </c>
      <c r="Q722" s="1">
        <v>21</v>
      </c>
      <c r="R722" t="s">
        <v>2841</v>
      </c>
      <c r="S722">
        <v>1104675016</v>
      </c>
    </row>
    <row r="723" spans="1:19" x14ac:dyDescent="0.2">
      <c r="A723" t="str">
        <f t="shared" si="111"/>
        <v>Adult Fiction</v>
      </c>
      <c r="B723" t="str">
        <f>"NEW F PINSK"</f>
        <v>NEW F PINSK</v>
      </c>
      <c r="C723" t="str">
        <f>"A song for a new day"</f>
        <v>A song for a new day</v>
      </c>
      <c r="D723">
        <v>357650</v>
      </c>
      <c r="E723" t="str">
        <f>"Pinsker, Sarah"</f>
        <v>Pinsker, Sarah</v>
      </c>
      <c r="G723" t="str">
        <f>"372 pages, 21 cm"</f>
        <v>372 pages, 21 cm</v>
      </c>
      <c r="H723" s="1">
        <v>19</v>
      </c>
      <c r="I723">
        <v>2019</v>
      </c>
      <c r="J723" t="str">
        <f t="shared" si="110"/>
        <v>2: Fiction</v>
      </c>
      <c r="L723" t="s">
        <v>2395</v>
      </c>
      <c r="M723" t="s">
        <v>28</v>
      </c>
      <c r="N723" t="s">
        <v>2404</v>
      </c>
      <c r="O723">
        <v>3</v>
      </c>
      <c r="P723" s="2">
        <v>43725</v>
      </c>
      <c r="Q723" s="1">
        <v>21</v>
      </c>
      <c r="R723" t="s">
        <v>2842</v>
      </c>
      <c r="S723">
        <v>1078889890</v>
      </c>
    </row>
    <row r="724" spans="1:19" x14ac:dyDescent="0.2">
      <c r="A724" t="str">
        <f t="shared" si="111"/>
        <v>Adult Fiction</v>
      </c>
      <c r="B724" t="str">
        <f>"NEW F POBI"</f>
        <v>NEW F POBI</v>
      </c>
      <c r="C724" t="str">
        <f>"City of windows"</f>
        <v>City of windows</v>
      </c>
      <c r="D724">
        <v>356969</v>
      </c>
      <c r="E724" t="str">
        <f>"Pobi, Robert"</f>
        <v>Pobi, Robert</v>
      </c>
      <c r="G724" t="str">
        <f>"388 pages, 25 cm"</f>
        <v>388 pages, 25 cm</v>
      </c>
      <c r="H724" s="1">
        <v>19</v>
      </c>
      <c r="I724">
        <v>2019</v>
      </c>
      <c r="J724" t="str">
        <f t="shared" si="110"/>
        <v>2: Fiction</v>
      </c>
      <c r="L724" t="s">
        <v>2395</v>
      </c>
      <c r="M724" t="s">
        <v>28</v>
      </c>
      <c r="N724" t="s">
        <v>2404</v>
      </c>
      <c r="O724">
        <v>8</v>
      </c>
      <c r="P724" s="2">
        <v>43696</v>
      </c>
      <c r="Q724" s="1">
        <v>32</v>
      </c>
      <c r="R724" t="s">
        <v>2843</v>
      </c>
      <c r="S724">
        <v>1088664948</v>
      </c>
    </row>
    <row r="725" spans="1:19" x14ac:dyDescent="0.2">
      <c r="A725" t="str">
        <f t="shared" si="111"/>
        <v>Adult Fiction</v>
      </c>
      <c r="B725" t="str">
        <f>"NEW F POPKE"</f>
        <v>NEW F POPKE</v>
      </c>
      <c r="C725" t="str">
        <f>"Topics of conversation"</f>
        <v>Topics of conversation</v>
      </c>
      <c r="D725">
        <v>360254</v>
      </c>
      <c r="E725" t="str">
        <f>"Popkey, Miranda"</f>
        <v>Popkey, Miranda</v>
      </c>
      <c r="G725" t="str">
        <f>"215 pages, 20 cm"</f>
        <v>215 pages, 20 cm</v>
      </c>
      <c r="H725" s="1">
        <v>19</v>
      </c>
      <c r="I725">
        <v>2020</v>
      </c>
      <c r="J725" t="str">
        <f t="shared" si="110"/>
        <v>2: Fiction</v>
      </c>
      <c r="L725" t="s">
        <v>2395</v>
      </c>
      <c r="M725" t="s">
        <v>28</v>
      </c>
      <c r="N725" t="s">
        <v>2404</v>
      </c>
      <c r="O725">
        <v>1</v>
      </c>
      <c r="P725" s="2">
        <v>43844</v>
      </c>
      <c r="Q725" s="1">
        <v>29</v>
      </c>
      <c r="R725" t="s">
        <v>2844</v>
      </c>
      <c r="S725">
        <v>1090704425</v>
      </c>
    </row>
    <row r="726" spans="1:19" x14ac:dyDescent="0.2">
      <c r="A726" t="str">
        <f t="shared" si="111"/>
        <v>Adult Fiction</v>
      </c>
      <c r="B726" t="str">
        <f>"NEW F PORTE"</f>
        <v>NEW F PORTE</v>
      </c>
      <c r="C726" t="str">
        <f>"The travelers: a novel"</f>
        <v>The travelers: a novel</v>
      </c>
      <c r="D726">
        <v>356685</v>
      </c>
      <c r="E726" t="str">
        <f>"Porter, Regina"</f>
        <v>Porter, Regina</v>
      </c>
      <c r="G726" t="str">
        <f>"309 p., 25 cm, illustrations"</f>
        <v>309 p., 25 cm, illustrations</v>
      </c>
      <c r="H726" s="1">
        <v>19</v>
      </c>
      <c r="I726">
        <v>2019</v>
      </c>
      <c r="J726" t="str">
        <f t="shared" si="110"/>
        <v>2: Fiction</v>
      </c>
      <c r="L726" t="s">
        <v>2395</v>
      </c>
      <c r="M726" t="s">
        <v>28</v>
      </c>
      <c r="N726" t="s">
        <v>2396</v>
      </c>
      <c r="O726">
        <v>4</v>
      </c>
      <c r="P726" s="2">
        <v>43689</v>
      </c>
      <c r="Q726" s="1">
        <v>32</v>
      </c>
      <c r="R726" t="s">
        <v>2845</v>
      </c>
      <c r="S726">
        <v>1103606179</v>
      </c>
    </row>
    <row r="727" spans="1:19" x14ac:dyDescent="0.2">
      <c r="A727" t="str">
        <f t="shared" si="111"/>
        <v>Adult Fiction</v>
      </c>
      <c r="B727" t="str">
        <f>"NEW F PRESC"</f>
        <v>NEW F PRESC</v>
      </c>
      <c r="C727" t="str">
        <f>"The secrets we kept"</f>
        <v>The secrets we kept</v>
      </c>
      <c r="D727">
        <v>357249</v>
      </c>
      <c r="E727" t="str">
        <f>"Prescott, Lara"</f>
        <v>Prescott, Lara</v>
      </c>
      <c r="G727" t="str">
        <f>"xi, 349 pages, 25 cm"</f>
        <v>xi, 349 pages, 25 cm</v>
      </c>
      <c r="H727" s="1">
        <v>19</v>
      </c>
      <c r="I727">
        <v>2019</v>
      </c>
      <c r="J727" t="str">
        <f t="shared" si="110"/>
        <v>2: Fiction</v>
      </c>
      <c r="L727" t="s">
        <v>2403</v>
      </c>
      <c r="M727" t="s">
        <v>28</v>
      </c>
      <c r="N727" t="s">
        <v>2404</v>
      </c>
      <c r="O727">
        <v>7</v>
      </c>
      <c r="P727" s="2">
        <v>43711</v>
      </c>
      <c r="Q727" s="1">
        <v>32</v>
      </c>
      <c r="R727" t="s">
        <v>2846</v>
      </c>
      <c r="S727">
        <v>1061867295</v>
      </c>
    </row>
    <row r="728" spans="1:19" x14ac:dyDescent="0.2">
      <c r="A728" t="str">
        <f t="shared" si="111"/>
        <v>Adult Fiction</v>
      </c>
      <c r="B728" t="str">
        <f>"NEW F PRESC"</f>
        <v>NEW F PRESC</v>
      </c>
      <c r="C728" t="str">
        <f>"The secrets we kept"</f>
        <v>The secrets we kept</v>
      </c>
      <c r="D728">
        <v>357250</v>
      </c>
      <c r="E728" t="str">
        <f>"Prescott, Lara"</f>
        <v>Prescott, Lara</v>
      </c>
      <c r="G728" t="str">
        <f>"xi, 349 pages, 25 cm"</f>
        <v>xi, 349 pages, 25 cm</v>
      </c>
      <c r="H728" s="1">
        <v>19</v>
      </c>
      <c r="I728">
        <v>2019</v>
      </c>
      <c r="J728" t="str">
        <f t="shared" si="110"/>
        <v>2: Fiction</v>
      </c>
      <c r="L728" t="s">
        <v>2403</v>
      </c>
      <c r="M728" t="s">
        <v>28</v>
      </c>
      <c r="N728" t="s">
        <v>2404</v>
      </c>
      <c r="O728">
        <v>9</v>
      </c>
      <c r="P728" s="2">
        <v>43711</v>
      </c>
      <c r="Q728" s="1">
        <v>32</v>
      </c>
      <c r="R728" t="s">
        <v>2846</v>
      </c>
      <c r="S728">
        <v>1061867295</v>
      </c>
    </row>
    <row r="729" spans="1:19" x14ac:dyDescent="0.2">
      <c r="A729" t="str">
        <f t="shared" si="111"/>
        <v>Adult Fiction</v>
      </c>
      <c r="B729" t="str">
        <f>"NEW F PRESC"</f>
        <v>NEW F PRESC</v>
      </c>
      <c r="C729" t="str">
        <f>"The secrets we kept"</f>
        <v>The secrets we kept</v>
      </c>
      <c r="D729">
        <v>357922</v>
      </c>
      <c r="E729" t="str">
        <f>"Prescott, Lara"</f>
        <v>Prescott, Lara</v>
      </c>
      <c r="G729" t="str">
        <f>"xi, 349 pages, 25 cm"</f>
        <v>xi, 349 pages, 25 cm</v>
      </c>
      <c r="H729" s="1">
        <v>19</v>
      </c>
      <c r="I729">
        <v>2019</v>
      </c>
      <c r="J729" t="str">
        <f t="shared" si="110"/>
        <v>2: Fiction</v>
      </c>
      <c r="L729" t="s">
        <v>2395</v>
      </c>
      <c r="M729" t="s">
        <v>28</v>
      </c>
      <c r="N729" t="s">
        <v>2404</v>
      </c>
      <c r="O729">
        <v>11</v>
      </c>
      <c r="P729" s="2">
        <v>43733</v>
      </c>
      <c r="Q729" s="1">
        <v>32</v>
      </c>
      <c r="R729" t="s">
        <v>2846</v>
      </c>
      <c r="S729">
        <v>1061867295</v>
      </c>
    </row>
    <row r="730" spans="1:19" x14ac:dyDescent="0.2">
      <c r="A730" t="str">
        <f t="shared" si="111"/>
        <v>Adult Fiction</v>
      </c>
      <c r="B730" t="str">
        <f>"NEW F PRESC"</f>
        <v>NEW F PRESC</v>
      </c>
      <c r="C730" t="str">
        <f>"The secrets we kept"</f>
        <v>The secrets we kept</v>
      </c>
      <c r="D730">
        <v>357923</v>
      </c>
      <c r="E730" t="str">
        <f>"Prescott, Lara"</f>
        <v>Prescott, Lara</v>
      </c>
      <c r="G730" t="str">
        <f>"xi, 349 pages, 25 cm"</f>
        <v>xi, 349 pages, 25 cm</v>
      </c>
      <c r="H730" s="1">
        <v>19</v>
      </c>
      <c r="I730">
        <v>2019</v>
      </c>
      <c r="J730" t="str">
        <f t="shared" si="110"/>
        <v>2: Fiction</v>
      </c>
      <c r="L730" t="s">
        <v>2403</v>
      </c>
      <c r="M730" t="s">
        <v>28</v>
      </c>
      <c r="N730" t="str">
        <f>"Reserve Cart"</f>
        <v>Reserve Cart</v>
      </c>
      <c r="O730">
        <v>8</v>
      </c>
      <c r="P730" s="2">
        <v>43733</v>
      </c>
      <c r="Q730" s="1">
        <v>32</v>
      </c>
      <c r="R730" t="s">
        <v>2846</v>
      </c>
      <c r="S730">
        <v>1061867295</v>
      </c>
    </row>
    <row r="731" spans="1:19" x14ac:dyDescent="0.2">
      <c r="A731" t="str">
        <f t="shared" si="111"/>
        <v>Adult Fiction</v>
      </c>
      <c r="B731" t="str">
        <f>"NEW F PRESC"</f>
        <v>NEW F PRESC</v>
      </c>
      <c r="C731" t="str">
        <f>"The secrets we kept"</f>
        <v>The secrets we kept</v>
      </c>
      <c r="D731">
        <v>357924</v>
      </c>
      <c r="E731" t="str">
        <f>"Prescott, Lara"</f>
        <v>Prescott, Lara</v>
      </c>
      <c r="G731" t="str">
        <f>"xi, 349 pages, 25 cm"</f>
        <v>xi, 349 pages, 25 cm</v>
      </c>
      <c r="H731" s="1">
        <v>19</v>
      </c>
      <c r="I731">
        <v>2019</v>
      </c>
      <c r="J731" t="str">
        <f t="shared" si="110"/>
        <v>2: Fiction</v>
      </c>
      <c r="L731" t="s">
        <v>2395</v>
      </c>
      <c r="M731" t="s">
        <v>28</v>
      </c>
      <c r="N731" t="s">
        <v>2404</v>
      </c>
      <c r="O731">
        <v>7</v>
      </c>
      <c r="P731" s="2">
        <v>43733</v>
      </c>
      <c r="Q731" s="1">
        <v>32</v>
      </c>
      <c r="R731" t="s">
        <v>2846</v>
      </c>
      <c r="S731">
        <v>1061867295</v>
      </c>
    </row>
    <row r="732" spans="1:19" x14ac:dyDescent="0.2">
      <c r="A732" t="str">
        <f t="shared" si="111"/>
        <v>Adult Fiction</v>
      </c>
      <c r="B732" t="str">
        <f>"NEW F PREST"</f>
        <v>NEW F PREST</v>
      </c>
      <c r="C732" t="str">
        <f>"Old bones"</f>
        <v>Old bones</v>
      </c>
      <c r="D732">
        <v>356952</v>
      </c>
      <c r="E732" t="str">
        <f>"Preston, Douglas J."</f>
        <v>Preston, Douglas J.</v>
      </c>
      <c r="G732" t="str">
        <f>"369 pages, 24 cm"</f>
        <v>369 pages, 24 cm</v>
      </c>
      <c r="H732" s="1">
        <v>19</v>
      </c>
      <c r="I732">
        <v>2019</v>
      </c>
      <c r="J732" t="str">
        <f t="shared" si="110"/>
        <v>2: Fiction</v>
      </c>
      <c r="L732" t="s">
        <v>2395</v>
      </c>
      <c r="M732" t="s">
        <v>28</v>
      </c>
      <c r="N732" t="s">
        <v>2404</v>
      </c>
      <c r="O732">
        <v>8</v>
      </c>
      <c r="P732" s="2">
        <v>43696</v>
      </c>
      <c r="Q732" s="1">
        <v>33</v>
      </c>
      <c r="R732" t="s">
        <v>2847</v>
      </c>
      <c r="S732">
        <v>1082183590</v>
      </c>
    </row>
    <row r="733" spans="1:19" x14ac:dyDescent="0.2">
      <c r="A733" t="str">
        <f t="shared" si="111"/>
        <v>Adult Fiction</v>
      </c>
      <c r="B733" t="str">
        <f>"NEW F PREST"</f>
        <v>NEW F PREST</v>
      </c>
      <c r="C733" t="str">
        <f>"Old bones"</f>
        <v>Old bones</v>
      </c>
      <c r="D733">
        <v>356953</v>
      </c>
      <c r="E733" t="str">
        <f>"Preston, Douglas J."</f>
        <v>Preston, Douglas J.</v>
      </c>
      <c r="G733" t="str">
        <f>"369 pages, 24 cm"</f>
        <v>369 pages, 24 cm</v>
      </c>
      <c r="H733" s="1">
        <v>19</v>
      </c>
      <c r="I733">
        <v>2019</v>
      </c>
      <c r="J733" t="str">
        <f t="shared" si="110"/>
        <v>2: Fiction</v>
      </c>
      <c r="L733" t="s">
        <v>2395</v>
      </c>
      <c r="M733" t="s">
        <v>28</v>
      </c>
      <c r="N733" t="s">
        <v>2396</v>
      </c>
      <c r="O733">
        <v>11</v>
      </c>
      <c r="P733" s="2">
        <v>43696</v>
      </c>
      <c r="Q733" s="1">
        <v>33</v>
      </c>
      <c r="R733" t="s">
        <v>2847</v>
      </c>
      <c r="S733">
        <v>1082183590</v>
      </c>
    </row>
    <row r="734" spans="1:19" x14ac:dyDescent="0.2">
      <c r="A734" t="str">
        <f t="shared" si="111"/>
        <v>Adult Fiction</v>
      </c>
      <c r="B734" t="str">
        <f>"NEW F PREST"</f>
        <v>NEW F PREST</v>
      </c>
      <c r="C734" t="str">
        <f>"Old bones"</f>
        <v>Old bones</v>
      </c>
      <c r="D734">
        <v>356954</v>
      </c>
      <c r="E734" t="str">
        <f>"Preston, Douglas J."</f>
        <v>Preston, Douglas J.</v>
      </c>
      <c r="G734" t="str">
        <f>"369 pages, 24 cm"</f>
        <v>369 pages, 24 cm</v>
      </c>
      <c r="H734" s="1">
        <v>19</v>
      </c>
      <c r="I734">
        <v>2019</v>
      </c>
      <c r="J734" t="str">
        <f t="shared" si="110"/>
        <v>2: Fiction</v>
      </c>
      <c r="L734" t="s">
        <v>2395</v>
      </c>
      <c r="M734" t="s">
        <v>28</v>
      </c>
      <c r="N734" t="s">
        <v>2396</v>
      </c>
      <c r="O734">
        <v>7</v>
      </c>
      <c r="P734" s="2">
        <v>43696</v>
      </c>
      <c r="Q734" s="1">
        <v>33</v>
      </c>
      <c r="R734" t="s">
        <v>2847</v>
      </c>
      <c r="S734">
        <v>1082183590</v>
      </c>
    </row>
    <row r="735" spans="1:19" x14ac:dyDescent="0.2">
      <c r="A735" t="str">
        <f t="shared" si="111"/>
        <v>Adult Fiction</v>
      </c>
      <c r="B735" t="str">
        <f>"NEW F PRICE"</f>
        <v>NEW F PRICE</v>
      </c>
      <c r="C735" t="str">
        <f>"The Hotel Neversink"</f>
        <v>The Hotel Neversink</v>
      </c>
      <c r="D735">
        <v>356980</v>
      </c>
      <c r="E735" t="str">
        <f>"Price, Adam O'Fallon"</f>
        <v>Price, Adam O'Fallon</v>
      </c>
      <c r="G735" t="str">
        <f>"279 pages, 22 cm"</f>
        <v>279 pages, 22 cm</v>
      </c>
      <c r="H735" s="1">
        <v>19</v>
      </c>
      <c r="I735">
        <v>2019</v>
      </c>
      <c r="J735" t="str">
        <f t="shared" si="110"/>
        <v>2: Fiction</v>
      </c>
      <c r="L735" t="s">
        <v>2403</v>
      </c>
      <c r="M735" t="s">
        <v>28</v>
      </c>
      <c r="N735" t="s">
        <v>2396</v>
      </c>
      <c r="O735">
        <v>8</v>
      </c>
      <c r="P735" s="2">
        <v>43696</v>
      </c>
      <c r="Q735" s="1">
        <v>21</v>
      </c>
      <c r="R735" t="s">
        <v>2848</v>
      </c>
      <c r="S735">
        <v>1053997426</v>
      </c>
    </row>
    <row r="736" spans="1:19" x14ac:dyDescent="0.2">
      <c r="A736" t="str">
        <f t="shared" si="111"/>
        <v>Adult Fiction</v>
      </c>
      <c r="B736" t="str">
        <f>"NEW F PRIOR"</f>
        <v>NEW F PRIOR</v>
      </c>
      <c r="C736" t="str">
        <f>"Ellie and the harpmaker"</f>
        <v>Ellie and the harpmaker</v>
      </c>
      <c r="D736">
        <v>356705</v>
      </c>
      <c r="E736" t="str">
        <f>"Prior, Hazel"</f>
        <v>Prior, Hazel</v>
      </c>
      <c r="G736" t="str">
        <f>"327 p., 24 cm"</f>
        <v>327 p., 24 cm</v>
      </c>
      <c r="H736" s="1">
        <v>19</v>
      </c>
      <c r="I736">
        <v>2019</v>
      </c>
      <c r="J736" t="str">
        <f t="shared" si="110"/>
        <v>2: Fiction</v>
      </c>
      <c r="L736" t="s">
        <v>2395</v>
      </c>
      <c r="M736" t="s">
        <v>28</v>
      </c>
      <c r="N736" t="s">
        <v>2404</v>
      </c>
      <c r="O736">
        <v>6</v>
      </c>
      <c r="P736" s="2">
        <v>43689</v>
      </c>
      <c r="Q736" s="1">
        <v>31</v>
      </c>
      <c r="R736" t="s">
        <v>2849</v>
      </c>
      <c r="S736">
        <v>1110105375</v>
      </c>
    </row>
    <row r="737" spans="1:19" x14ac:dyDescent="0.2">
      <c r="A737" t="str">
        <f t="shared" si="111"/>
        <v>Adult Fiction</v>
      </c>
      <c r="B737" t="str">
        <f>"NEW F PUFAH"</f>
        <v>NEW F PUFAH</v>
      </c>
      <c r="C737" t="str">
        <f>"On swift horses"</f>
        <v>On swift horses</v>
      </c>
      <c r="D737">
        <v>359078</v>
      </c>
      <c r="E737" t="str">
        <f>"Pufahl, Shannon"</f>
        <v>Pufahl, Shannon</v>
      </c>
      <c r="G737" t="str">
        <f>"306 p."</f>
        <v>306 p.</v>
      </c>
      <c r="H737" s="1">
        <v>19</v>
      </c>
      <c r="I737">
        <v>2019</v>
      </c>
      <c r="J737" t="str">
        <f t="shared" si="110"/>
        <v>2: Fiction</v>
      </c>
      <c r="L737" t="s">
        <v>2403</v>
      </c>
      <c r="M737" t="s">
        <v>28</v>
      </c>
      <c r="N737" t="s">
        <v>2396</v>
      </c>
      <c r="O737">
        <v>2</v>
      </c>
      <c r="P737" s="2">
        <v>43776</v>
      </c>
      <c r="Q737" s="1">
        <v>32</v>
      </c>
      <c r="R737" t="s">
        <v>2850</v>
      </c>
      <c r="S737">
        <v>1088633114</v>
      </c>
    </row>
    <row r="738" spans="1:19" x14ac:dyDescent="0.2">
      <c r="A738" t="str">
        <f t="shared" si="111"/>
        <v>Adult Fiction</v>
      </c>
      <c r="B738" t="str">
        <f>"NEW F QUANT"</f>
        <v>NEW F QUANT</v>
      </c>
      <c r="C738" t="str">
        <f>"All my colors"</f>
        <v>All my colors</v>
      </c>
      <c r="D738">
        <v>354887</v>
      </c>
      <c r="E738" t="str">
        <f>"Quantick, David"</f>
        <v>Quantick, David</v>
      </c>
      <c r="G738" t="str">
        <f>"287 pages, 21 cm"</f>
        <v>287 pages, 21 cm</v>
      </c>
      <c r="H738" s="1">
        <v>19</v>
      </c>
      <c r="I738">
        <v>2019</v>
      </c>
      <c r="J738" t="str">
        <f t="shared" si="110"/>
        <v>2: Fiction</v>
      </c>
      <c r="L738" t="s">
        <v>2395</v>
      </c>
      <c r="M738" t="s">
        <v>28</v>
      </c>
      <c r="N738" t="s">
        <v>2401</v>
      </c>
      <c r="O738">
        <v>1</v>
      </c>
      <c r="P738" s="2">
        <v>43606</v>
      </c>
      <c r="Q738" s="1">
        <v>20</v>
      </c>
      <c r="R738" t="s">
        <v>2851</v>
      </c>
      <c r="S738">
        <v>1046067493</v>
      </c>
    </row>
    <row r="739" spans="1:19" x14ac:dyDescent="0.2">
      <c r="A739" t="str">
        <f t="shared" si="111"/>
        <v>Adult Fiction</v>
      </c>
      <c r="B739" t="str">
        <f>"NEW F QUART"</f>
        <v>NEW F QUART</v>
      </c>
      <c r="C739" t="str">
        <f>"The missing American"</f>
        <v>The missing American</v>
      </c>
      <c r="D739">
        <v>360442</v>
      </c>
      <c r="E739" t="str">
        <f>"Quartey, Kwei"</f>
        <v>Quartey, Kwei</v>
      </c>
      <c r="F739" t="str">
        <f>"Emma Djan series (1)"</f>
        <v>Emma Djan series (1)</v>
      </c>
      <c r="G739" t="str">
        <f>"419 pages, 22 cm"</f>
        <v>419 pages, 22 cm</v>
      </c>
      <c r="H739" s="1">
        <v>20</v>
      </c>
      <c r="I739">
        <v>2020</v>
      </c>
      <c r="J739" t="str">
        <f t="shared" si="110"/>
        <v>2: Fiction</v>
      </c>
      <c r="L739" t="s">
        <v>2395</v>
      </c>
      <c r="M739" t="s">
        <v>28</v>
      </c>
      <c r="N739" t="s">
        <v>2396</v>
      </c>
      <c r="O739">
        <v>0</v>
      </c>
      <c r="P739" s="2">
        <v>43851</v>
      </c>
      <c r="Q739" s="1">
        <v>33</v>
      </c>
      <c r="R739" t="s">
        <v>2852</v>
      </c>
      <c r="S739">
        <v>1097578184</v>
      </c>
    </row>
    <row r="740" spans="1:19" x14ac:dyDescent="0.2">
      <c r="A740" t="str">
        <f t="shared" si="111"/>
        <v>Adult Fiction</v>
      </c>
      <c r="B740" t="str">
        <f>"NEW F QUINC"</f>
        <v>NEW F QUINC</v>
      </c>
      <c r="C740" t="str">
        <f>"Murder at the opera"</f>
        <v>Murder at the opera</v>
      </c>
      <c r="D740">
        <v>359873</v>
      </c>
      <c r="E740" t="str">
        <f>"Quincy, D. M."</f>
        <v>Quincy, D. M.</v>
      </c>
      <c r="G740" t="str">
        <f>"330 pages, 22 cm"</f>
        <v>330 pages, 22 cm</v>
      </c>
      <c r="H740" s="1">
        <v>19</v>
      </c>
      <c r="I740">
        <v>2019</v>
      </c>
      <c r="J740" t="str">
        <f t="shared" si="110"/>
        <v>2: Fiction</v>
      </c>
      <c r="L740" t="s">
        <v>2395</v>
      </c>
      <c r="M740" t="s">
        <v>28</v>
      </c>
      <c r="N740" t="s">
        <v>2396</v>
      </c>
      <c r="O740">
        <v>2</v>
      </c>
      <c r="P740" s="2">
        <v>43815</v>
      </c>
      <c r="Q740" s="1">
        <v>32</v>
      </c>
      <c r="R740" t="s">
        <v>2853</v>
      </c>
      <c r="S740">
        <v>1089955576</v>
      </c>
    </row>
    <row r="741" spans="1:19" x14ac:dyDescent="0.2">
      <c r="A741" t="str">
        <f t="shared" si="111"/>
        <v>Adult Fiction</v>
      </c>
      <c r="B741" t="str">
        <f>"NEW F QUINN"</f>
        <v>NEW F QUINN</v>
      </c>
      <c r="C741" t="str">
        <f>"Heart of barkness"</f>
        <v>Heart of barkness</v>
      </c>
      <c r="D741">
        <v>356659</v>
      </c>
      <c r="E741" t="str">
        <f>"Quinn, Spencer."</f>
        <v>Quinn, Spencer.</v>
      </c>
      <c r="F741" t="str">
        <f>"Chet and Bernie Mystery series (9)"</f>
        <v>Chet and Bernie Mystery series (9)</v>
      </c>
      <c r="G741" t="str">
        <f>"299 p., 22 cm"</f>
        <v>299 p., 22 cm</v>
      </c>
      <c r="H741" s="1">
        <v>19</v>
      </c>
      <c r="I741">
        <v>2019</v>
      </c>
      <c r="J741" t="str">
        <f t="shared" si="110"/>
        <v>2: Fiction</v>
      </c>
      <c r="L741" t="s">
        <v>2395</v>
      </c>
      <c r="M741" t="s">
        <v>28</v>
      </c>
      <c r="N741" t="s">
        <v>2396</v>
      </c>
      <c r="O741">
        <v>9</v>
      </c>
      <c r="P741" s="2">
        <v>43689</v>
      </c>
      <c r="Q741" s="1">
        <v>31</v>
      </c>
      <c r="R741" t="s">
        <v>2854</v>
      </c>
      <c r="S741">
        <v>1050279168</v>
      </c>
    </row>
    <row r="742" spans="1:19" x14ac:dyDescent="0.2">
      <c r="A742" t="str">
        <f t="shared" si="111"/>
        <v>Adult Fiction</v>
      </c>
      <c r="B742" t="str">
        <f>"NEW F RACCU"</f>
        <v>NEW F RACCU</v>
      </c>
      <c r="C742" t="str">
        <f>"Tuesday Mooney talks to ghosts: an adventure"</f>
        <v>Tuesday Mooney talks to ghosts: an adventure</v>
      </c>
      <c r="D742">
        <v>358573</v>
      </c>
      <c r="E742" t="str">
        <f>"Racculia, Kate."</f>
        <v>Racculia, Kate.</v>
      </c>
      <c r="G742" t="str">
        <f>"359 pages, 24 cm, illustrations"</f>
        <v>359 pages, 24 cm, illustrations</v>
      </c>
      <c r="H742" s="1">
        <v>19</v>
      </c>
      <c r="I742">
        <v>2019</v>
      </c>
      <c r="J742" t="str">
        <f t="shared" si="110"/>
        <v>2: Fiction</v>
      </c>
      <c r="L742" t="s">
        <v>2395</v>
      </c>
      <c r="M742" t="s">
        <v>28</v>
      </c>
      <c r="N742" t="s">
        <v>2396</v>
      </c>
      <c r="O742">
        <v>3</v>
      </c>
      <c r="P742" s="2">
        <v>43756</v>
      </c>
      <c r="Q742" s="1">
        <v>31</v>
      </c>
      <c r="R742" t="s">
        <v>2855</v>
      </c>
      <c r="S742">
        <v>1057729113</v>
      </c>
    </row>
    <row r="743" spans="1:19" x14ac:dyDescent="0.2">
      <c r="A743" t="str">
        <f t="shared" si="111"/>
        <v>Adult Fiction</v>
      </c>
      <c r="B743" t="str">
        <f>"NEW F RAGSD"</f>
        <v>NEW F RAGSD</v>
      </c>
      <c r="C743" t="str">
        <f>"The art of remembering"</f>
        <v>The art of remembering</v>
      </c>
      <c r="D743">
        <v>356736</v>
      </c>
      <c r="E743" t="str">
        <f>"Ragsdale, Alison."</f>
        <v>Ragsdale, Alison.</v>
      </c>
      <c r="G743" t="str">
        <f>"385 p."</f>
        <v>385 p.</v>
      </c>
      <c r="H743" s="1">
        <v>19</v>
      </c>
      <c r="I743">
        <v>2019</v>
      </c>
      <c r="J743" t="str">
        <f t="shared" si="110"/>
        <v>2: Fiction</v>
      </c>
      <c r="L743" t="s">
        <v>2403</v>
      </c>
      <c r="M743" t="s">
        <v>28</v>
      </c>
      <c r="N743" t="s">
        <v>2396</v>
      </c>
      <c r="O743">
        <v>8</v>
      </c>
      <c r="P743" s="2">
        <v>43683</v>
      </c>
      <c r="Q743" s="1">
        <v>20</v>
      </c>
      <c r="R743" t="s">
        <v>2856</v>
      </c>
    </row>
    <row r="744" spans="1:19" x14ac:dyDescent="0.2">
      <c r="A744" t="str">
        <f t="shared" si="111"/>
        <v>Adult Fiction</v>
      </c>
      <c r="B744" t="str">
        <f>"NEW F RAISI"</f>
        <v>NEW F RAISI</v>
      </c>
      <c r="C744" t="str">
        <f>"The little bookshop on the Seine"</f>
        <v>The little bookshop on the Seine</v>
      </c>
      <c r="D744">
        <v>360230</v>
      </c>
      <c r="E744" t="str">
        <f>"Raisin, Rebecca"</f>
        <v>Raisin, Rebecca</v>
      </c>
      <c r="G744" t="str">
        <f>"286 pages"</f>
        <v>286 pages</v>
      </c>
      <c r="H744" s="1">
        <v>19</v>
      </c>
      <c r="I744">
        <v>2020</v>
      </c>
      <c r="J744" t="str">
        <f t="shared" si="110"/>
        <v>2: Fiction</v>
      </c>
      <c r="L744" t="s">
        <v>2395</v>
      </c>
      <c r="M744" t="s">
        <v>28</v>
      </c>
      <c r="N744" t="s">
        <v>2404</v>
      </c>
      <c r="O744">
        <v>1</v>
      </c>
      <c r="P744" s="2">
        <v>43844</v>
      </c>
      <c r="Q744" s="1">
        <v>33</v>
      </c>
      <c r="R744" t="s">
        <v>2857</v>
      </c>
      <c r="S744">
        <v>1135846667</v>
      </c>
    </row>
    <row r="745" spans="1:19" x14ac:dyDescent="0.2">
      <c r="A745" t="str">
        <f t="shared" si="111"/>
        <v>Adult Fiction</v>
      </c>
      <c r="B745" t="str">
        <f>"NEW F RANEY"</f>
        <v>NEW F RANEY</v>
      </c>
      <c r="C745" t="str">
        <f>"All the water in the world: a novel"</f>
        <v>All the water in the world: a novel</v>
      </c>
      <c r="D745">
        <v>357014</v>
      </c>
      <c r="E745" t="str">
        <f>"Raney, Karen"</f>
        <v>Raney, Karen</v>
      </c>
      <c r="G745" t="str">
        <f>"345 pages, 24 cm"</f>
        <v>345 pages, 24 cm</v>
      </c>
      <c r="H745" s="1">
        <v>19</v>
      </c>
      <c r="I745">
        <v>2019</v>
      </c>
      <c r="J745" t="str">
        <f t="shared" si="110"/>
        <v>2: Fiction</v>
      </c>
      <c r="L745" t="s">
        <v>2403</v>
      </c>
      <c r="M745" t="s">
        <v>28</v>
      </c>
      <c r="N745" t="s">
        <v>2396</v>
      </c>
      <c r="O745">
        <v>6</v>
      </c>
      <c r="P745" s="2">
        <v>43704</v>
      </c>
      <c r="Q745" s="1">
        <v>32</v>
      </c>
      <c r="R745" t="s">
        <v>2858</v>
      </c>
      <c r="S745">
        <v>1056740155</v>
      </c>
    </row>
    <row r="746" spans="1:19" x14ac:dyDescent="0.2">
      <c r="A746" t="str">
        <f t="shared" si="111"/>
        <v>Adult Fiction</v>
      </c>
      <c r="B746" t="str">
        <f>"NEW F RAO"</f>
        <v>NEW F RAO</v>
      </c>
      <c r="C746" t="str">
        <f>"Polite society"</f>
        <v>Polite society</v>
      </c>
      <c r="D746">
        <v>356943</v>
      </c>
      <c r="E746" t="str">
        <f>"Rao, Mahesh"</f>
        <v>Rao, Mahesh</v>
      </c>
      <c r="G746" t="str">
        <f>"359 pages, 24 cm"</f>
        <v>359 pages, 24 cm</v>
      </c>
      <c r="H746" s="1">
        <v>19</v>
      </c>
      <c r="I746">
        <v>2019</v>
      </c>
      <c r="J746" t="str">
        <f t="shared" si="110"/>
        <v>2: Fiction</v>
      </c>
      <c r="L746" t="s">
        <v>2395</v>
      </c>
      <c r="M746" t="s">
        <v>28</v>
      </c>
      <c r="N746" t="s">
        <v>2404</v>
      </c>
      <c r="O746">
        <v>5</v>
      </c>
      <c r="P746" s="2">
        <v>43696</v>
      </c>
      <c r="Q746" s="1">
        <v>31</v>
      </c>
      <c r="R746" t="s">
        <v>2859</v>
      </c>
      <c r="S746">
        <v>1061862780</v>
      </c>
    </row>
    <row r="747" spans="1:19" x14ac:dyDescent="0.2">
      <c r="A747" t="str">
        <f t="shared" si="111"/>
        <v>Adult Fiction</v>
      </c>
      <c r="B747" t="str">
        <f>"NEW F REED"</f>
        <v>NEW F REED</v>
      </c>
      <c r="C747" t="str">
        <f>"This is the dawning: a Woodstock love story"</f>
        <v>This is the dawning: a Woodstock love story</v>
      </c>
      <c r="D747">
        <v>407334</v>
      </c>
      <c r="E747" t="str">
        <f>"Reed, Mindy"</f>
        <v>Reed, Mindy</v>
      </c>
      <c r="G747" t="str">
        <f>"223 p."</f>
        <v>223 p.</v>
      </c>
      <c r="H747" s="1">
        <v>19</v>
      </c>
      <c r="I747">
        <v>2019</v>
      </c>
      <c r="J747" t="str">
        <f t="shared" si="110"/>
        <v>2: Fiction</v>
      </c>
      <c r="L747" t="s">
        <v>2395</v>
      </c>
      <c r="M747" t="s">
        <v>28</v>
      </c>
      <c r="N747" t="s">
        <v>2396</v>
      </c>
      <c r="O747">
        <v>1</v>
      </c>
      <c r="P747" s="2">
        <v>43698</v>
      </c>
      <c r="Q747" s="1">
        <v>15</v>
      </c>
      <c r="R747" t="s">
        <v>2860</v>
      </c>
    </row>
    <row r="748" spans="1:19" x14ac:dyDescent="0.2">
      <c r="A748" t="str">
        <f t="shared" si="111"/>
        <v>Adult Fiction</v>
      </c>
      <c r="B748" t="str">
        <f>"NEW F REHDE"</f>
        <v>NEW F REHDE</v>
      </c>
      <c r="C748" t="str">
        <f>"Shake and bake"</f>
        <v>Shake and bake</v>
      </c>
      <c r="D748">
        <v>407374</v>
      </c>
      <c r="E748" t="str">
        <f>"Rehder, Ben"</f>
        <v>Rehder, Ben</v>
      </c>
      <c r="F748" t="str">
        <f>"Roy Ballard series (6)"</f>
        <v>Roy Ballard series (6)</v>
      </c>
      <c r="G748" t="str">
        <f>"259 p."</f>
        <v>259 p.</v>
      </c>
      <c r="H748" s="1">
        <v>19</v>
      </c>
      <c r="I748">
        <v>2019</v>
      </c>
      <c r="J748" t="str">
        <f t="shared" si="110"/>
        <v>2: Fiction</v>
      </c>
      <c r="L748" t="s">
        <v>2395</v>
      </c>
      <c r="M748" t="s">
        <v>28</v>
      </c>
      <c r="N748" t="s">
        <v>2404</v>
      </c>
      <c r="O748">
        <v>10</v>
      </c>
      <c r="P748" s="2">
        <v>43706</v>
      </c>
      <c r="Q748" s="1">
        <v>20</v>
      </c>
      <c r="R748" t="s">
        <v>2861</v>
      </c>
    </row>
    <row r="749" spans="1:19" x14ac:dyDescent="0.2">
      <c r="A749" t="str">
        <f t="shared" si="111"/>
        <v>Adult Fiction</v>
      </c>
      <c r="B749" t="str">
        <f>"NEW F REID"</f>
        <v>NEW F REID</v>
      </c>
      <c r="C749" t="str">
        <f>"Such a fun age: a novel"</f>
        <v>Such a fun age: a novel</v>
      </c>
      <c r="D749">
        <v>360114</v>
      </c>
      <c r="E749" t="str">
        <f>"Reid, Kiley"</f>
        <v>Reid, Kiley</v>
      </c>
      <c r="G749" t="str">
        <f>"310 pages, 24 cm"</f>
        <v>310 pages, 24 cm</v>
      </c>
      <c r="H749" s="1">
        <v>19</v>
      </c>
      <c r="I749">
        <v>2019</v>
      </c>
      <c r="J749" t="str">
        <f t="shared" si="110"/>
        <v>2: Fiction</v>
      </c>
      <c r="L749" t="s">
        <v>2395</v>
      </c>
      <c r="M749" t="s">
        <v>28</v>
      </c>
      <c r="N749" t="s">
        <v>2404</v>
      </c>
      <c r="O749">
        <v>1</v>
      </c>
      <c r="P749" s="2">
        <v>43829</v>
      </c>
      <c r="Q749" s="1">
        <v>31</v>
      </c>
      <c r="R749" t="s">
        <v>2862</v>
      </c>
      <c r="S749">
        <v>1090706582</v>
      </c>
    </row>
    <row r="750" spans="1:19" x14ac:dyDescent="0.2">
      <c r="A750" t="str">
        <f t="shared" si="111"/>
        <v>Adult Fiction</v>
      </c>
      <c r="B750" t="str">
        <f>"NEW F REID"</f>
        <v>NEW F REID</v>
      </c>
      <c r="C750" t="str">
        <f>"Such a fun age: a novel"</f>
        <v>Such a fun age: a novel</v>
      </c>
      <c r="D750">
        <v>360584</v>
      </c>
      <c r="E750" t="str">
        <f>"Reid, Kiley"</f>
        <v>Reid, Kiley</v>
      </c>
      <c r="G750" t="str">
        <f>"310 pages, 24 cm"</f>
        <v>310 pages, 24 cm</v>
      </c>
      <c r="H750" s="1">
        <v>20</v>
      </c>
      <c r="I750">
        <v>2019</v>
      </c>
      <c r="J750" t="str">
        <f t="shared" si="110"/>
        <v>2: Fiction</v>
      </c>
      <c r="L750" t="s">
        <v>2395</v>
      </c>
      <c r="M750" t="s">
        <v>28</v>
      </c>
      <c r="N750" t="str">
        <f>"Reserve Cart"</f>
        <v>Reserve Cart</v>
      </c>
      <c r="O750">
        <v>0</v>
      </c>
      <c r="P750" s="2">
        <v>43859</v>
      </c>
      <c r="Q750" s="1">
        <v>31</v>
      </c>
      <c r="R750" t="s">
        <v>2862</v>
      </c>
      <c r="S750">
        <v>1090706582</v>
      </c>
    </row>
    <row r="751" spans="1:19" x14ac:dyDescent="0.2">
      <c r="A751" t="str">
        <f t="shared" si="111"/>
        <v>Adult Fiction</v>
      </c>
      <c r="B751" t="str">
        <f>"NEW F REID"</f>
        <v>NEW F REID</v>
      </c>
      <c r="C751" t="str">
        <f>"Such a fun age: a novel"</f>
        <v>Such a fun age: a novel</v>
      </c>
      <c r="D751">
        <v>360585</v>
      </c>
      <c r="E751" t="str">
        <f>"Reid, Kiley"</f>
        <v>Reid, Kiley</v>
      </c>
      <c r="G751" t="str">
        <f>"310 pages, 24 cm"</f>
        <v>310 pages, 24 cm</v>
      </c>
      <c r="H751" s="1">
        <v>20</v>
      </c>
      <c r="I751">
        <v>2019</v>
      </c>
      <c r="J751" t="str">
        <f t="shared" si="110"/>
        <v>2: Fiction</v>
      </c>
      <c r="L751" t="s">
        <v>2395</v>
      </c>
      <c r="M751" t="s">
        <v>28</v>
      </c>
      <c r="N751" t="str">
        <f>"Reserve Cart"</f>
        <v>Reserve Cart</v>
      </c>
      <c r="O751">
        <v>0</v>
      </c>
      <c r="P751" s="2">
        <v>43859</v>
      </c>
      <c r="Q751" s="1">
        <v>31</v>
      </c>
      <c r="R751" t="s">
        <v>2862</v>
      </c>
      <c r="S751">
        <v>1090706582</v>
      </c>
    </row>
    <row r="752" spans="1:19" x14ac:dyDescent="0.2">
      <c r="A752" t="str">
        <f t="shared" si="111"/>
        <v>Adult Fiction</v>
      </c>
      <c r="B752" t="str">
        <f>"NEW F REID"</f>
        <v>NEW F REID</v>
      </c>
      <c r="C752" t="str">
        <f>"Such a fun age: a novel"</f>
        <v>Such a fun age: a novel</v>
      </c>
      <c r="D752">
        <v>360586</v>
      </c>
      <c r="E752" t="str">
        <f>"Reid, Kiley"</f>
        <v>Reid, Kiley</v>
      </c>
      <c r="G752" t="str">
        <f>"310 pages, 24 cm"</f>
        <v>310 pages, 24 cm</v>
      </c>
      <c r="H752" s="1">
        <v>20</v>
      </c>
      <c r="I752">
        <v>2019</v>
      </c>
      <c r="J752" t="str">
        <f t="shared" si="110"/>
        <v>2: Fiction</v>
      </c>
      <c r="L752" t="s">
        <v>2395</v>
      </c>
      <c r="M752" t="s">
        <v>28</v>
      </c>
      <c r="N752" t="str">
        <f>"Reserve Cart"</f>
        <v>Reserve Cart</v>
      </c>
      <c r="O752">
        <v>0</v>
      </c>
      <c r="P752" s="2">
        <v>43859</v>
      </c>
      <c r="Q752" s="1">
        <v>31</v>
      </c>
      <c r="R752" t="s">
        <v>2862</v>
      </c>
      <c r="S752">
        <v>1090706582</v>
      </c>
    </row>
    <row r="753" spans="1:19" x14ac:dyDescent="0.2">
      <c r="A753" t="str">
        <f t="shared" si="111"/>
        <v>Adult Fiction</v>
      </c>
      <c r="B753" t="str">
        <f>"NEW F REID"</f>
        <v>NEW F REID</v>
      </c>
      <c r="C753" t="str">
        <f>"Daisy Jones &amp; the Six: a novel"</f>
        <v>Daisy Jones &amp; the Six: a novel</v>
      </c>
      <c r="D753">
        <v>354602</v>
      </c>
      <c r="E753" t="str">
        <f>"Reid, Taylor Jenkins."</f>
        <v>Reid, Taylor Jenkins.</v>
      </c>
      <c r="G753" t="str">
        <f>"355 pages, 25 cm"</f>
        <v>355 pages, 25 cm</v>
      </c>
      <c r="H753" s="1">
        <v>19</v>
      </c>
      <c r="I753">
        <v>2019</v>
      </c>
      <c r="J753" t="str">
        <f t="shared" si="110"/>
        <v>2: Fiction</v>
      </c>
      <c r="L753" t="s">
        <v>2395</v>
      </c>
      <c r="M753" t="s">
        <v>28</v>
      </c>
      <c r="N753" t="s">
        <v>2404</v>
      </c>
      <c r="O753">
        <v>14</v>
      </c>
      <c r="P753" s="2">
        <v>43591</v>
      </c>
      <c r="Q753" s="1">
        <v>32</v>
      </c>
      <c r="R753" t="s">
        <v>2863</v>
      </c>
      <c r="S753">
        <v>1040232894</v>
      </c>
    </row>
    <row r="754" spans="1:19" x14ac:dyDescent="0.2">
      <c r="A754" t="str">
        <f t="shared" si="111"/>
        <v>Adult Fiction</v>
      </c>
      <c r="B754" t="str">
        <f>"NEW F RIBBO"</f>
        <v>NEW F RIBBO</v>
      </c>
      <c r="C754" t="str">
        <f>"Ribbons of scarlet: a novel of the French Revolution's women"</f>
        <v>Ribbons of scarlet: a novel of the French Revolution's women</v>
      </c>
      <c r="D754">
        <v>358343</v>
      </c>
      <c r="G754" t="str">
        <f>"xii, 514, 29 pages, 24 cm"</f>
        <v>xii, 514, 29 pages, 24 cm</v>
      </c>
      <c r="H754" s="1">
        <v>19</v>
      </c>
      <c r="I754">
        <v>2019</v>
      </c>
      <c r="J754" t="str">
        <f t="shared" si="110"/>
        <v>2: Fiction</v>
      </c>
      <c r="L754" t="s">
        <v>2403</v>
      </c>
      <c r="M754" t="s">
        <v>28</v>
      </c>
      <c r="N754" t="s">
        <v>2404</v>
      </c>
      <c r="O754">
        <v>4</v>
      </c>
      <c r="P754" s="2">
        <v>43749</v>
      </c>
      <c r="Q754" s="1">
        <v>32</v>
      </c>
      <c r="R754" t="s">
        <v>2864</v>
      </c>
      <c r="S754">
        <v>1120722058</v>
      </c>
    </row>
    <row r="755" spans="1:19" x14ac:dyDescent="0.2">
      <c r="A755" t="str">
        <f t="shared" si="111"/>
        <v>Adult Fiction</v>
      </c>
      <c r="B755" t="str">
        <f>"NEW F RICHA"</f>
        <v>NEW F RICHA</v>
      </c>
      <c r="C755" t="str">
        <f>"The book woman of Troublesome Creek: a novel"</f>
        <v>The book woman of Troublesome Creek: a novel</v>
      </c>
      <c r="D755">
        <v>357690</v>
      </c>
      <c r="E755" t="str">
        <f>"Richardson, Kim Michele"</f>
        <v>Richardson, Kim Michele</v>
      </c>
      <c r="G755" t="str">
        <f>"308 pages, 24 cm, illustrations"</f>
        <v>308 pages, 24 cm, illustrations</v>
      </c>
      <c r="H755" s="1">
        <v>19</v>
      </c>
      <c r="I755">
        <v>2019</v>
      </c>
      <c r="J755" t="str">
        <f t="shared" si="110"/>
        <v>2: Fiction</v>
      </c>
      <c r="L755" t="s">
        <v>2395</v>
      </c>
      <c r="M755" t="s">
        <v>28</v>
      </c>
      <c r="N755" t="s">
        <v>2404</v>
      </c>
      <c r="O755">
        <v>6</v>
      </c>
      <c r="P755" s="2">
        <v>43725</v>
      </c>
      <c r="Q755" s="1">
        <v>31</v>
      </c>
      <c r="R755" t="s">
        <v>2865</v>
      </c>
      <c r="S755">
        <v>1096496465</v>
      </c>
    </row>
    <row r="756" spans="1:19" x14ac:dyDescent="0.2">
      <c r="A756" t="str">
        <f t="shared" si="111"/>
        <v>Adult Fiction</v>
      </c>
      <c r="B756" t="str">
        <f>"NEW F RICHE"</f>
        <v>NEW F RICHE</v>
      </c>
      <c r="C756" t="str">
        <f>"The peacock summer"</f>
        <v>The peacock summer</v>
      </c>
      <c r="D756">
        <v>407115</v>
      </c>
      <c r="E756" t="str">
        <f>"Richell, Hannah"</f>
        <v>Richell, Hannah</v>
      </c>
      <c r="G756" t="str">
        <f>"388 p."</f>
        <v>388 p.</v>
      </c>
      <c r="H756" s="1">
        <v>19</v>
      </c>
      <c r="I756">
        <v>2019</v>
      </c>
      <c r="J756" t="str">
        <f t="shared" si="110"/>
        <v>2: Fiction</v>
      </c>
      <c r="L756" t="s">
        <v>2395</v>
      </c>
      <c r="M756" t="s">
        <v>28</v>
      </c>
      <c r="N756" t="s">
        <v>2404</v>
      </c>
      <c r="O756">
        <v>9</v>
      </c>
      <c r="P756" s="2">
        <v>43671</v>
      </c>
      <c r="Q756" s="1">
        <v>22</v>
      </c>
      <c r="R756" t="s">
        <v>2866</v>
      </c>
    </row>
    <row r="757" spans="1:19" x14ac:dyDescent="0.2">
      <c r="A757" t="str">
        <f t="shared" si="111"/>
        <v>Adult Fiction</v>
      </c>
      <c r="B757" t="str">
        <f>"NEW F RIMME"</f>
        <v>NEW F RIMME</v>
      </c>
      <c r="C757" t="str">
        <f>"The things we cannot say"</f>
        <v>The things we cannot say</v>
      </c>
      <c r="D757">
        <v>354928</v>
      </c>
      <c r="E757" t="str">
        <f>"Rimmer, Kelly"</f>
        <v>Rimmer, Kelly</v>
      </c>
      <c r="G757" t="str">
        <f>"416 pages, 24 cm, illustrations"</f>
        <v>416 pages, 24 cm, illustrations</v>
      </c>
      <c r="H757" s="1">
        <v>19</v>
      </c>
      <c r="I757">
        <v>2019</v>
      </c>
      <c r="J757" t="str">
        <f t="shared" si="110"/>
        <v>2: Fiction</v>
      </c>
      <c r="L757" t="s">
        <v>2395</v>
      </c>
      <c r="M757" t="s">
        <v>28</v>
      </c>
      <c r="N757" t="s">
        <v>2401</v>
      </c>
      <c r="O757">
        <v>11</v>
      </c>
      <c r="P757" s="2">
        <v>43606</v>
      </c>
      <c r="Q757" s="1">
        <v>22</v>
      </c>
      <c r="R757" t="s">
        <v>2867</v>
      </c>
      <c r="S757">
        <v>1089729390</v>
      </c>
    </row>
    <row r="758" spans="1:19" x14ac:dyDescent="0.2">
      <c r="A758" t="str">
        <f t="shared" si="111"/>
        <v>Adult Fiction</v>
      </c>
      <c r="B758" t="str">
        <f>"NEW F RINGO"</f>
        <v>NEW F RINGO</v>
      </c>
      <c r="C758" t="str">
        <f>"River of night"</f>
        <v>River of night</v>
      </c>
      <c r="D758">
        <v>356989</v>
      </c>
      <c r="E758" t="str">
        <f>"Ringo, John"</f>
        <v>Ringo, John</v>
      </c>
      <c r="F758" t="str">
        <f>"Black Tide Rising series (6)"</f>
        <v>Black Tide Rising series (6)</v>
      </c>
      <c r="G758" t="str">
        <f>"362 pages, 25 cm, maps"</f>
        <v>362 pages, 25 cm, maps</v>
      </c>
      <c r="H758" s="1">
        <v>19</v>
      </c>
      <c r="I758">
        <v>2019</v>
      </c>
      <c r="J758" t="str">
        <f t="shared" si="110"/>
        <v>2: Fiction</v>
      </c>
      <c r="L758" t="s">
        <v>2395</v>
      </c>
      <c r="M758" t="s">
        <v>28</v>
      </c>
      <c r="N758" t="s">
        <v>2396</v>
      </c>
      <c r="O758">
        <v>2</v>
      </c>
      <c r="P758" s="2">
        <v>43696</v>
      </c>
      <c r="Q758" s="1">
        <v>30</v>
      </c>
      <c r="R758" t="s">
        <v>2868</v>
      </c>
      <c r="S758">
        <v>1085578575</v>
      </c>
    </row>
    <row r="759" spans="1:19" x14ac:dyDescent="0.2">
      <c r="A759" t="str">
        <f t="shared" si="111"/>
        <v>Adult Fiction</v>
      </c>
      <c r="B759" t="str">
        <f>"NEW F ROBB"</f>
        <v>NEW F ROBB</v>
      </c>
      <c r="C759" t="str">
        <f>"Vendetta in death"</f>
        <v>Vendetta in death</v>
      </c>
      <c r="D759">
        <v>357154</v>
      </c>
      <c r="E759" t="str">
        <f>"Robb, J. D."</f>
        <v>Robb, J. D.</v>
      </c>
      <c r="F759" t="str">
        <f>"Eve Dallas Mystery series (49)"</f>
        <v>Eve Dallas Mystery series (49)</v>
      </c>
      <c r="G759" t="str">
        <f>"356 pages, 25 cm"</f>
        <v>356 pages, 25 cm</v>
      </c>
      <c r="H759" s="1">
        <v>19</v>
      </c>
      <c r="I759">
        <v>2019</v>
      </c>
      <c r="J759" t="str">
        <f t="shared" si="110"/>
        <v>2: Fiction</v>
      </c>
      <c r="L759" t="s">
        <v>2403</v>
      </c>
      <c r="M759" t="s">
        <v>28</v>
      </c>
      <c r="N759" t="s">
        <v>2404</v>
      </c>
      <c r="O759">
        <v>8</v>
      </c>
      <c r="P759" s="2">
        <v>43704</v>
      </c>
      <c r="Q759" s="1">
        <v>34</v>
      </c>
      <c r="R759" t="s">
        <v>2869</v>
      </c>
      <c r="S759">
        <v>1079848432</v>
      </c>
    </row>
    <row r="760" spans="1:19" x14ac:dyDescent="0.2">
      <c r="A760" t="str">
        <f t="shared" si="111"/>
        <v>Adult Fiction</v>
      </c>
      <c r="B760" t="str">
        <f>"NEW F ROBB"</f>
        <v>NEW F ROBB</v>
      </c>
      <c r="C760" t="str">
        <f>"Vendetta in death"</f>
        <v>Vendetta in death</v>
      </c>
      <c r="D760">
        <v>357155</v>
      </c>
      <c r="E760" t="str">
        <f>"Robb, J. D."</f>
        <v>Robb, J. D.</v>
      </c>
      <c r="F760" t="str">
        <f>"Eve Dallas Mystery series (49)"</f>
        <v>Eve Dallas Mystery series (49)</v>
      </c>
      <c r="G760" t="str">
        <f>"356 pages, 25 cm"</f>
        <v>356 pages, 25 cm</v>
      </c>
      <c r="H760" s="1">
        <v>19</v>
      </c>
      <c r="I760">
        <v>2019</v>
      </c>
      <c r="J760" t="str">
        <f t="shared" si="110"/>
        <v>2: Fiction</v>
      </c>
      <c r="L760" t="s">
        <v>2395</v>
      </c>
      <c r="M760" t="s">
        <v>28</v>
      </c>
      <c r="N760" t="s">
        <v>2404</v>
      </c>
      <c r="O760">
        <v>8</v>
      </c>
      <c r="P760" s="2">
        <v>43704</v>
      </c>
      <c r="Q760" s="1">
        <v>34</v>
      </c>
      <c r="R760" t="s">
        <v>2869</v>
      </c>
      <c r="S760">
        <v>1079848432</v>
      </c>
    </row>
    <row r="761" spans="1:19" x14ac:dyDescent="0.2">
      <c r="A761" t="str">
        <f t="shared" si="111"/>
        <v>Adult Fiction</v>
      </c>
      <c r="B761" t="str">
        <f>"NEW F ROBB"</f>
        <v>NEW F ROBB</v>
      </c>
      <c r="C761" t="str">
        <f>"Vendetta in death"</f>
        <v>Vendetta in death</v>
      </c>
      <c r="D761">
        <v>357157</v>
      </c>
      <c r="E761" t="str">
        <f>"Robb, J. D."</f>
        <v>Robb, J. D.</v>
      </c>
      <c r="F761" t="str">
        <f>"Eve Dallas Mystery series (49)"</f>
        <v>Eve Dallas Mystery series (49)</v>
      </c>
      <c r="G761" t="str">
        <f>"356 pages, 25 cm"</f>
        <v>356 pages, 25 cm</v>
      </c>
      <c r="H761" s="1">
        <v>19</v>
      </c>
      <c r="I761">
        <v>2019</v>
      </c>
      <c r="J761" t="str">
        <f t="shared" si="110"/>
        <v>2: Fiction</v>
      </c>
      <c r="L761" t="s">
        <v>2395</v>
      </c>
      <c r="M761" t="s">
        <v>28</v>
      </c>
      <c r="N761" t="s">
        <v>2404</v>
      </c>
      <c r="O761">
        <v>10</v>
      </c>
      <c r="P761" s="2">
        <v>43704</v>
      </c>
      <c r="Q761" s="1">
        <v>34</v>
      </c>
      <c r="R761" t="s">
        <v>2869</v>
      </c>
      <c r="S761">
        <v>1079848432</v>
      </c>
    </row>
    <row r="762" spans="1:19" x14ac:dyDescent="0.2">
      <c r="A762" t="str">
        <f t="shared" si="111"/>
        <v>Adult Fiction</v>
      </c>
      <c r="B762" t="str">
        <f t="shared" ref="B762:B772" si="113">"NEW F ROBER"</f>
        <v>NEW F ROBER</v>
      </c>
      <c r="C762" t="str">
        <f t="shared" ref="C762:C771" si="114">"The rise of magicks"</f>
        <v>The rise of magicks</v>
      </c>
      <c r="D762">
        <v>359493</v>
      </c>
      <c r="E762" t="str">
        <f t="shared" ref="E762:E772" si="115">"Roberts, Nora"</f>
        <v>Roberts, Nora</v>
      </c>
      <c r="F762" t="str">
        <f t="shared" ref="F762:F771" si="116">"Chronicles of the One series (3)"</f>
        <v>Chronicles of the One series (3)</v>
      </c>
      <c r="G762" t="str">
        <f t="shared" ref="G762:G771" si="117">"454 pages, 25 cm"</f>
        <v>454 pages, 25 cm</v>
      </c>
      <c r="H762" s="1">
        <v>19</v>
      </c>
      <c r="I762">
        <v>2019</v>
      </c>
      <c r="J762" t="str">
        <f t="shared" si="110"/>
        <v>2: Fiction</v>
      </c>
      <c r="L762" t="s">
        <v>2395</v>
      </c>
      <c r="M762" t="s">
        <v>28</v>
      </c>
      <c r="N762" t="s">
        <v>2404</v>
      </c>
      <c r="O762">
        <v>3</v>
      </c>
      <c r="P762" s="2">
        <v>43802</v>
      </c>
      <c r="Q762" s="1">
        <v>34</v>
      </c>
      <c r="R762" t="s">
        <v>2870</v>
      </c>
      <c r="S762">
        <v>1079848734</v>
      </c>
    </row>
    <row r="763" spans="1:19" x14ac:dyDescent="0.2">
      <c r="A763" t="str">
        <f t="shared" si="111"/>
        <v>Adult Fiction</v>
      </c>
      <c r="B763" t="str">
        <f t="shared" si="113"/>
        <v>NEW F ROBER</v>
      </c>
      <c r="C763" t="str">
        <f t="shared" si="114"/>
        <v>The rise of magicks</v>
      </c>
      <c r="D763">
        <v>359494</v>
      </c>
      <c r="E763" t="str">
        <f t="shared" si="115"/>
        <v>Roberts, Nora</v>
      </c>
      <c r="F763" t="str">
        <f t="shared" si="116"/>
        <v>Chronicles of the One series (3)</v>
      </c>
      <c r="G763" t="str">
        <f t="shared" si="117"/>
        <v>454 pages, 25 cm</v>
      </c>
      <c r="H763" s="1">
        <v>19</v>
      </c>
      <c r="I763">
        <v>2019</v>
      </c>
      <c r="J763" t="str">
        <f t="shared" si="110"/>
        <v>2: Fiction</v>
      </c>
      <c r="L763" t="s">
        <v>2395</v>
      </c>
      <c r="M763" t="s">
        <v>28</v>
      </c>
      <c r="N763" t="s">
        <v>2396</v>
      </c>
      <c r="O763">
        <v>4</v>
      </c>
      <c r="P763" s="2">
        <v>43802</v>
      </c>
      <c r="Q763" s="1">
        <v>34</v>
      </c>
      <c r="R763" t="s">
        <v>2870</v>
      </c>
      <c r="S763">
        <v>1079848734</v>
      </c>
    </row>
    <row r="764" spans="1:19" x14ac:dyDescent="0.2">
      <c r="A764" t="str">
        <f t="shared" si="111"/>
        <v>Adult Fiction</v>
      </c>
      <c r="B764" t="str">
        <f t="shared" si="113"/>
        <v>NEW F ROBER</v>
      </c>
      <c r="C764" t="str">
        <f t="shared" si="114"/>
        <v>The rise of magicks</v>
      </c>
      <c r="D764">
        <v>359495</v>
      </c>
      <c r="E764" t="str">
        <f t="shared" si="115"/>
        <v>Roberts, Nora</v>
      </c>
      <c r="F764" t="str">
        <f t="shared" si="116"/>
        <v>Chronicles of the One series (3)</v>
      </c>
      <c r="G764" t="str">
        <f t="shared" si="117"/>
        <v>454 pages, 25 cm</v>
      </c>
      <c r="H764" s="1">
        <v>19</v>
      </c>
      <c r="I764">
        <v>2019</v>
      </c>
      <c r="J764" t="str">
        <f t="shared" si="110"/>
        <v>2: Fiction</v>
      </c>
      <c r="L764" t="s">
        <v>2395</v>
      </c>
      <c r="M764" t="s">
        <v>28</v>
      </c>
      <c r="N764" t="s">
        <v>2404</v>
      </c>
      <c r="O764">
        <v>3</v>
      </c>
      <c r="P764" s="2">
        <v>43802</v>
      </c>
      <c r="Q764" s="1">
        <v>34</v>
      </c>
      <c r="R764" t="s">
        <v>2870</v>
      </c>
      <c r="S764">
        <v>1079848734</v>
      </c>
    </row>
    <row r="765" spans="1:19" x14ac:dyDescent="0.2">
      <c r="A765" t="str">
        <f t="shared" si="111"/>
        <v>Adult Fiction</v>
      </c>
      <c r="B765" t="str">
        <f t="shared" si="113"/>
        <v>NEW F ROBER</v>
      </c>
      <c r="C765" t="str">
        <f t="shared" si="114"/>
        <v>The rise of magicks</v>
      </c>
      <c r="D765">
        <v>359496</v>
      </c>
      <c r="E765" t="str">
        <f t="shared" si="115"/>
        <v>Roberts, Nora</v>
      </c>
      <c r="F765" t="str">
        <f t="shared" si="116"/>
        <v>Chronicles of the One series (3)</v>
      </c>
      <c r="G765" t="str">
        <f t="shared" si="117"/>
        <v>454 pages, 25 cm</v>
      </c>
      <c r="H765" s="1">
        <v>19</v>
      </c>
      <c r="I765">
        <v>2019</v>
      </c>
      <c r="J765" t="str">
        <f t="shared" si="110"/>
        <v>2: Fiction</v>
      </c>
      <c r="L765" t="s">
        <v>2403</v>
      </c>
      <c r="M765" t="s">
        <v>28</v>
      </c>
      <c r="N765" t="s">
        <v>2396</v>
      </c>
      <c r="O765">
        <v>3</v>
      </c>
      <c r="P765" s="2">
        <v>43802</v>
      </c>
      <c r="Q765" s="1">
        <v>34</v>
      </c>
      <c r="R765" t="s">
        <v>2870</v>
      </c>
      <c r="S765">
        <v>1079848734</v>
      </c>
    </row>
    <row r="766" spans="1:19" x14ac:dyDescent="0.2">
      <c r="A766" t="str">
        <f t="shared" si="111"/>
        <v>Adult Fiction</v>
      </c>
      <c r="B766" t="str">
        <f t="shared" si="113"/>
        <v>NEW F ROBER</v>
      </c>
      <c r="C766" t="str">
        <f t="shared" si="114"/>
        <v>The rise of magicks</v>
      </c>
      <c r="D766">
        <v>359497</v>
      </c>
      <c r="E766" t="str">
        <f t="shared" si="115"/>
        <v>Roberts, Nora</v>
      </c>
      <c r="F766" t="str">
        <f t="shared" si="116"/>
        <v>Chronicles of the One series (3)</v>
      </c>
      <c r="G766" t="str">
        <f t="shared" si="117"/>
        <v>454 pages, 25 cm</v>
      </c>
      <c r="H766" s="1">
        <v>19</v>
      </c>
      <c r="I766">
        <v>2019</v>
      </c>
      <c r="J766" t="str">
        <f t="shared" si="110"/>
        <v>2: Fiction</v>
      </c>
      <c r="L766" t="s">
        <v>2403</v>
      </c>
      <c r="M766" t="s">
        <v>28</v>
      </c>
      <c r="N766" t="s">
        <v>2396</v>
      </c>
      <c r="O766">
        <v>3</v>
      </c>
      <c r="P766" s="2">
        <v>43802</v>
      </c>
      <c r="Q766" s="1">
        <v>34</v>
      </c>
      <c r="R766" t="s">
        <v>2870</v>
      </c>
      <c r="S766">
        <v>1079848734</v>
      </c>
    </row>
    <row r="767" spans="1:19" x14ac:dyDescent="0.2">
      <c r="A767" t="str">
        <f t="shared" si="111"/>
        <v>Adult Fiction</v>
      </c>
      <c r="B767" t="str">
        <f t="shared" si="113"/>
        <v>NEW F ROBER</v>
      </c>
      <c r="C767" t="str">
        <f t="shared" si="114"/>
        <v>The rise of magicks</v>
      </c>
      <c r="D767">
        <v>359498</v>
      </c>
      <c r="E767" t="str">
        <f t="shared" si="115"/>
        <v>Roberts, Nora</v>
      </c>
      <c r="F767" t="str">
        <f t="shared" si="116"/>
        <v>Chronicles of the One series (3)</v>
      </c>
      <c r="G767" t="str">
        <f t="shared" si="117"/>
        <v>454 pages, 25 cm</v>
      </c>
      <c r="H767" s="1">
        <v>19</v>
      </c>
      <c r="I767">
        <v>2019</v>
      </c>
      <c r="J767" t="str">
        <f t="shared" ref="J767:J830" si="118">"2: Fiction"</f>
        <v>2: Fiction</v>
      </c>
      <c r="L767" t="s">
        <v>2395</v>
      </c>
      <c r="M767" t="s">
        <v>28</v>
      </c>
      <c r="N767" t="s">
        <v>2396</v>
      </c>
      <c r="O767">
        <v>6</v>
      </c>
      <c r="P767" s="2">
        <v>43802</v>
      </c>
      <c r="Q767" s="1">
        <v>34</v>
      </c>
      <c r="R767" t="s">
        <v>2870</v>
      </c>
      <c r="S767">
        <v>1079848734</v>
      </c>
    </row>
    <row r="768" spans="1:19" x14ac:dyDescent="0.2">
      <c r="A768" t="str">
        <f t="shared" si="111"/>
        <v>Adult Fiction</v>
      </c>
      <c r="B768" t="str">
        <f t="shared" si="113"/>
        <v>NEW F ROBER</v>
      </c>
      <c r="C768" t="str">
        <f t="shared" si="114"/>
        <v>The rise of magicks</v>
      </c>
      <c r="D768">
        <v>359499</v>
      </c>
      <c r="E768" t="str">
        <f t="shared" si="115"/>
        <v>Roberts, Nora</v>
      </c>
      <c r="F768" t="str">
        <f t="shared" si="116"/>
        <v>Chronicles of the One series (3)</v>
      </c>
      <c r="G768" t="str">
        <f t="shared" si="117"/>
        <v>454 pages, 25 cm</v>
      </c>
      <c r="H768" s="1">
        <v>19</v>
      </c>
      <c r="I768">
        <v>2019</v>
      </c>
      <c r="J768" t="str">
        <f t="shared" si="118"/>
        <v>2: Fiction</v>
      </c>
      <c r="L768" t="s">
        <v>2395</v>
      </c>
      <c r="M768" t="s">
        <v>28</v>
      </c>
      <c r="N768" t="s">
        <v>2396</v>
      </c>
      <c r="O768">
        <v>4</v>
      </c>
      <c r="P768" s="2">
        <v>43802</v>
      </c>
      <c r="Q768" s="1">
        <v>34</v>
      </c>
      <c r="R768" t="s">
        <v>2870</v>
      </c>
      <c r="S768">
        <v>1079848734</v>
      </c>
    </row>
    <row r="769" spans="1:19" x14ac:dyDescent="0.2">
      <c r="A769" t="str">
        <f t="shared" si="111"/>
        <v>Adult Fiction</v>
      </c>
      <c r="B769" t="str">
        <f t="shared" si="113"/>
        <v>NEW F ROBER</v>
      </c>
      <c r="C769" t="str">
        <f t="shared" si="114"/>
        <v>The rise of magicks</v>
      </c>
      <c r="D769">
        <v>359500</v>
      </c>
      <c r="E769" t="str">
        <f t="shared" si="115"/>
        <v>Roberts, Nora</v>
      </c>
      <c r="F769" t="str">
        <f t="shared" si="116"/>
        <v>Chronicles of the One series (3)</v>
      </c>
      <c r="G769" t="str">
        <f t="shared" si="117"/>
        <v>454 pages, 25 cm</v>
      </c>
      <c r="H769" s="1">
        <v>19</v>
      </c>
      <c r="I769">
        <v>2019</v>
      </c>
      <c r="J769" t="str">
        <f t="shared" si="118"/>
        <v>2: Fiction</v>
      </c>
      <c r="L769" t="s">
        <v>2403</v>
      </c>
      <c r="M769" t="s">
        <v>28</v>
      </c>
      <c r="N769" t="s">
        <v>2396</v>
      </c>
      <c r="O769">
        <v>3</v>
      </c>
      <c r="P769" s="2">
        <v>43802</v>
      </c>
      <c r="Q769" s="1">
        <v>34</v>
      </c>
      <c r="R769" t="s">
        <v>2870</v>
      </c>
      <c r="S769">
        <v>1079848734</v>
      </c>
    </row>
    <row r="770" spans="1:19" x14ac:dyDescent="0.2">
      <c r="A770" t="str">
        <f t="shared" si="111"/>
        <v>Adult Fiction</v>
      </c>
      <c r="B770" t="str">
        <f t="shared" si="113"/>
        <v>NEW F ROBER</v>
      </c>
      <c r="C770" t="str">
        <f t="shared" si="114"/>
        <v>The rise of magicks</v>
      </c>
      <c r="D770">
        <v>359501</v>
      </c>
      <c r="E770" t="str">
        <f t="shared" si="115"/>
        <v>Roberts, Nora</v>
      </c>
      <c r="F770" t="str">
        <f t="shared" si="116"/>
        <v>Chronicles of the One series (3)</v>
      </c>
      <c r="G770" t="str">
        <f t="shared" si="117"/>
        <v>454 pages, 25 cm</v>
      </c>
      <c r="H770" s="1">
        <v>19</v>
      </c>
      <c r="I770">
        <v>2019</v>
      </c>
      <c r="J770" t="str">
        <f t="shared" si="118"/>
        <v>2: Fiction</v>
      </c>
      <c r="L770" t="s">
        <v>2395</v>
      </c>
      <c r="M770" t="s">
        <v>28</v>
      </c>
      <c r="N770" t="s">
        <v>2396</v>
      </c>
      <c r="O770">
        <v>3</v>
      </c>
      <c r="P770" s="2">
        <v>43802</v>
      </c>
      <c r="Q770" s="1">
        <v>34</v>
      </c>
      <c r="R770" t="s">
        <v>2870</v>
      </c>
      <c r="S770">
        <v>1079848734</v>
      </c>
    </row>
    <row r="771" spans="1:19" x14ac:dyDescent="0.2">
      <c r="A771" t="str">
        <f t="shared" si="111"/>
        <v>Adult Fiction</v>
      </c>
      <c r="B771" t="str">
        <f t="shared" si="113"/>
        <v>NEW F ROBER</v>
      </c>
      <c r="C771" t="str">
        <f t="shared" si="114"/>
        <v>The rise of magicks</v>
      </c>
      <c r="D771">
        <v>359502</v>
      </c>
      <c r="E771" t="str">
        <f t="shared" si="115"/>
        <v>Roberts, Nora</v>
      </c>
      <c r="F771" t="str">
        <f t="shared" si="116"/>
        <v>Chronicles of the One series (3)</v>
      </c>
      <c r="G771" t="str">
        <f t="shared" si="117"/>
        <v>454 pages, 25 cm</v>
      </c>
      <c r="H771" s="1">
        <v>19</v>
      </c>
      <c r="I771">
        <v>2019</v>
      </c>
      <c r="J771" t="str">
        <f t="shared" si="118"/>
        <v>2: Fiction</v>
      </c>
      <c r="L771" t="s">
        <v>2395</v>
      </c>
      <c r="M771" t="s">
        <v>28</v>
      </c>
      <c r="N771" t="s">
        <v>2396</v>
      </c>
      <c r="O771">
        <v>4</v>
      </c>
      <c r="P771" s="2">
        <v>43802</v>
      </c>
      <c r="Q771" s="1">
        <v>34</v>
      </c>
      <c r="R771" t="s">
        <v>2870</v>
      </c>
      <c r="S771">
        <v>1079848734</v>
      </c>
    </row>
    <row r="772" spans="1:19" x14ac:dyDescent="0.2">
      <c r="A772" t="str">
        <f t="shared" si="111"/>
        <v>Adult Fiction</v>
      </c>
      <c r="B772" t="str">
        <f t="shared" si="113"/>
        <v>NEW F ROBER</v>
      </c>
      <c r="C772" t="str">
        <f>"Under currents"</f>
        <v>Under currents</v>
      </c>
      <c r="D772">
        <v>356093</v>
      </c>
      <c r="E772" t="str">
        <f t="shared" si="115"/>
        <v>Roberts, Nora</v>
      </c>
      <c r="G772" t="str">
        <f>"436 pages, 25 cm"</f>
        <v>436 pages, 25 cm</v>
      </c>
      <c r="H772" s="1">
        <v>19</v>
      </c>
      <c r="I772">
        <v>2019</v>
      </c>
      <c r="J772" t="str">
        <f t="shared" si="118"/>
        <v>2: Fiction</v>
      </c>
      <c r="L772" t="s">
        <v>2395</v>
      </c>
      <c r="M772" t="s">
        <v>28</v>
      </c>
      <c r="N772" t="s">
        <v>2404</v>
      </c>
      <c r="O772">
        <v>10</v>
      </c>
      <c r="P772" s="2">
        <v>43655</v>
      </c>
      <c r="Q772" s="1">
        <v>34</v>
      </c>
      <c r="R772" t="s">
        <v>2871</v>
      </c>
      <c r="S772">
        <v>1057303494</v>
      </c>
    </row>
    <row r="773" spans="1:19" x14ac:dyDescent="0.2">
      <c r="A773" t="str">
        <f t="shared" si="111"/>
        <v>Adult Fiction</v>
      </c>
      <c r="B773" t="str">
        <f>"NEW F ROBIN"</f>
        <v>NEW F ROBIN</v>
      </c>
      <c r="C773" t="str">
        <f>"Many rivers to cross"</f>
        <v>Many rivers to cross</v>
      </c>
      <c r="D773">
        <v>360467</v>
      </c>
      <c r="E773" t="str">
        <f>"Robinson, Peter"</f>
        <v>Robinson, Peter</v>
      </c>
      <c r="F773" t="str">
        <f>"Inspector Banks Mystery series (26)"</f>
        <v>Inspector Banks Mystery series (26)</v>
      </c>
      <c r="G773" t="str">
        <f>"327 p."</f>
        <v>327 p.</v>
      </c>
      <c r="H773" s="1">
        <v>20</v>
      </c>
      <c r="I773">
        <v>2020</v>
      </c>
      <c r="J773" t="str">
        <f t="shared" si="118"/>
        <v>2: Fiction</v>
      </c>
      <c r="L773" t="s">
        <v>2395</v>
      </c>
      <c r="M773" t="s">
        <v>28</v>
      </c>
      <c r="N773" t="s">
        <v>2396</v>
      </c>
      <c r="O773">
        <v>0</v>
      </c>
      <c r="P773" s="2">
        <v>43851</v>
      </c>
      <c r="Q773" s="1">
        <v>34</v>
      </c>
      <c r="R773" t="s">
        <v>2872</v>
      </c>
      <c r="S773">
        <v>1103134282</v>
      </c>
    </row>
    <row r="774" spans="1:19" x14ac:dyDescent="0.2">
      <c r="A774" t="str">
        <f t="shared" si="111"/>
        <v>Adult Fiction</v>
      </c>
      <c r="B774" t="str">
        <f>"NEW F ROSE"</f>
        <v>NEW F ROSE</v>
      </c>
      <c r="C774" t="str">
        <f>"Into the dark"</f>
        <v>Into the dark</v>
      </c>
      <c r="D774">
        <v>359581</v>
      </c>
      <c r="E774" t="str">
        <f>"Rose, Karen,"</f>
        <v>Rose, Karen,</v>
      </c>
      <c r="G774" t="str">
        <f>"513 pages, 24 cm"</f>
        <v>513 pages, 24 cm</v>
      </c>
      <c r="H774" s="1">
        <v>19</v>
      </c>
      <c r="I774">
        <v>2019</v>
      </c>
      <c r="J774" t="str">
        <f t="shared" si="118"/>
        <v>2: Fiction</v>
      </c>
      <c r="L774" t="s">
        <v>2403</v>
      </c>
      <c r="M774" t="s">
        <v>28</v>
      </c>
      <c r="N774" t="s">
        <v>2404</v>
      </c>
      <c r="O774">
        <v>2</v>
      </c>
      <c r="P774" s="2">
        <v>43802</v>
      </c>
      <c r="Q774" s="1">
        <v>31</v>
      </c>
      <c r="R774" t="s">
        <v>2873</v>
      </c>
      <c r="S774">
        <v>1111643109</v>
      </c>
    </row>
    <row r="775" spans="1:19" x14ac:dyDescent="0.2">
      <c r="A775" t="str">
        <f t="shared" ref="A775:A838" si="119">"Adult Fiction"</f>
        <v>Adult Fiction</v>
      </c>
      <c r="B775" t="str">
        <f>"NEW F ROSEN"</f>
        <v>NEW F ROSEN</v>
      </c>
      <c r="C775" t="str">
        <f>"Park Avenue summer"</f>
        <v>Park Avenue summer</v>
      </c>
      <c r="D775">
        <v>354811</v>
      </c>
      <c r="E775" t="str">
        <f>"Rosen, Ren�e"</f>
        <v>Rosen, Ren�e</v>
      </c>
      <c r="G775" t="str">
        <f>"343 pages, 21 cm"</f>
        <v>343 pages, 21 cm</v>
      </c>
      <c r="H775" s="1">
        <v>19</v>
      </c>
      <c r="I775">
        <v>2019</v>
      </c>
      <c r="J775" t="str">
        <f t="shared" si="118"/>
        <v>2: Fiction</v>
      </c>
      <c r="L775" t="s">
        <v>2395</v>
      </c>
      <c r="M775" t="s">
        <v>28</v>
      </c>
      <c r="N775" t="s">
        <v>2404</v>
      </c>
      <c r="O775">
        <v>8</v>
      </c>
      <c r="P775" s="2">
        <v>43595</v>
      </c>
      <c r="Q775" s="1">
        <v>21</v>
      </c>
      <c r="R775" t="s">
        <v>2874</v>
      </c>
      <c r="S775">
        <v>1043051464</v>
      </c>
    </row>
    <row r="776" spans="1:19" x14ac:dyDescent="0.2">
      <c r="A776" t="str">
        <f t="shared" si="119"/>
        <v>Adult Fiction</v>
      </c>
      <c r="B776" t="str">
        <f>"NEW F ROSLU"</f>
        <v>NEW F ROSLU</v>
      </c>
      <c r="C776" t="str">
        <f>"Three hours"</f>
        <v>Three hours</v>
      </c>
      <c r="D776">
        <v>408576</v>
      </c>
      <c r="E776" t="str">
        <f>"Roslund, Anders"</f>
        <v>Roslund, Anders</v>
      </c>
      <c r="F776" t="str">
        <f>"Ewert Grens series (7)"</f>
        <v>Ewert Grens series (7)</v>
      </c>
      <c r="G776" t="str">
        <f>"391 pages, 24 cm"</f>
        <v>391 pages, 24 cm</v>
      </c>
      <c r="H776" s="1">
        <v>19</v>
      </c>
      <c r="I776">
        <v>2019</v>
      </c>
      <c r="J776" t="str">
        <f t="shared" si="118"/>
        <v>2: Fiction</v>
      </c>
      <c r="L776" t="s">
        <v>2403</v>
      </c>
      <c r="M776" t="s">
        <v>28</v>
      </c>
      <c r="N776" t="s">
        <v>2404</v>
      </c>
      <c r="O776">
        <v>1</v>
      </c>
      <c r="P776" s="2">
        <v>43822</v>
      </c>
      <c r="Q776" s="1">
        <v>32</v>
      </c>
      <c r="R776" t="s">
        <v>2875</v>
      </c>
      <c r="S776">
        <v>1114303999</v>
      </c>
    </row>
    <row r="777" spans="1:19" x14ac:dyDescent="0.2">
      <c r="A777" t="str">
        <f t="shared" si="119"/>
        <v>Adult Fiction</v>
      </c>
      <c r="B777" t="str">
        <f>"NEW F ROSOL"</f>
        <v>NEW F ROSOL</v>
      </c>
      <c r="C777" t="str">
        <f>"The girl and the tiger"</f>
        <v>The girl and the tiger</v>
      </c>
      <c r="D777">
        <v>408575</v>
      </c>
      <c r="E777" t="str">
        <f>"Rosolie, Paul."</f>
        <v>Rosolie, Paul.</v>
      </c>
      <c r="G777" t="str">
        <f>"336 p."</f>
        <v>336 p.</v>
      </c>
      <c r="H777" s="1">
        <v>19</v>
      </c>
      <c r="I777">
        <v>2019</v>
      </c>
      <c r="J777" t="str">
        <f t="shared" si="118"/>
        <v>2: Fiction</v>
      </c>
      <c r="L777" t="s">
        <v>2395</v>
      </c>
      <c r="M777" t="s">
        <v>28</v>
      </c>
      <c r="N777" t="s">
        <v>2404</v>
      </c>
      <c r="O777">
        <v>2</v>
      </c>
      <c r="P777" s="2">
        <v>43817</v>
      </c>
      <c r="Q777" s="1">
        <v>21</v>
      </c>
      <c r="R777" t="s">
        <v>2876</v>
      </c>
    </row>
    <row r="778" spans="1:19" x14ac:dyDescent="0.2">
      <c r="A778" t="str">
        <f t="shared" si="119"/>
        <v>Adult Fiction</v>
      </c>
      <c r="B778" t="str">
        <f>"NEW F ROWE"</f>
        <v>NEW F ROWE</v>
      </c>
      <c r="C778" t="str">
        <f>"Here until August: stories"</f>
        <v>Here until August: stories</v>
      </c>
      <c r="D778">
        <v>358074</v>
      </c>
      <c r="E778" t="str">
        <f>"Rowe, Josephine."</f>
        <v>Rowe, Josephine.</v>
      </c>
      <c r="H778" s="1">
        <v>19</v>
      </c>
      <c r="I778">
        <v>2019</v>
      </c>
      <c r="J778" t="str">
        <f t="shared" si="118"/>
        <v>2: Fiction</v>
      </c>
      <c r="L778" t="s">
        <v>2395</v>
      </c>
      <c r="M778" t="s">
        <v>28</v>
      </c>
      <c r="N778" t="s">
        <v>2396</v>
      </c>
      <c r="O778">
        <v>2</v>
      </c>
      <c r="P778" s="2">
        <v>43740</v>
      </c>
      <c r="Q778" s="1">
        <v>22</v>
      </c>
      <c r="R778" t="s">
        <v>2877</v>
      </c>
      <c r="S778">
        <v>1083684070</v>
      </c>
    </row>
    <row r="779" spans="1:19" x14ac:dyDescent="0.2">
      <c r="A779" t="str">
        <f t="shared" si="119"/>
        <v>Adult Fiction</v>
      </c>
      <c r="B779" t="str">
        <f>"NEW F ROY"</f>
        <v>NEW F ROY</v>
      </c>
      <c r="C779" t="str">
        <f>"Gone too long: a novel"</f>
        <v>Gone too long: a novel</v>
      </c>
      <c r="D779">
        <v>356384</v>
      </c>
      <c r="E779" t="str">
        <f>"Roy, Lori."</f>
        <v>Roy, Lori.</v>
      </c>
      <c r="G779" t="str">
        <f>"337 pages, 24 cm"</f>
        <v>337 pages, 24 cm</v>
      </c>
      <c r="H779" s="1">
        <v>19</v>
      </c>
      <c r="I779">
        <v>2019</v>
      </c>
      <c r="J779" t="str">
        <f t="shared" si="118"/>
        <v>2: Fiction</v>
      </c>
      <c r="L779" t="s">
        <v>2395</v>
      </c>
      <c r="M779" t="s">
        <v>28</v>
      </c>
      <c r="N779" t="s">
        <v>2404</v>
      </c>
      <c r="O779">
        <v>6</v>
      </c>
      <c r="P779" s="2">
        <v>43671</v>
      </c>
      <c r="Q779" s="1">
        <v>33</v>
      </c>
      <c r="R779" t="s">
        <v>2878</v>
      </c>
      <c r="S779">
        <v>1061814532</v>
      </c>
    </row>
    <row r="780" spans="1:19" x14ac:dyDescent="0.2">
      <c r="A780" t="str">
        <f t="shared" si="119"/>
        <v>Adult Fiction</v>
      </c>
      <c r="B780" t="str">
        <f>"NEW F RUSHD"</f>
        <v>NEW F RUSHD</v>
      </c>
      <c r="C780" t="str">
        <f>"Quichotte: a novel"</f>
        <v>Quichotte: a novel</v>
      </c>
      <c r="D780">
        <v>358555</v>
      </c>
      <c r="E780" t="str">
        <f>"Rushdie, Salman"</f>
        <v>Rushdie, Salman</v>
      </c>
      <c r="G780" t="str">
        <f>"390 p."</f>
        <v>390 p.</v>
      </c>
      <c r="H780" s="1">
        <v>19</v>
      </c>
      <c r="I780">
        <v>2019</v>
      </c>
      <c r="J780" t="str">
        <f t="shared" si="118"/>
        <v>2: Fiction</v>
      </c>
      <c r="L780" t="s">
        <v>2403</v>
      </c>
      <c r="M780" t="s">
        <v>28</v>
      </c>
      <c r="N780" t="s">
        <v>2404</v>
      </c>
      <c r="O780">
        <v>5</v>
      </c>
      <c r="P780" s="2">
        <v>43756</v>
      </c>
      <c r="Q780" s="1">
        <v>33</v>
      </c>
      <c r="R780" t="s">
        <v>2879</v>
      </c>
    </row>
    <row r="781" spans="1:19" x14ac:dyDescent="0.2">
      <c r="A781" t="str">
        <f t="shared" si="119"/>
        <v>Adult Fiction</v>
      </c>
      <c r="B781" t="str">
        <f>"NEW F RUSHD"</f>
        <v>NEW F RUSHD</v>
      </c>
      <c r="C781" t="str">
        <f>"Quichotte: a novel"</f>
        <v>Quichotte: a novel</v>
      </c>
      <c r="D781">
        <v>358556</v>
      </c>
      <c r="E781" t="str">
        <f>"Rushdie, Salman"</f>
        <v>Rushdie, Salman</v>
      </c>
      <c r="G781" t="str">
        <f>"390 p."</f>
        <v>390 p.</v>
      </c>
      <c r="H781" s="1">
        <v>19</v>
      </c>
      <c r="I781">
        <v>2019</v>
      </c>
      <c r="J781" t="str">
        <f t="shared" si="118"/>
        <v>2: Fiction</v>
      </c>
      <c r="L781" t="s">
        <v>2395</v>
      </c>
      <c r="M781" t="s">
        <v>28</v>
      </c>
      <c r="N781" t="s">
        <v>2396</v>
      </c>
      <c r="O781">
        <v>5</v>
      </c>
      <c r="P781" s="2">
        <v>43756</v>
      </c>
      <c r="Q781" s="1">
        <v>33</v>
      </c>
      <c r="R781" t="s">
        <v>2879</v>
      </c>
    </row>
    <row r="782" spans="1:19" x14ac:dyDescent="0.2">
      <c r="A782" t="str">
        <f t="shared" si="119"/>
        <v>Adult Fiction</v>
      </c>
      <c r="B782" t="str">
        <f>"NEW F RUSSE"</f>
        <v>NEW F RUSSE</v>
      </c>
      <c r="C782" t="str">
        <f>"The women of the copper country: a novel"</f>
        <v>The women of the copper country: a novel</v>
      </c>
      <c r="D782">
        <v>356814</v>
      </c>
      <c r="E782" t="str">
        <f>"Russell, Mary Doria"</f>
        <v>Russell, Mary Doria</v>
      </c>
      <c r="G782" t="str">
        <f>"339 pages, 24 cm"</f>
        <v>339 pages, 24 cm</v>
      </c>
      <c r="H782" s="1">
        <v>19</v>
      </c>
      <c r="I782">
        <v>2019</v>
      </c>
      <c r="J782" t="str">
        <f t="shared" si="118"/>
        <v>2: Fiction</v>
      </c>
      <c r="L782" t="s">
        <v>2395</v>
      </c>
      <c r="M782" t="s">
        <v>28</v>
      </c>
      <c r="N782" t="s">
        <v>2404</v>
      </c>
      <c r="O782">
        <v>7</v>
      </c>
      <c r="P782" s="2">
        <v>43690</v>
      </c>
      <c r="Q782" s="1">
        <v>32</v>
      </c>
      <c r="R782" t="s">
        <v>2880</v>
      </c>
      <c r="S782">
        <v>1101634738</v>
      </c>
    </row>
    <row r="783" spans="1:19" x14ac:dyDescent="0.2">
      <c r="A783" t="str">
        <f t="shared" si="119"/>
        <v>Adult Fiction</v>
      </c>
      <c r="B783" t="str">
        <f>"NEW F RUSSO"</f>
        <v>NEW F RUSSO</v>
      </c>
      <c r="C783" t="str">
        <f>"Chances are ..."</f>
        <v>Chances are ...</v>
      </c>
      <c r="D783">
        <v>356546</v>
      </c>
      <c r="E783" t="str">
        <f>"Russo, Richard"</f>
        <v>Russo, Richard</v>
      </c>
      <c r="G783" t="str">
        <f>"301 pages, 25 cm"</f>
        <v>301 pages, 25 cm</v>
      </c>
      <c r="H783" s="1">
        <v>19</v>
      </c>
      <c r="I783">
        <v>2019</v>
      </c>
      <c r="J783" t="str">
        <f t="shared" si="118"/>
        <v>2: Fiction</v>
      </c>
      <c r="L783" t="s">
        <v>2395</v>
      </c>
      <c r="M783" t="s">
        <v>28</v>
      </c>
      <c r="N783" t="s">
        <v>2404</v>
      </c>
      <c r="O783">
        <v>10</v>
      </c>
      <c r="P783" s="2">
        <v>43678</v>
      </c>
      <c r="Q783" s="1">
        <v>32</v>
      </c>
      <c r="R783" t="s">
        <v>2881</v>
      </c>
      <c r="S783">
        <v>1086484818</v>
      </c>
    </row>
    <row r="784" spans="1:19" x14ac:dyDescent="0.2">
      <c r="A784" t="str">
        <f t="shared" si="119"/>
        <v>Adult Fiction</v>
      </c>
      <c r="B784" t="str">
        <f>"NEW F RUSSO"</f>
        <v>NEW F RUSSO</v>
      </c>
      <c r="C784" t="str">
        <f>"Chances are ..."</f>
        <v>Chances are ...</v>
      </c>
      <c r="D784">
        <v>356547</v>
      </c>
      <c r="E784" t="str">
        <f>"Russo, Richard"</f>
        <v>Russo, Richard</v>
      </c>
      <c r="G784" t="str">
        <f>"301 pages, 25 cm"</f>
        <v>301 pages, 25 cm</v>
      </c>
      <c r="H784" s="1">
        <v>19</v>
      </c>
      <c r="I784">
        <v>2019</v>
      </c>
      <c r="J784" t="str">
        <f t="shared" si="118"/>
        <v>2: Fiction</v>
      </c>
      <c r="L784" t="s">
        <v>2403</v>
      </c>
      <c r="M784" t="s">
        <v>28</v>
      </c>
      <c r="N784" t="s">
        <v>2404</v>
      </c>
      <c r="O784">
        <v>11</v>
      </c>
      <c r="P784" s="2">
        <v>43678</v>
      </c>
      <c r="Q784" s="1">
        <v>32</v>
      </c>
      <c r="R784" t="s">
        <v>2881</v>
      </c>
      <c r="S784">
        <v>1086484818</v>
      </c>
    </row>
    <row r="785" spans="1:19" x14ac:dyDescent="0.2">
      <c r="A785" t="str">
        <f t="shared" si="119"/>
        <v>Adult Fiction</v>
      </c>
      <c r="B785" t="str">
        <f>"NEW F RUSSO"</f>
        <v>NEW F RUSSO</v>
      </c>
      <c r="C785" t="str">
        <f>"Chances are ..."</f>
        <v>Chances are ...</v>
      </c>
      <c r="D785">
        <v>356548</v>
      </c>
      <c r="E785" t="str">
        <f>"Russo, Richard"</f>
        <v>Russo, Richard</v>
      </c>
      <c r="G785" t="str">
        <f>"301 pages, 25 cm"</f>
        <v>301 pages, 25 cm</v>
      </c>
      <c r="H785" s="1">
        <v>19</v>
      </c>
      <c r="I785">
        <v>2019</v>
      </c>
      <c r="J785" t="str">
        <f t="shared" si="118"/>
        <v>2: Fiction</v>
      </c>
      <c r="L785" t="s">
        <v>2395</v>
      </c>
      <c r="M785" t="s">
        <v>28</v>
      </c>
      <c r="N785" t="s">
        <v>2404</v>
      </c>
      <c r="O785">
        <v>11</v>
      </c>
      <c r="P785" s="2">
        <v>43678</v>
      </c>
      <c r="Q785" s="1">
        <v>32</v>
      </c>
      <c r="R785" t="s">
        <v>2881</v>
      </c>
      <c r="S785">
        <v>1086484818</v>
      </c>
    </row>
    <row r="786" spans="1:19" x14ac:dyDescent="0.2">
      <c r="A786" t="str">
        <f t="shared" si="119"/>
        <v>Adult Fiction</v>
      </c>
      <c r="B786" t="str">
        <f>"NEW F SAINZ"</f>
        <v>NEW F SAINZ</v>
      </c>
      <c r="C786" t="str">
        <f>"It would be night in Caracas: a novel"</f>
        <v>It would be night in Caracas: a novel</v>
      </c>
      <c r="D786">
        <v>359028</v>
      </c>
      <c r="E786" t="str">
        <f>"Sainz Borgo, Karina,"</f>
        <v>Sainz Borgo, Karina,</v>
      </c>
      <c r="G786" t="str">
        <f>"229 pages, 22 cm"</f>
        <v>229 pages, 22 cm</v>
      </c>
      <c r="H786" s="1">
        <v>19</v>
      </c>
      <c r="I786">
        <v>2019</v>
      </c>
      <c r="J786" t="str">
        <f t="shared" si="118"/>
        <v>2: Fiction</v>
      </c>
      <c r="L786" t="s">
        <v>2395</v>
      </c>
      <c r="M786" t="s">
        <v>28</v>
      </c>
      <c r="N786" t="s">
        <v>2404</v>
      </c>
      <c r="O786">
        <v>4</v>
      </c>
      <c r="P786" s="2">
        <v>43776</v>
      </c>
      <c r="Q786" s="1">
        <v>29</v>
      </c>
      <c r="R786" t="s">
        <v>2882</v>
      </c>
      <c r="S786">
        <v>1091655938</v>
      </c>
    </row>
    <row r="787" spans="1:19" x14ac:dyDescent="0.2">
      <c r="A787" t="str">
        <f t="shared" si="119"/>
        <v>Adult Fiction</v>
      </c>
      <c r="B787" t="str">
        <f t="shared" ref="B787:B795" si="120">"NEW F SANDF"</f>
        <v>NEW F SANDF</v>
      </c>
      <c r="C787" t="str">
        <f t="shared" ref="C787:C795" si="121">"Bloody genius"</f>
        <v>Bloody genius</v>
      </c>
      <c r="D787">
        <v>358078</v>
      </c>
      <c r="E787" t="str">
        <f t="shared" ref="E787:E795" si="122">"Sandford, John,"</f>
        <v>Sandford, John,</v>
      </c>
      <c r="F787" t="str">
        <f t="shared" ref="F787:F795" si="123">"Virgil Flowers series (12)"</f>
        <v>Virgil Flowers series (12)</v>
      </c>
      <c r="G787" t="str">
        <f t="shared" ref="G787:G795" si="124">"372 p., 24 cm"</f>
        <v>372 p., 24 cm</v>
      </c>
      <c r="H787" s="1">
        <v>19</v>
      </c>
      <c r="I787">
        <v>2019</v>
      </c>
      <c r="J787" t="str">
        <f t="shared" si="118"/>
        <v>2: Fiction</v>
      </c>
      <c r="L787" t="s">
        <v>2403</v>
      </c>
      <c r="M787" t="s">
        <v>28</v>
      </c>
      <c r="N787" t="s">
        <v>2404</v>
      </c>
      <c r="O787">
        <v>8</v>
      </c>
      <c r="P787" s="2">
        <v>43740</v>
      </c>
      <c r="Q787" s="1">
        <v>34</v>
      </c>
      <c r="R787" t="s">
        <v>2883</v>
      </c>
      <c r="S787">
        <v>1099449509</v>
      </c>
    </row>
    <row r="788" spans="1:19" x14ac:dyDescent="0.2">
      <c r="A788" t="str">
        <f t="shared" si="119"/>
        <v>Adult Fiction</v>
      </c>
      <c r="B788" t="str">
        <f t="shared" si="120"/>
        <v>NEW F SANDF</v>
      </c>
      <c r="C788" t="str">
        <f t="shared" si="121"/>
        <v>Bloody genius</v>
      </c>
      <c r="D788">
        <v>358079</v>
      </c>
      <c r="E788" t="str">
        <f t="shared" si="122"/>
        <v>Sandford, John,</v>
      </c>
      <c r="F788" t="str">
        <f t="shared" si="123"/>
        <v>Virgil Flowers series (12)</v>
      </c>
      <c r="G788" t="str">
        <f t="shared" si="124"/>
        <v>372 p., 24 cm</v>
      </c>
      <c r="H788" s="1">
        <v>19</v>
      </c>
      <c r="I788">
        <v>2019</v>
      </c>
      <c r="J788" t="str">
        <f t="shared" si="118"/>
        <v>2: Fiction</v>
      </c>
      <c r="L788" t="s">
        <v>2395</v>
      </c>
      <c r="M788" t="s">
        <v>28</v>
      </c>
      <c r="N788" t="s">
        <v>2404</v>
      </c>
      <c r="O788">
        <v>8</v>
      </c>
      <c r="P788" s="2">
        <v>43740</v>
      </c>
      <c r="Q788" s="1">
        <v>34</v>
      </c>
      <c r="R788" t="s">
        <v>2883</v>
      </c>
      <c r="S788">
        <v>1099449509</v>
      </c>
    </row>
    <row r="789" spans="1:19" x14ac:dyDescent="0.2">
      <c r="A789" t="str">
        <f t="shared" si="119"/>
        <v>Adult Fiction</v>
      </c>
      <c r="B789" t="str">
        <f t="shared" si="120"/>
        <v>NEW F SANDF</v>
      </c>
      <c r="C789" t="str">
        <f t="shared" si="121"/>
        <v>Bloody genius</v>
      </c>
      <c r="D789">
        <v>358080</v>
      </c>
      <c r="E789" t="str">
        <f t="shared" si="122"/>
        <v>Sandford, John,</v>
      </c>
      <c r="F789" t="str">
        <f t="shared" si="123"/>
        <v>Virgil Flowers series (12)</v>
      </c>
      <c r="G789" t="str">
        <f t="shared" si="124"/>
        <v>372 p., 24 cm</v>
      </c>
      <c r="H789" s="1">
        <v>19</v>
      </c>
      <c r="I789">
        <v>2019</v>
      </c>
      <c r="J789" t="str">
        <f t="shared" si="118"/>
        <v>2: Fiction</v>
      </c>
      <c r="L789" t="s">
        <v>2395</v>
      </c>
      <c r="M789" t="s">
        <v>28</v>
      </c>
      <c r="N789" t="s">
        <v>2404</v>
      </c>
      <c r="O789">
        <v>10</v>
      </c>
      <c r="P789" s="2">
        <v>43740</v>
      </c>
      <c r="Q789" s="1">
        <v>34</v>
      </c>
      <c r="R789" t="s">
        <v>2883</v>
      </c>
      <c r="S789">
        <v>1099449509</v>
      </c>
    </row>
    <row r="790" spans="1:19" x14ac:dyDescent="0.2">
      <c r="A790" t="str">
        <f t="shared" si="119"/>
        <v>Adult Fiction</v>
      </c>
      <c r="B790" t="str">
        <f t="shared" si="120"/>
        <v>NEW F SANDF</v>
      </c>
      <c r="C790" t="str">
        <f t="shared" si="121"/>
        <v>Bloody genius</v>
      </c>
      <c r="D790">
        <v>358081</v>
      </c>
      <c r="E790" t="str">
        <f t="shared" si="122"/>
        <v>Sandford, John,</v>
      </c>
      <c r="F790" t="str">
        <f t="shared" si="123"/>
        <v>Virgil Flowers series (12)</v>
      </c>
      <c r="G790" t="str">
        <f t="shared" si="124"/>
        <v>372 p., 24 cm</v>
      </c>
      <c r="H790" s="1">
        <v>19</v>
      </c>
      <c r="I790">
        <v>2019</v>
      </c>
      <c r="J790" t="str">
        <f t="shared" si="118"/>
        <v>2: Fiction</v>
      </c>
      <c r="L790" t="s">
        <v>2403</v>
      </c>
      <c r="M790" t="s">
        <v>28</v>
      </c>
      <c r="N790" t="s">
        <v>2404</v>
      </c>
      <c r="O790">
        <v>9</v>
      </c>
      <c r="P790" s="2">
        <v>43740</v>
      </c>
      <c r="Q790" s="1">
        <v>34</v>
      </c>
      <c r="R790" t="s">
        <v>2883</v>
      </c>
      <c r="S790">
        <v>1099449509</v>
      </c>
    </row>
    <row r="791" spans="1:19" x14ac:dyDescent="0.2">
      <c r="A791" t="str">
        <f t="shared" si="119"/>
        <v>Adult Fiction</v>
      </c>
      <c r="B791" t="str">
        <f t="shared" si="120"/>
        <v>NEW F SANDF</v>
      </c>
      <c r="C791" t="str">
        <f t="shared" si="121"/>
        <v>Bloody genius</v>
      </c>
      <c r="D791">
        <v>358082</v>
      </c>
      <c r="E791" t="str">
        <f t="shared" si="122"/>
        <v>Sandford, John,</v>
      </c>
      <c r="F791" t="str">
        <f t="shared" si="123"/>
        <v>Virgil Flowers series (12)</v>
      </c>
      <c r="G791" t="str">
        <f t="shared" si="124"/>
        <v>372 p., 24 cm</v>
      </c>
      <c r="H791" s="1">
        <v>19</v>
      </c>
      <c r="I791">
        <v>2019</v>
      </c>
      <c r="J791" t="str">
        <f t="shared" si="118"/>
        <v>2: Fiction</v>
      </c>
      <c r="L791" t="s">
        <v>2403</v>
      </c>
      <c r="M791" t="s">
        <v>28</v>
      </c>
      <c r="N791" t="s">
        <v>2404</v>
      </c>
      <c r="O791">
        <v>6</v>
      </c>
      <c r="P791" s="2">
        <v>43740</v>
      </c>
      <c r="Q791" s="1">
        <v>34</v>
      </c>
      <c r="R791" t="s">
        <v>2883</v>
      </c>
      <c r="S791">
        <v>1099449509</v>
      </c>
    </row>
    <row r="792" spans="1:19" x14ac:dyDescent="0.2">
      <c r="A792" t="str">
        <f t="shared" si="119"/>
        <v>Adult Fiction</v>
      </c>
      <c r="B792" t="str">
        <f t="shared" si="120"/>
        <v>NEW F SANDF</v>
      </c>
      <c r="C792" t="str">
        <f t="shared" si="121"/>
        <v>Bloody genius</v>
      </c>
      <c r="D792">
        <v>358083</v>
      </c>
      <c r="E792" t="str">
        <f t="shared" si="122"/>
        <v>Sandford, John,</v>
      </c>
      <c r="F792" t="str">
        <f t="shared" si="123"/>
        <v>Virgil Flowers series (12)</v>
      </c>
      <c r="G792" t="str">
        <f t="shared" si="124"/>
        <v>372 p., 24 cm</v>
      </c>
      <c r="H792" s="1">
        <v>19</v>
      </c>
      <c r="I792">
        <v>2019</v>
      </c>
      <c r="J792" t="str">
        <f t="shared" si="118"/>
        <v>2: Fiction</v>
      </c>
      <c r="L792" t="s">
        <v>2395</v>
      </c>
      <c r="M792" t="s">
        <v>28</v>
      </c>
      <c r="N792" t="s">
        <v>2404</v>
      </c>
      <c r="O792">
        <v>6</v>
      </c>
      <c r="P792" s="2">
        <v>43740</v>
      </c>
      <c r="Q792" s="1">
        <v>34</v>
      </c>
      <c r="R792" t="s">
        <v>2883</v>
      </c>
      <c r="S792">
        <v>1099449509</v>
      </c>
    </row>
    <row r="793" spans="1:19" x14ac:dyDescent="0.2">
      <c r="A793" t="str">
        <f t="shared" si="119"/>
        <v>Adult Fiction</v>
      </c>
      <c r="B793" t="str">
        <f t="shared" si="120"/>
        <v>NEW F SANDF</v>
      </c>
      <c r="C793" t="str">
        <f t="shared" si="121"/>
        <v>Bloody genius</v>
      </c>
      <c r="D793">
        <v>358084</v>
      </c>
      <c r="E793" t="str">
        <f t="shared" si="122"/>
        <v>Sandford, John,</v>
      </c>
      <c r="F793" t="str">
        <f t="shared" si="123"/>
        <v>Virgil Flowers series (12)</v>
      </c>
      <c r="G793" t="str">
        <f t="shared" si="124"/>
        <v>372 p., 24 cm</v>
      </c>
      <c r="H793" s="1">
        <v>19</v>
      </c>
      <c r="I793">
        <v>2019</v>
      </c>
      <c r="J793" t="str">
        <f t="shared" si="118"/>
        <v>2: Fiction</v>
      </c>
      <c r="L793" t="s">
        <v>2395</v>
      </c>
      <c r="M793" t="s">
        <v>28</v>
      </c>
      <c r="N793" t="s">
        <v>2404</v>
      </c>
      <c r="O793">
        <v>8</v>
      </c>
      <c r="P793" s="2">
        <v>43740</v>
      </c>
      <c r="Q793" s="1">
        <v>34</v>
      </c>
      <c r="R793" t="s">
        <v>2883</v>
      </c>
      <c r="S793">
        <v>1099449509</v>
      </c>
    </row>
    <row r="794" spans="1:19" x14ac:dyDescent="0.2">
      <c r="A794" t="str">
        <f t="shared" si="119"/>
        <v>Adult Fiction</v>
      </c>
      <c r="B794" t="str">
        <f t="shared" si="120"/>
        <v>NEW F SANDF</v>
      </c>
      <c r="C794" t="str">
        <f t="shared" si="121"/>
        <v>Bloody genius</v>
      </c>
      <c r="D794">
        <v>358085</v>
      </c>
      <c r="E794" t="str">
        <f t="shared" si="122"/>
        <v>Sandford, John,</v>
      </c>
      <c r="F794" t="str">
        <f t="shared" si="123"/>
        <v>Virgil Flowers series (12)</v>
      </c>
      <c r="G794" t="str">
        <f t="shared" si="124"/>
        <v>372 p., 24 cm</v>
      </c>
      <c r="H794" s="1">
        <v>19</v>
      </c>
      <c r="I794">
        <v>2019</v>
      </c>
      <c r="J794" t="str">
        <f t="shared" si="118"/>
        <v>2: Fiction</v>
      </c>
      <c r="L794" t="s">
        <v>2395</v>
      </c>
      <c r="M794" t="s">
        <v>28</v>
      </c>
      <c r="N794" t="s">
        <v>2404</v>
      </c>
      <c r="O794">
        <v>7</v>
      </c>
      <c r="P794" s="2">
        <v>43740</v>
      </c>
      <c r="Q794" s="1">
        <v>34</v>
      </c>
      <c r="R794" t="s">
        <v>2883</v>
      </c>
      <c r="S794">
        <v>1099449509</v>
      </c>
    </row>
    <row r="795" spans="1:19" x14ac:dyDescent="0.2">
      <c r="A795" t="str">
        <f t="shared" si="119"/>
        <v>Adult Fiction</v>
      </c>
      <c r="B795" t="str">
        <f t="shared" si="120"/>
        <v>NEW F SANDF</v>
      </c>
      <c r="C795" t="str">
        <f t="shared" si="121"/>
        <v>Bloody genius</v>
      </c>
      <c r="D795">
        <v>358086</v>
      </c>
      <c r="E795" t="str">
        <f t="shared" si="122"/>
        <v>Sandford, John,</v>
      </c>
      <c r="F795" t="str">
        <f t="shared" si="123"/>
        <v>Virgil Flowers series (12)</v>
      </c>
      <c r="G795" t="str">
        <f t="shared" si="124"/>
        <v>372 p., 24 cm</v>
      </c>
      <c r="H795" s="1">
        <v>19</v>
      </c>
      <c r="I795">
        <v>2019</v>
      </c>
      <c r="J795" t="str">
        <f t="shared" si="118"/>
        <v>2: Fiction</v>
      </c>
      <c r="L795" t="s">
        <v>2395</v>
      </c>
      <c r="M795" t="s">
        <v>28</v>
      </c>
      <c r="N795" t="s">
        <v>2396</v>
      </c>
      <c r="O795">
        <v>9</v>
      </c>
      <c r="P795" s="2">
        <v>43740</v>
      </c>
      <c r="Q795" s="1">
        <v>34</v>
      </c>
      <c r="R795" t="s">
        <v>2883</v>
      </c>
      <c r="S795">
        <v>1099449509</v>
      </c>
    </row>
    <row r="796" spans="1:19" x14ac:dyDescent="0.2">
      <c r="A796" t="str">
        <f t="shared" si="119"/>
        <v>Adult Fiction</v>
      </c>
      <c r="B796" t="str">
        <f>"NEW F SCHIN"</f>
        <v>NEW F SCHIN</v>
      </c>
      <c r="C796" t="str">
        <f>"The Grammarians"</f>
        <v>The Grammarians</v>
      </c>
      <c r="D796">
        <v>357894</v>
      </c>
      <c r="E796" t="str">
        <f>"Schine, Cathleen"</f>
        <v>Schine, Cathleen</v>
      </c>
      <c r="G796" t="str">
        <f>"258 pages, 22 cm"</f>
        <v>258 pages, 22 cm</v>
      </c>
      <c r="H796" s="1">
        <v>19</v>
      </c>
      <c r="I796">
        <v>2019</v>
      </c>
      <c r="J796" t="str">
        <f t="shared" si="118"/>
        <v>2: Fiction</v>
      </c>
      <c r="L796" t="s">
        <v>2395</v>
      </c>
      <c r="M796" t="s">
        <v>28</v>
      </c>
      <c r="N796" t="s">
        <v>2404</v>
      </c>
      <c r="O796">
        <v>7</v>
      </c>
      <c r="P796" s="2">
        <v>43733</v>
      </c>
      <c r="Q796" s="1">
        <v>32</v>
      </c>
      <c r="R796" t="s">
        <v>2884</v>
      </c>
      <c r="S796">
        <v>1080249435</v>
      </c>
    </row>
    <row r="797" spans="1:19" x14ac:dyDescent="0.2">
      <c r="A797" t="str">
        <f t="shared" si="119"/>
        <v>Adult Fiction</v>
      </c>
      <c r="B797" t="str">
        <f>"NEW F SCOTT"</f>
        <v>NEW F SCOTT</v>
      </c>
      <c r="C797" t="str">
        <f>"Someone knows"</f>
        <v>Someone knows</v>
      </c>
      <c r="D797">
        <v>353989</v>
      </c>
      <c r="E797" t="str">
        <f>"Scottoline, Lisa"</f>
        <v>Scottoline, Lisa</v>
      </c>
      <c r="G797" t="str">
        <f>"384 p."</f>
        <v>384 p.</v>
      </c>
      <c r="H797" s="1">
        <v>19</v>
      </c>
      <c r="I797">
        <v>2019</v>
      </c>
      <c r="J797" t="str">
        <f t="shared" si="118"/>
        <v>2: Fiction</v>
      </c>
      <c r="L797" t="s">
        <v>2403</v>
      </c>
      <c r="M797" t="s">
        <v>28</v>
      </c>
      <c r="N797" t="s">
        <v>2404</v>
      </c>
      <c r="O797">
        <v>6</v>
      </c>
      <c r="P797" s="2">
        <v>43564</v>
      </c>
      <c r="Q797" s="1">
        <v>32</v>
      </c>
      <c r="R797" t="s">
        <v>2885</v>
      </c>
      <c r="S797">
        <v>1049824248</v>
      </c>
    </row>
    <row r="798" spans="1:19" x14ac:dyDescent="0.2">
      <c r="A798" t="str">
        <f t="shared" si="119"/>
        <v>Adult Fiction</v>
      </c>
      <c r="B798" t="str">
        <f>"NEW F SEXTO"</f>
        <v>NEW F SEXTO</v>
      </c>
      <c r="C798" t="str">
        <f>"The revisioners: a novel"</f>
        <v>The revisioners: a novel</v>
      </c>
      <c r="D798">
        <v>358892</v>
      </c>
      <c r="E798" t="str">
        <f>"Sexton, Margaret Wilkerson"</f>
        <v>Sexton, Margaret Wilkerson</v>
      </c>
      <c r="G798" t="str">
        <f>"280 pages, 22 cm"</f>
        <v>280 pages, 22 cm</v>
      </c>
      <c r="H798" s="1">
        <v>19</v>
      </c>
      <c r="I798">
        <v>2019</v>
      </c>
      <c r="J798" t="str">
        <f t="shared" si="118"/>
        <v>2: Fiction</v>
      </c>
      <c r="L798" t="s">
        <v>2395</v>
      </c>
      <c r="M798" t="s">
        <v>28</v>
      </c>
      <c r="N798" t="s">
        <v>2396</v>
      </c>
      <c r="O798">
        <v>3</v>
      </c>
      <c r="P798" s="2">
        <v>43769</v>
      </c>
      <c r="Q798" s="1">
        <v>30</v>
      </c>
      <c r="R798" t="s">
        <v>2886</v>
      </c>
      <c r="S798">
        <v>1085158527</v>
      </c>
    </row>
    <row r="799" spans="1:19" x14ac:dyDescent="0.2">
      <c r="A799" t="str">
        <f t="shared" si="119"/>
        <v>Adult Fiction</v>
      </c>
      <c r="B799" t="str">
        <f>"NEW F SHAFA"</f>
        <v>NEW F SHAFA</v>
      </c>
      <c r="C799" t="str">
        <f>"10 minutes 38 seconds in this strange world"</f>
        <v>10 minutes 38 seconds in this strange world</v>
      </c>
      <c r="D799">
        <v>358515</v>
      </c>
      <c r="E799" t="str">
        <f>"Shafak, Elif"</f>
        <v>Shafak, Elif</v>
      </c>
      <c r="G799" t="str">
        <f>"311 pages, 25 cm, map"</f>
        <v>311 pages, 25 cm, map</v>
      </c>
      <c r="H799" s="1">
        <v>19</v>
      </c>
      <c r="I799">
        <v>2019</v>
      </c>
      <c r="J799" t="str">
        <f t="shared" si="118"/>
        <v>2: Fiction</v>
      </c>
      <c r="L799" t="s">
        <v>2395</v>
      </c>
      <c r="M799" t="s">
        <v>28</v>
      </c>
      <c r="N799" t="s">
        <v>2404</v>
      </c>
      <c r="O799">
        <v>2</v>
      </c>
      <c r="P799" s="2">
        <v>43756</v>
      </c>
      <c r="Q799" s="1">
        <v>32</v>
      </c>
      <c r="R799" t="s">
        <v>2887</v>
      </c>
      <c r="S799">
        <v>1108212677</v>
      </c>
    </row>
    <row r="800" spans="1:19" x14ac:dyDescent="0.2">
      <c r="A800" t="str">
        <f t="shared" si="119"/>
        <v>Adult Fiction</v>
      </c>
      <c r="B800" t="str">
        <f>"NEW F SHEMI"</f>
        <v>NEW F SHEMI</v>
      </c>
      <c r="C800" t="str">
        <f>"The playground"</f>
        <v>The playground</v>
      </c>
      <c r="D800">
        <v>360239</v>
      </c>
      <c r="E800" t="str">
        <f>"Shemilt, Jane"</f>
        <v>Shemilt, Jane</v>
      </c>
      <c r="G800" t="str">
        <f>"369 pages, 24 cm"</f>
        <v>369 pages, 24 cm</v>
      </c>
      <c r="H800" s="1">
        <v>19</v>
      </c>
      <c r="I800">
        <v>2019</v>
      </c>
      <c r="J800" t="str">
        <f t="shared" si="118"/>
        <v>2: Fiction</v>
      </c>
      <c r="L800" t="s">
        <v>2395</v>
      </c>
      <c r="M800" t="s">
        <v>28</v>
      </c>
      <c r="N800" t="s">
        <v>2404</v>
      </c>
      <c r="O800">
        <v>1</v>
      </c>
      <c r="P800" s="2">
        <v>43844</v>
      </c>
      <c r="Q800" s="1">
        <v>32</v>
      </c>
      <c r="R800" t="s">
        <v>2888</v>
      </c>
      <c r="S800">
        <v>1132273100</v>
      </c>
    </row>
    <row r="801" spans="1:19" x14ac:dyDescent="0.2">
      <c r="A801" t="str">
        <f t="shared" si="119"/>
        <v>Adult Fiction</v>
      </c>
      <c r="B801" t="str">
        <f>"NEW F SHEPA"</f>
        <v>NEW F SHEPA</v>
      </c>
      <c r="C801" t="str">
        <f>"Reputation: a novel"</f>
        <v>Reputation: a novel</v>
      </c>
      <c r="D801">
        <v>359878</v>
      </c>
      <c r="E801" t="str">
        <f>"Shepard, Sara"</f>
        <v>Shepard, Sara</v>
      </c>
      <c r="G801" t="str">
        <f>"372 pages, 21 cm"</f>
        <v>372 pages, 21 cm</v>
      </c>
      <c r="H801" s="1">
        <v>19</v>
      </c>
      <c r="I801">
        <v>2019</v>
      </c>
      <c r="J801" t="str">
        <f t="shared" si="118"/>
        <v>2: Fiction</v>
      </c>
      <c r="L801" t="s">
        <v>2403</v>
      </c>
      <c r="M801" t="s">
        <v>28</v>
      </c>
      <c r="N801" t="s">
        <v>2404</v>
      </c>
      <c r="O801">
        <v>1</v>
      </c>
      <c r="P801" s="2">
        <v>43815</v>
      </c>
      <c r="Q801" s="1">
        <v>21</v>
      </c>
      <c r="R801" t="s">
        <v>2889</v>
      </c>
      <c r="S801">
        <v>1091295649</v>
      </c>
    </row>
    <row r="802" spans="1:19" x14ac:dyDescent="0.2">
      <c r="A802" t="str">
        <f t="shared" si="119"/>
        <v>Adult Fiction</v>
      </c>
      <c r="B802" t="str">
        <f>"NEW F SILVA"</f>
        <v>NEW F SILVA</v>
      </c>
      <c r="C802" t="str">
        <f>"The new girl"</f>
        <v>The new girl</v>
      </c>
      <c r="D802">
        <v>356266</v>
      </c>
      <c r="E802" t="str">
        <f>"Silva, Daniel"</f>
        <v>Silva, Daniel</v>
      </c>
      <c r="F802" t="str">
        <f>"Gabriel Allon series (19)"</f>
        <v>Gabriel Allon series (19)</v>
      </c>
      <c r="H802" s="1">
        <v>19</v>
      </c>
      <c r="I802">
        <v>2019</v>
      </c>
      <c r="J802" t="str">
        <f t="shared" si="118"/>
        <v>2: Fiction</v>
      </c>
      <c r="L802" t="s">
        <v>2395</v>
      </c>
      <c r="M802" t="s">
        <v>28</v>
      </c>
      <c r="N802" t="s">
        <v>2404</v>
      </c>
      <c r="O802">
        <v>19</v>
      </c>
      <c r="P802" s="2">
        <v>43661</v>
      </c>
      <c r="Q802" s="1">
        <v>34</v>
      </c>
      <c r="R802" t="s">
        <v>2890</v>
      </c>
      <c r="S802">
        <v>1104068647</v>
      </c>
    </row>
    <row r="803" spans="1:19" x14ac:dyDescent="0.2">
      <c r="A803" t="str">
        <f t="shared" si="119"/>
        <v>Adult Fiction</v>
      </c>
      <c r="B803" t="str">
        <f>"NEW F SILVA"</f>
        <v>NEW F SILVA</v>
      </c>
      <c r="C803" t="str">
        <f>"The new girl"</f>
        <v>The new girl</v>
      </c>
      <c r="D803">
        <v>356269</v>
      </c>
      <c r="E803" t="str">
        <f>"Silva, Daniel"</f>
        <v>Silva, Daniel</v>
      </c>
      <c r="F803" t="str">
        <f>"Gabriel Allon series (19)"</f>
        <v>Gabriel Allon series (19)</v>
      </c>
      <c r="H803" s="1">
        <v>19</v>
      </c>
      <c r="I803">
        <v>2019</v>
      </c>
      <c r="J803" t="str">
        <f t="shared" si="118"/>
        <v>2: Fiction</v>
      </c>
      <c r="L803" t="s">
        <v>2395</v>
      </c>
      <c r="M803" t="s">
        <v>28</v>
      </c>
      <c r="N803" t="s">
        <v>2396</v>
      </c>
      <c r="O803">
        <v>9</v>
      </c>
      <c r="P803" s="2">
        <v>43661</v>
      </c>
      <c r="Q803" s="1">
        <v>34</v>
      </c>
      <c r="R803" t="s">
        <v>2890</v>
      </c>
      <c r="S803">
        <v>1104068647</v>
      </c>
    </row>
    <row r="804" spans="1:19" x14ac:dyDescent="0.2">
      <c r="A804" t="str">
        <f t="shared" si="119"/>
        <v>Adult Fiction</v>
      </c>
      <c r="B804" t="str">
        <f>"NEW F SINGH"</f>
        <v>NEW F SINGH</v>
      </c>
      <c r="C804" t="str">
        <f>"Archangel's war"</f>
        <v>Archangel's war</v>
      </c>
      <c r="D804">
        <v>358521</v>
      </c>
      <c r="E804" t="str">
        <f>"Singh, Nalini."</f>
        <v>Singh, Nalini.</v>
      </c>
      <c r="F804" t="str">
        <f>"Guild Hunter series"</f>
        <v>Guild Hunter series</v>
      </c>
      <c r="G804" t="str">
        <f>"471 pages, 18 cm"</f>
        <v>471 pages, 18 cm</v>
      </c>
      <c r="H804" s="1">
        <v>19</v>
      </c>
      <c r="I804">
        <v>2019</v>
      </c>
      <c r="J804" t="str">
        <f t="shared" si="118"/>
        <v>2: Fiction</v>
      </c>
      <c r="L804" t="s">
        <v>2403</v>
      </c>
      <c r="M804" t="s">
        <v>28</v>
      </c>
      <c r="N804" t="s">
        <v>2404</v>
      </c>
      <c r="O804">
        <v>2</v>
      </c>
      <c r="P804" s="2">
        <v>43756</v>
      </c>
      <c r="Q804" s="1">
        <v>13</v>
      </c>
      <c r="R804" t="s">
        <v>2891</v>
      </c>
      <c r="S804">
        <v>1119665919</v>
      </c>
    </row>
    <row r="805" spans="1:19" x14ac:dyDescent="0.2">
      <c r="A805" t="str">
        <f t="shared" si="119"/>
        <v>Adult Fiction</v>
      </c>
      <c r="B805" t="str">
        <f>"NEW F SINGH"</f>
        <v>NEW F SINGH</v>
      </c>
      <c r="C805" t="str">
        <f>"A madness of sunshine"</f>
        <v>A madness of sunshine</v>
      </c>
      <c r="D805">
        <v>360010</v>
      </c>
      <c r="E805" t="str">
        <f>"Singh, Nalini."</f>
        <v>Singh, Nalini.</v>
      </c>
      <c r="G805" t="str">
        <f>"344 pages, 24 cm"</f>
        <v>344 pages, 24 cm</v>
      </c>
      <c r="H805" s="1">
        <v>19</v>
      </c>
      <c r="I805">
        <v>2019</v>
      </c>
      <c r="J805" t="str">
        <f t="shared" si="118"/>
        <v>2: Fiction</v>
      </c>
      <c r="L805" t="s">
        <v>2395</v>
      </c>
      <c r="M805" t="s">
        <v>28</v>
      </c>
      <c r="N805" t="s">
        <v>2404</v>
      </c>
      <c r="O805">
        <v>1</v>
      </c>
      <c r="P805" s="2">
        <v>43826</v>
      </c>
      <c r="Q805" s="1">
        <v>32</v>
      </c>
      <c r="R805" t="s">
        <v>2892</v>
      </c>
      <c r="S805">
        <v>1089887843</v>
      </c>
    </row>
    <row r="806" spans="1:19" x14ac:dyDescent="0.2">
      <c r="A806" t="str">
        <f t="shared" si="119"/>
        <v>Adult Fiction</v>
      </c>
      <c r="B806" t="str">
        <f>"NEW F SLAUG"</f>
        <v>NEW F SLAUG</v>
      </c>
      <c r="C806" t="str">
        <f>"The last widow: a novel"</f>
        <v>The last widow: a novel</v>
      </c>
      <c r="D806">
        <v>356946</v>
      </c>
      <c r="E806" t="str">
        <f>"Slaughter, Karin"</f>
        <v>Slaughter, Karin</v>
      </c>
      <c r="F806" t="str">
        <f>"Will Trent series"</f>
        <v>Will Trent series</v>
      </c>
      <c r="G806" t="str">
        <f>"448 pages, 24 cm"</f>
        <v>448 pages, 24 cm</v>
      </c>
      <c r="H806" s="1">
        <v>19</v>
      </c>
      <c r="I806">
        <v>2019</v>
      </c>
      <c r="J806" t="str">
        <f t="shared" si="118"/>
        <v>2: Fiction</v>
      </c>
      <c r="L806" t="s">
        <v>2403</v>
      </c>
      <c r="M806" t="s">
        <v>28</v>
      </c>
      <c r="N806" t="s">
        <v>2396</v>
      </c>
      <c r="O806">
        <v>7</v>
      </c>
      <c r="P806" s="2">
        <v>43696</v>
      </c>
      <c r="Q806" s="1">
        <v>33</v>
      </c>
      <c r="R806" t="s">
        <v>2893</v>
      </c>
      <c r="S806">
        <v>1074377799</v>
      </c>
    </row>
    <row r="807" spans="1:19" x14ac:dyDescent="0.2">
      <c r="A807" t="str">
        <f t="shared" si="119"/>
        <v>Adult Fiction</v>
      </c>
      <c r="B807" t="str">
        <f>"NEW F SLAUG"</f>
        <v>NEW F SLAUG</v>
      </c>
      <c r="C807" t="str">
        <f>"The last widow: a novel"</f>
        <v>The last widow: a novel</v>
      </c>
      <c r="D807">
        <v>356947</v>
      </c>
      <c r="E807" t="str">
        <f>"Slaughter, Karin"</f>
        <v>Slaughter, Karin</v>
      </c>
      <c r="F807" t="str">
        <f>"Will Trent series"</f>
        <v>Will Trent series</v>
      </c>
      <c r="G807" t="str">
        <f>"448 pages, 24 cm"</f>
        <v>448 pages, 24 cm</v>
      </c>
      <c r="H807" s="1">
        <v>19</v>
      </c>
      <c r="I807">
        <v>2019</v>
      </c>
      <c r="J807" t="str">
        <f t="shared" si="118"/>
        <v>2: Fiction</v>
      </c>
      <c r="L807" t="s">
        <v>2403</v>
      </c>
      <c r="M807" t="s">
        <v>28</v>
      </c>
      <c r="N807" t="s">
        <v>2404</v>
      </c>
      <c r="O807">
        <v>8</v>
      </c>
      <c r="P807" s="2">
        <v>43696</v>
      </c>
      <c r="Q807" s="1">
        <v>33</v>
      </c>
      <c r="R807" t="s">
        <v>2893</v>
      </c>
      <c r="S807">
        <v>1074377799</v>
      </c>
    </row>
    <row r="808" spans="1:19" x14ac:dyDescent="0.2">
      <c r="A808" t="str">
        <f t="shared" si="119"/>
        <v>Adult Fiction</v>
      </c>
      <c r="B808" t="str">
        <f>"NEW F SLAUG"</f>
        <v>NEW F SLAUG</v>
      </c>
      <c r="C808" t="str">
        <f>"The last widow: a novel"</f>
        <v>The last widow: a novel</v>
      </c>
      <c r="D808">
        <v>356948</v>
      </c>
      <c r="E808" t="str">
        <f>"Slaughter, Karin"</f>
        <v>Slaughter, Karin</v>
      </c>
      <c r="F808" t="str">
        <f>"Will Trent series"</f>
        <v>Will Trent series</v>
      </c>
      <c r="G808" t="str">
        <f>"448 pages, 24 cm"</f>
        <v>448 pages, 24 cm</v>
      </c>
      <c r="H808" s="1">
        <v>19</v>
      </c>
      <c r="I808">
        <v>2019</v>
      </c>
      <c r="J808" t="str">
        <f t="shared" si="118"/>
        <v>2: Fiction</v>
      </c>
      <c r="L808" t="s">
        <v>2395</v>
      </c>
      <c r="M808" t="s">
        <v>28</v>
      </c>
      <c r="N808" t="s">
        <v>2404</v>
      </c>
      <c r="O808">
        <v>8</v>
      </c>
      <c r="P808" s="2">
        <v>43696</v>
      </c>
      <c r="Q808" s="1">
        <v>33</v>
      </c>
      <c r="R808" t="s">
        <v>2893</v>
      </c>
      <c r="S808">
        <v>1074377799</v>
      </c>
    </row>
    <row r="809" spans="1:19" x14ac:dyDescent="0.2">
      <c r="A809" t="str">
        <f t="shared" si="119"/>
        <v>Adult Fiction</v>
      </c>
      <c r="B809" t="str">
        <f t="shared" ref="B809:B821" si="125">"NEW F SMITH"</f>
        <v>NEW F SMITH</v>
      </c>
      <c r="C809" t="str">
        <f>"The peppermint tea chronicles"</f>
        <v>The peppermint tea chronicles</v>
      </c>
      <c r="D809">
        <v>360012</v>
      </c>
      <c r="E809" t="str">
        <f>"McCall Smith, Alexander"</f>
        <v>McCall Smith, Alexander</v>
      </c>
      <c r="F809" t="str">
        <f>"44 Scotland Street series (13)"</f>
        <v>44 Scotland Street series (13)</v>
      </c>
      <c r="G809" t="str">
        <f>"310 pages, 21 cm"</f>
        <v>310 pages, 21 cm</v>
      </c>
      <c r="H809" s="1">
        <v>19</v>
      </c>
      <c r="I809">
        <v>2019</v>
      </c>
      <c r="J809" t="str">
        <f t="shared" si="118"/>
        <v>2: Fiction</v>
      </c>
      <c r="L809" t="s">
        <v>2403</v>
      </c>
      <c r="M809" t="s">
        <v>28</v>
      </c>
      <c r="N809" t="s">
        <v>2404</v>
      </c>
      <c r="O809">
        <v>2</v>
      </c>
      <c r="P809" s="2">
        <v>43826</v>
      </c>
      <c r="Q809" s="1">
        <v>21</v>
      </c>
      <c r="R809" t="s">
        <v>2894</v>
      </c>
      <c r="S809">
        <v>1090756331</v>
      </c>
    </row>
    <row r="810" spans="1:19" x14ac:dyDescent="0.2">
      <c r="A810" t="str">
        <f t="shared" si="119"/>
        <v>Adult Fiction</v>
      </c>
      <c r="B810" t="str">
        <f t="shared" si="125"/>
        <v>NEW F SMITH</v>
      </c>
      <c r="C810" t="str">
        <f>"The Department of Sensitive Crimes"</f>
        <v>The Department of Sensitive Crimes</v>
      </c>
      <c r="D810">
        <v>354238</v>
      </c>
      <c r="E810" t="str">
        <f>"Smith, Alexander McCall"</f>
        <v>Smith, Alexander McCall</v>
      </c>
      <c r="F810" t="str">
        <f>"Detective Varg series (1)"</f>
        <v>Detective Varg series (1)</v>
      </c>
      <c r="G810" t="str">
        <f>"229 pages, 25 cm"</f>
        <v>229 pages, 25 cm</v>
      </c>
      <c r="H810" s="1">
        <v>19</v>
      </c>
      <c r="I810">
        <v>2019</v>
      </c>
      <c r="J810" t="str">
        <f t="shared" si="118"/>
        <v>2: Fiction</v>
      </c>
      <c r="L810" t="s">
        <v>2395</v>
      </c>
      <c r="M810" t="s">
        <v>28</v>
      </c>
      <c r="N810" t="s">
        <v>2404</v>
      </c>
      <c r="O810">
        <v>16</v>
      </c>
      <c r="P810" s="2">
        <v>43572</v>
      </c>
      <c r="Q810" s="1">
        <v>30</v>
      </c>
      <c r="R810" t="s">
        <v>2895</v>
      </c>
      <c r="S810">
        <v>1050456718</v>
      </c>
    </row>
    <row r="811" spans="1:19" x14ac:dyDescent="0.2">
      <c r="A811" t="str">
        <f t="shared" si="119"/>
        <v>Adult Fiction</v>
      </c>
      <c r="B811" t="str">
        <f t="shared" si="125"/>
        <v>NEW F SMITH</v>
      </c>
      <c r="C811" t="str">
        <f>"The second-worst restaurant in France: a Paul Stuart novel"</f>
        <v>The second-worst restaurant in France: a Paul Stuart novel</v>
      </c>
      <c r="D811">
        <v>356254</v>
      </c>
      <c r="E811" t="str">
        <f>"Smith, Alexander McCall"</f>
        <v>Smith, Alexander McCall</v>
      </c>
      <c r="G811" t="str">
        <f>"245 p."</f>
        <v>245 p.</v>
      </c>
      <c r="H811" s="1">
        <v>19</v>
      </c>
      <c r="I811">
        <v>2019</v>
      </c>
      <c r="J811" t="str">
        <f t="shared" si="118"/>
        <v>2: Fiction</v>
      </c>
      <c r="L811" t="s">
        <v>2395</v>
      </c>
      <c r="M811" t="s">
        <v>28</v>
      </c>
      <c r="N811" t="s">
        <v>2396</v>
      </c>
      <c r="O811">
        <v>14</v>
      </c>
      <c r="P811" s="2">
        <v>43661</v>
      </c>
      <c r="Q811" s="1">
        <v>30</v>
      </c>
      <c r="R811" t="s">
        <v>2896</v>
      </c>
      <c r="S811">
        <v>1107063788</v>
      </c>
    </row>
    <row r="812" spans="1:19" x14ac:dyDescent="0.2">
      <c r="A812" t="str">
        <f t="shared" si="119"/>
        <v>Adult Fiction</v>
      </c>
      <c r="B812" t="str">
        <f t="shared" si="125"/>
        <v>NEW F SMITH</v>
      </c>
      <c r="C812" t="str">
        <f>"To the land of long lost friends"</f>
        <v>To the land of long lost friends</v>
      </c>
      <c r="D812">
        <v>358660</v>
      </c>
      <c r="E812" t="str">
        <f>"Smith, Alexander McCall"</f>
        <v>Smith, Alexander McCall</v>
      </c>
      <c r="F812" t="str">
        <f>"No. 1 Ladies' Detective Agency series (20)"</f>
        <v>No. 1 Ladies' Detective Agency series (20)</v>
      </c>
      <c r="G812" t="str">
        <f>"224 pages, 25 cm"</f>
        <v>224 pages, 25 cm</v>
      </c>
      <c r="H812" s="1">
        <v>19</v>
      </c>
      <c r="I812">
        <v>2019</v>
      </c>
      <c r="J812" t="str">
        <f t="shared" si="118"/>
        <v>2: Fiction</v>
      </c>
      <c r="L812" t="s">
        <v>2403</v>
      </c>
      <c r="M812" t="s">
        <v>28</v>
      </c>
      <c r="N812" t="s">
        <v>2404</v>
      </c>
      <c r="O812">
        <v>6</v>
      </c>
      <c r="P812" s="2">
        <v>43760</v>
      </c>
      <c r="Q812" s="1">
        <v>31</v>
      </c>
      <c r="R812" t="s">
        <v>2897</v>
      </c>
      <c r="S812">
        <v>1104856573</v>
      </c>
    </row>
    <row r="813" spans="1:19" x14ac:dyDescent="0.2">
      <c r="A813" t="str">
        <f t="shared" si="119"/>
        <v>Adult Fiction</v>
      </c>
      <c r="B813" t="str">
        <f t="shared" si="125"/>
        <v>NEW F SMITH</v>
      </c>
      <c r="C813" t="str">
        <f>"To the land of long lost friends"</f>
        <v>To the land of long lost friends</v>
      </c>
      <c r="D813">
        <v>358661</v>
      </c>
      <c r="E813" t="str">
        <f>"Smith, Alexander McCall"</f>
        <v>Smith, Alexander McCall</v>
      </c>
      <c r="F813" t="str">
        <f>"No. 1 Ladies' Detective Agency series (20)"</f>
        <v>No. 1 Ladies' Detective Agency series (20)</v>
      </c>
      <c r="G813" t="str">
        <f>"224 pages, 25 cm"</f>
        <v>224 pages, 25 cm</v>
      </c>
      <c r="H813" s="1">
        <v>19</v>
      </c>
      <c r="I813">
        <v>2019</v>
      </c>
      <c r="J813" t="str">
        <f t="shared" si="118"/>
        <v>2: Fiction</v>
      </c>
      <c r="L813" t="s">
        <v>2403</v>
      </c>
      <c r="M813" t="s">
        <v>28</v>
      </c>
      <c r="N813" t="s">
        <v>2404</v>
      </c>
      <c r="O813">
        <v>7</v>
      </c>
      <c r="P813" s="2">
        <v>43760</v>
      </c>
      <c r="Q813" s="1">
        <v>31</v>
      </c>
      <c r="R813" t="s">
        <v>2897</v>
      </c>
      <c r="S813">
        <v>1104856573</v>
      </c>
    </row>
    <row r="814" spans="1:19" x14ac:dyDescent="0.2">
      <c r="A814" t="str">
        <f t="shared" si="119"/>
        <v>Adult Fiction</v>
      </c>
      <c r="B814" t="str">
        <f t="shared" si="125"/>
        <v>NEW F SMITH</v>
      </c>
      <c r="C814" t="str">
        <f>"To the land of long lost friends"</f>
        <v>To the land of long lost friends</v>
      </c>
      <c r="D814">
        <v>358662</v>
      </c>
      <c r="E814" t="str">
        <f>"Smith, Alexander McCall"</f>
        <v>Smith, Alexander McCall</v>
      </c>
      <c r="F814" t="str">
        <f>"No. 1 Ladies' Detective Agency series (20)"</f>
        <v>No. 1 Ladies' Detective Agency series (20)</v>
      </c>
      <c r="G814" t="str">
        <f>"224 pages, 25 cm"</f>
        <v>224 pages, 25 cm</v>
      </c>
      <c r="H814" s="1">
        <v>19</v>
      </c>
      <c r="I814">
        <v>2019</v>
      </c>
      <c r="J814" t="str">
        <f t="shared" si="118"/>
        <v>2: Fiction</v>
      </c>
      <c r="L814" t="s">
        <v>2395</v>
      </c>
      <c r="M814" t="s">
        <v>28</v>
      </c>
      <c r="N814" t="s">
        <v>2404</v>
      </c>
      <c r="O814">
        <v>6</v>
      </c>
      <c r="P814" s="2">
        <v>43760</v>
      </c>
      <c r="Q814" s="1">
        <v>31</v>
      </c>
      <c r="R814" t="s">
        <v>2897</v>
      </c>
      <c r="S814">
        <v>1104856573</v>
      </c>
    </row>
    <row r="815" spans="1:19" x14ac:dyDescent="0.2">
      <c r="A815" t="str">
        <f t="shared" si="119"/>
        <v>Adult Fiction</v>
      </c>
      <c r="B815" t="str">
        <f t="shared" si="125"/>
        <v>NEW F SMITH</v>
      </c>
      <c r="C815" t="str">
        <f>"The heart of a king: the loves of Solomon"</f>
        <v>The heart of a king: the loves of Solomon</v>
      </c>
      <c r="D815">
        <v>357336</v>
      </c>
      <c r="E815" t="str">
        <f>"Smith, Jill Eileen,"</f>
        <v>Smith, Jill Eileen,</v>
      </c>
      <c r="G815" t="str">
        <f>"422 pages, 22 cm"</f>
        <v>422 pages, 22 cm</v>
      </c>
      <c r="H815" s="1">
        <v>19</v>
      </c>
      <c r="I815">
        <v>2019</v>
      </c>
      <c r="J815" t="str">
        <f t="shared" si="118"/>
        <v>2: Fiction</v>
      </c>
      <c r="L815" t="s">
        <v>2403</v>
      </c>
      <c r="M815" t="s">
        <v>28</v>
      </c>
      <c r="N815" t="s">
        <v>2396</v>
      </c>
      <c r="O815">
        <v>4</v>
      </c>
      <c r="P815" s="2">
        <v>43711</v>
      </c>
      <c r="Q815" s="1">
        <v>35</v>
      </c>
      <c r="R815" t="s">
        <v>2898</v>
      </c>
      <c r="S815">
        <v>1045648176</v>
      </c>
    </row>
    <row r="816" spans="1:19" x14ac:dyDescent="0.2">
      <c r="A816" t="str">
        <f t="shared" si="119"/>
        <v>Adult Fiction</v>
      </c>
      <c r="B816" t="str">
        <f t="shared" si="125"/>
        <v>NEW F SMITH</v>
      </c>
      <c r="C816" t="str">
        <f>"The Siberian dilema"</f>
        <v>The Siberian dilema</v>
      </c>
      <c r="D816">
        <v>358981</v>
      </c>
      <c r="E816" t="str">
        <f>"Smith, Martin Cruz"</f>
        <v>Smith, Martin Cruz</v>
      </c>
      <c r="F816" t="str">
        <f>"Arkady Renko Mystery series (9)"</f>
        <v>Arkady Renko Mystery series (9)</v>
      </c>
      <c r="G816" t="str">
        <f>"276 pages, 25 cm, illustrations, maps"</f>
        <v>276 pages, 25 cm, illustrations, maps</v>
      </c>
      <c r="H816" s="1">
        <v>19</v>
      </c>
      <c r="I816">
        <v>2019</v>
      </c>
      <c r="J816" t="str">
        <f t="shared" si="118"/>
        <v>2: Fiction</v>
      </c>
      <c r="L816" t="s">
        <v>2395</v>
      </c>
      <c r="M816" t="s">
        <v>28</v>
      </c>
      <c r="N816" t="s">
        <v>2404</v>
      </c>
      <c r="O816">
        <v>5</v>
      </c>
      <c r="P816" s="2">
        <v>43780</v>
      </c>
      <c r="Q816" s="1">
        <v>32</v>
      </c>
      <c r="R816" t="s">
        <v>2899</v>
      </c>
      <c r="S816">
        <v>1124761905</v>
      </c>
    </row>
    <row r="817" spans="1:19" x14ac:dyDescent="0.2">
      <c r="A817" t="str">
        <f t="shared" si="119"/>
        <v>Adult Fiction</v>
      </c>
      <c r="B817" t="str">
        <f t="shared" si="125"/>
        <v>NEW F SMITH</v>
      </c>
      <c r="C817" t="str">
        <f>"The Siberian dilema"</f>
        <v>The Siberian dilema</v>
      </c>
      <c r="D817">
        <v>358982</v>
      </c>
      <c r="E817" t="str">
        <f>"Smith, Martin Cruz"</f>
        <v>Smith, Martin Cruz</v>
      </c>
      <c r="F817" t="str">
        <f>"Arkady Renko Mystery series (9)"</f>
        <v>Arkady Renko Mystery series (9)</v>
      </c>
      <c r="G817" t="str">
        <f>"276 pages, 25 cm, illustrations, maps"</f>
        <v>276 pages, 25 cm, illustrations, maps</v>
      </c>
      <c r="H817" s="1">
        <v>19</v>
      </c>
      <c r="I817">
        <v>2019</v>
      </c>
      <c r="J817" t="str">
        <f t="shared" si="118"/>
        <v>2: Fiction</v>
      </c>
      <c r="L817" t="s">
        <v>2395</v>
      </c>
      <c r="M817" t="s">
        <v>28</v>
      </c>
      <c r="N817" t="s">
        <v>2404</v>
      </c>
      <c r="O817">
        <v>6</v>
      </c>
      <c r="P817" s="2">
        <v>43780</v>
      </c>
      <c r="Q817" s="1">
        <v>32</v>
      </c>
      <c r="R817" t="s">
        <v>2899</v>
      </c>
      <c r="S817">
        <v>1124761905</v>
      </c>
    </row>
    <row r="818" spans="1:19" x14ac:dyDescent="0.2">
      <c r="A818" t="str">
        <f t="shared" si="119"/>
        <v>Adult Fiction</v>
      </c>
      <c r="B818" t="str">
        <f t="shared" si="125"/>
        <v>NEW F SMITH</v>
      </c>
      <c r="C818" t="str">
        <f>"Ghost fire"</f>
        <v>Ghost fire</v>
      </c>
      <c r="D818">
        <v>357440</v>
      </c>
      <c r="E818" t="str">
        <f>"Smith, Wilbur A."</f>
        <v>Smith, Wilbur A.</v>
      </c>
      <c r="F818" t="str">
        <f>"Courtneys series (18)"</f>
        <v>Courtneys series (18)</v>
      </c>
      <c r="G818" t="str">
        <f>"409 pages, 24 cm, map"</f>
        <v>409 pages, 24 cm, map</v>
      </c>
      <c r="H818" s="1">
        <v>19</v>
      </c>
      <c r="I818">
        <v>2019</v>
      </c>
      <c r="J818" t="str">
        <f t="shared" si="118"/>
        <v>2: Fiction</v>
      </c>
      <c r="L818" t="s">
        <v>2395</v>
      </c>
      <c r="M818" t="s">
        <v>28</v>
      </c>
      <c r="N818" t="s">
        <v>2404</v>
      </c>
      <c r="O818">
        <v>6</v>
      </c>
      <c r="P818" s="2">
        <v>43718</v>
      </c>
      <c r="Q818" s="1">
        <v>34</v>
      </c>
      <c r="R818" t="s">
        <v>2900</v>
      </c>
      <c r="S818">
        <v>1083285027</v>
      </c>
    </row>
    <row r="819" spans="1:19" x14ac:dyDescent="0.2">
      <c r="A819" t="str">
        <f t="shared" si="119"/>
        <v>Adult Fiction</v>
      </c>
      <c r="B819" t="str">
        <f t="shared" si="125"/>
        <v>NEW F SMITH</v>
      </c>
      <c r="C819" t="str">
        <f>"Ghost fire"</f>
        <v>Ghost fire</v>
      </c>
      <c r="D819">
        <v>357441</v>
      </c>
      <c r="E819" t="str">
        <f>"Smith, Wilbur A."</f>
        <v>Smith, Wilbur A.</v>
      </c>
      <c r="F819" t="str">
        <f>"Courtneys series (18)"</f>
        <v>Courtneys series (18)</v>
      </c>
      <c r="G819" t="str">
        <f>"409 pages, 24 cm, map"</f>
        <v>409 pages, 24 cm, map</v>
      </c>
      <c r="H819" s="1">
        <v>19</v>
      </c>
      <c r="I819">
        <v>2019</v>
      </c>
      <c r="J819" t="str">
        <f t="shared" si="118"/>
        <v>2: Fiction</v>
      </c>
      <c r="L819" t="s">
        <v>2395</v>
      </c>
      <c r="M819" t="s">
        <v>28</v>
      </c>
      <c r="N819" t="s">
        <v>2396</v>
      </c>
      <c r="O819">
        <v>6</v>
      </c>
      <c r="P819" s="2">
        <v>43718</v>
      </c>
      <c r="Q819" s="1">
        <v>34</v>
      </c>
      <c r="R819" t="s">
        <v>2900</v>
      </c>
      <c r="S819">
        <v>1083285027</v>
      </c>
    </row>
    <row r="820" spans="1:19" x14ac:dyDescent="0.2">
      <c r="A820" t="str">
        <f t="shared" si="119"/>
        <v>Adult Fiction</v>
      </c>
      <c r="B820" t="str">
        <f t="shared" si="125"/>
        <v>NEW F SMITH</v>
      </c>
      <c r="C820" t="str">
        <f>"Grand union: stories"</f>
        <v>Grand union: stories</v>
      </c>
      <c r="D820">
        <v>358238</v>
      </c>
      <c r="E820" t="str">
        <f>"Smith, Zadie"</f>
        <v>Smith, Zadie</v>
      </c>
      <c r="G820" t="str">
        <f>"pages cm"</f>
        <v>pages cm</v>
      </c>
      <c r="H820" s="1">
        <v>19</v>
      </c>
      <c r="I820">
        <v>2020</v>
      </c>
      <c r="J820" t="str">
        <f t="shared" si="118"/>
        <v>2: Fiction</v>
      </c>
      <c r="L820" t="s">
        <v>2395</v>
      </c>
      <c r="M820" t="s">
        <v>28</v>
      </c>
      <c r="N820" t="s">
        <v>2404</v>
      </c>
      <c r="O820">
        <v>6</v>
      </c>
      <c r="P820" s="2">
        <v>43745</v>
      </c>
      <c r="Q820" s="1">
        <v>32</v>
      </c>
      <c r="R820" t="s">
        <v>2901</v>
      </c>
      <c r="S820">
        <v>1122725394</v>
      </c>
    </row>
    <row r="821" spans="1:19" x14ac:dyDescent="0.2">
      <c r="A821" t="str">
        <f t="shared" si="119"/>
        <v>Adult Fiction</v>
      </c>
      <c r="B821" t="str">
        <f t="shared" si="125"/>
        <v>NEW F SMITH</v>
      </c>
      <c r="C821" t="str">
        <f>"Grand union: stories"</f>
        <v>Grand union: stories</v>
      </c>
      <c r="D821">
        <v>358239</v>
      </c>
      <c r="E821" t="str">
        <f>"Smith, Zadie"</f>
        <v>Smith, Zadie</v>
      </c>
      <c r="G821" t="str">
        <f>"pages cm"</f>
        <v>pages cm</v>
      </c>
      <c r="H821" s="1">
        <v>19</v>
      </c>
      <c r="I821">
        <v>2020</v>
      </c>
      <c r="J821" t="str">
        <f t="shared" si="118"/>
        <v>2: Fiction</v>
      </c>
      <c r="L821" t="s">
        <v>2403</v>
      </c>
      <c r="M821" t="s">
        <v>28</v>
      </c>
      <c r="N821" t="s">
        <v>2396</v>
      </c>
      <c r="O821">
        <v>4</v>
      </c>
      <c r="P821" s="2">
        <v>43745</v>
      </c>
      <c r="Q821" s="1">
        <v>32</v>
      </c>
      <c r="R821" t="s">
        <v>2901</v>
      </c>
      <c r="S821">
        <v>1122725394</v>
      </c>
    </row>
    <row r="822" spans="1:19" x14ac:dyDescent="0.2">
      <c r="A822" t="str">
        <f t="shared" si="119"/>
        <v>Adult Fiction</v>
      </c>
      <c r="B822" t="str">
        <f>"NEW F SOLOM"</f>
        <v>NEW F SOLOM</v>
      </c>
      <c r="C822" t="str">
        <f>"The deep"</f>
        <v>The deep</v>
      </c>
      <c r="D822">
        <v>358863</v>
      </c>
      <c r="E822" t="str">
        <f>"Solomon, Rivers"</f>
        <v>Solomon, Rivers</v>
      </c>
      <c r="G822" t="str">
        <f>"166 pa., 22 cm"</f>
        <v>166 pa., 22 cm</v>
      </c>
      <c r="H822" s="1">
        <v>19</v>
      </c>
      <c r="I822">
        <v>2019</v>
      </c>
      <c r="J822" t="str">
        <f t="shared" si="118"/>
        <v>2: Fiction</v>
      </c>
      <c r="L822" t="s">
        <v>2395</v>
      </c>
      <c r="M822" t="s">
        <v>28</v>
      </c>
      <c r="N822" t="s">
        <v>2404</v>
      </c>
      <c r="O822">
        <v>4</v>
      </c>
      <c r="P822" s="2">
        <v>43769</v>
      </c>
      <c r="Q822" s="1">
        <v>25</v>
      </c>
      <c r="R822" t="s">
        <v>2902</v>
      </c>
      <c r="S822">
        <v>1107410328</v>
      </c>
    </row>
    <row r="823" spans="1:19" x14ac:dyDescent="0.2">
      <c r="A823" t="str">
        <f t="shared" si="119"/>
        <v>Adult Fiction</v>
      </c>
      <c r="B823" t="str">
        <f>"NEW F STATO"</f>
        <v>NEW F STATO</v>
      </c>
      <c r="C823" t="s">
        <v>2903</v>
      </c>
      <c r="D823">
        <v>358682</v>
      </c>
      <c r="E823" t="str">
        <f>"Statovci, Pajtim"</f>
        <v>Statovci, Pajtim</v>
      </c>
      <c r="G823" t="str">
        <f>"257 pages, 22 cm"</f>
        <v>257 pages, 22 cm</v>
      </c>
      <c r="H823" s="1">
        <v>19</v>
      </c>
      <c r="I823">
        <v>2019</v>
      </c>
      <c r="J823" t="str">
        <f t="shared" si="118"/>
        <v>2: Fiction</v>
      </c>
      <c r="L823" t="s">
        <v>2395</v>
      </c>
      <c r="M823" t="s">
        <v>28</v>
      </c>
      <c r="N823" t="s">
        <v>2396</v>
      </c>
      <c r="O823">
        <v>1</v>
      </c>
      <c r="P823" s="2">
        <v>43762</v>
      </c>
      <c r="Q823" s="1">
        <v>31</v>
      </c>
      <c r="R823" t="s">
        <v>2904</v>
      </c>
      <c r="S823">
        <v>1044668389</v>
      </c>
    </row>
    <row r="824" spans="1:19" x14ac:dyDescent="0.2">
      <c r="A824" t="str">
        <f t="shared" si="119"/>
        <v>Adult Fiction</v>
      </c>
      <c r="B824" t="str">
        <f>"NEW F STEAD"</f>
        <v>NEW F STEAD</v>
      </c>
      <c r="C824" t="str">
        <f>"Mr. Nobody: a novel"</f>
        <v>Mr. Nobody: a novel</v>
      </c>
      <c r="D824">
        <v>360107</v>
      </c>
      <c r="E824" t="str">
        <f>"Steadman, Catherine"</f>
        <v>Steadman, Catherine</v>
      </c>
      <c r="G824" t="str">
        <f>"344 p."</f>
        <v>344 p.</v>
      </c>
      <c r="H824" s="1">
        <v>19</v>
      </c>
      <c r="I824">
        <v>2020</v>
      </c>
      <c r="J824" t="str">
        <f t="shared" si="118"/>
        <v>2: Fiction</v>
      </c>
      <c r="L824" t="s">
        <v>2395</v>
      </c>
      <c r="M824" t="s">
        <v>28</v>
      </c>
      <c r="N824" t="s">
        <v>2404</v>
      </c>
      <c r="O824">
        <v>1</v>
      </c>
      <c r="P824" s="2">
        <v>43829</v>
      </c>
      <c r="Q824" s="1">
        <v>32</v>
      </c>
      <c r="R824" t="s">
        <v>2905</v>
      </c>
    </row>
    <row r="825" spans="1:19" x14ac:dyDescent="0.2">
      <c r="A825" t="str">
        <f t="shared" si="119"/>
        <v>Adult Fiction</v>
      </c>
      <c r="B825" t="str">
        <f>"NEW F STEAD"</f>
        <v>NEW F STEAD</v>
      </c>
      <c r="C825" t="str">
        <f>"Mr. Nobody: a novel"</f>
        <v>Mr. Nobody: a novel</v>
      </c>
      <c r="D825">
        <v>360108</v>
      </c>
      <c r="E825" t="str">
        <f>"Steadman, Catherine"</f>
        <v>Steadman, Catherine</v>
      </c>
      <c r="G825" t="str">
        <f>"344 p."</f>
        <v>344 p.</v>
      </c>
      <c r="H825" s="1">
        <v>19</v>
      </c>
      <c r="I825">
        <v>2020</v>
      </c>
      <c r="J825" t="str">
        <f t="shared" si="118"/>
        <v>2: Fiction</v>
      </c>
      <c r="L825" t="s">
        <v>2395</v>
      </c>
      <c r="M825" t="s">
        <v>28</v>
      </c>
      <c r="N825" t="s">
        <v>2404</v>
      </c>
      <c r="O825">
        <v>3</v>
      </c>
      <c r="P825" s="2">
        <v>43829</v>
      </c>
      <c r="Q825" s="1">
        <v>32</v>
      </c>
      <c r="R825" t="s">
        <v>2905</v>
      </c>
    </row>
    <row r="826" spans="1:19" x14ac:dyDescent="0.2">
      <c r="A826" t="str">
        <f t="shared" si="119"/>
        <v>Adult Fiction</v>
      </c>
      <c r="B826" t="str">
        <f t="shared" ref="B826:B849" si="126">"NEW F STEEL"</f>
        <v>NEW F STEEL</v>
      </c>
      <c r="C826" t="str">
        <f t="shared" ref="C826:C831" si="127">"Child's play: a novel"</f>
        <v>Child's play: a novel</v>
      </c>
      <c r="D826">
        <v>358246</v>
      </c>
      <c r="E826" t="str">
        <f t="shared" ref="E826:E849" si="128">"Steel, Danielle"</f>
        <v>Steel, Danielle</v>
      </c>
      <c r="G826" t="str">
        <f t="shared" ref="G826:G831" si="129">"288 p."</f>
        <v>288 p.</v>
      </c>
      <c r="H826" s="1">
        <v>19</v>
      </c>
      <c r="I826">
        <v>2019</v>
      </c>
      <c r="J826" t="str">
        <f t="shared" si="118"/>
        <v>2: Fiction</v>
      </c>
      <c r="L826" t="s">
        <v>2395</v>
      </c>
      <c r="M826" t="s">
        <v>28</v>
      </c>
      <c r="N826" t="s">
        <v>2404</v>
      </c>
      <c r="O826">
        <v>7</v>
      </c>
      <c r="P826" s="2">
        <v>43745</v>
      </c>
      <c r="Q826" s="1">
        <v>34</v>
      </c>
      <c r="R826" t="s">
        <v>2906</v>
      </c>
    </row>
    <row r="827" spans="1:19" x14ac:dyDescent="0.2">
      <c r="A827" t="str">
        <f t="shared" si="119"/>
        <v>Adult Fiction</v>
      </c>
      <c r="B827" t="str">
        <f t="shared" si="126"/>
        <v>NEW F STEEL</v>
      </c>
      <c r="C827" t="str">
        <f t="shared" si="127"/>
        <v>Child's play: a novel</v>
      </c>
      <c r="D827">
        <v>358247</v>
      </c>
      <c r="E827" t="str">
        <f t="shared" si="128"/>
        <v>Steel, Danielle</v>
      </c>
      <c r="G827" t="str">
        <f t="shared" si="129"/>
        <v>288 p.</v>
      </c>
      <c r="H827" s="1">
        <v>19</v>
      </c>
      <c r="I827">
        <v>2019</v>
      </c>
      <c r="J827" t="str">
        <f t="shared" si="118"/>
        <v>2: Fiction</v>
      </c>
      <c r="L827" t="s">
        <v>2395</v>
      </c>
      <c r="M827" t="s">
        <v>28</v>
      </c>
      <c r="N827" t="s">
        <v>2396</v>
      </c>
      <c r="O827">
        <v>5</v>
      </c>
      <c r="P827" s="2">
        <v>43745</v>
      </c>
      <c r="Q827" s="1">
        <v>34</v>
      </c>
      <c r="R827" t="s">
        <v>2906</v>
      </c>
    </row>
    <row r="828" spans="1:19" x14ac:dyDescent="0.2">
      <c r="A828" t="str">
        <f t="shared" si="119"/>
        <v>Adult Fiction</v>
      </c>
      <c r="B828" t="str">
        <f t="shared" si="126"/>
        <v>NEW F STEEL</v>
      </c>
      <c r="C828" t="str">
        <f t="shared" si="127"/>
        <v>Child's play: a novel</v>
      </c>
      <c r="D828">
        <v>358248</v>
      </c>
      <c r="E828" t="str">
        <f t="shared" si="128"/>
        <v>Steel, Danielle</v>
      </c>
      <c r="G828" t="str">
        <f t="shared" si="129"/>
        <v>288 p.</v>
      </c>
      <c r="H828" s="1">
        <v>19</v>
      </c>
      <c r="I828">
        <v>2019</v>
      </c>
      <c r="J828" t="str">
        <f t="shared" si="118"/>
        <v>2: Fiction</v>
      </c>
      <c r="L828" t="s">
        <v>2395</v>
      </c>
      <c r="M828" t="s">
        <v>28</v>
      </c>
      <c r="N828" t="s">
        <v>2396</v>
      </c>
      <c r="O828">
        <v>7</v>
      </c>
      <c r="P828" s="2">
        <v>43745</v>
      </c>
      <c r="Q828" s="1">
        <v>34</v>
      </c>
      <c r="R828" t="s">
        <v>2906</v>
      </c>
    </row>
    <row r="829" spans="1:19" x14ac:dyDescent="0.2">
      <c r="A829" t="str">
        <f t="shared" si="119"/>
        <v>Adult Fiction</v>
      </c>
      <c r="B829" t="str">
        <f t="shared" si="126"/>
        <v>NEW F STEEL</v>
      </c>
      <c r="C829" t="str">
        <f t="shared" si="127"/>
        <v>Child's play: a novel</v>
      </c>
      <c r="D829">
        <v>358249</v>
      </c>
      <c r="E829" t="str">
        <f t="shared" si="128"/>
        <v>Steel, Danielle</v>
      </c>
      <c r="G829" t="str">
        <f t="shared" si="129"/>
        <v>288 p.</v>
      </c>
      <c r="H829" s="1">
        <v>19</v>
      </c>
      <c r="I829">
        <v>2019</v>
      </c>
      <c r="J829" t="str">
        <f t="shared" si="118"/>
        <v>2: Fiction</v>
      </c>
      <c r="L829" t="s">
        <v>2403</v>
      </c>
      <c r="M829" t="s">
        <v>28</v>
      </c>
      <c r="N829" t="s">
        <v>2404</v>
      </c>
      <c r="O829">
        <v>7</v>
      </c>
      <c r="P829" s="2">
        <v>43745</v>
      </c>
      <c r="Q829" s="1">
        <v>34</v>
      </c>
      <c r="R829" t="s">
        <v>2906</v>
      </c>
    </row>
    <row r="830" spans="1:19" x14ac:dyDescent="0.2">
      <c r="A830" t="str">
        <f t="shared" si="119"/>
        <v>Adult Fiction</v>
      </c>
      <c r="B830" t="str">
        <f t="shared" si="126"/>
        <v>NEW F STEEL</v>
      </c>
      <c r="C830" t="str">
        <f t="shared" si="127"/>
        <v>Child's play: a novel</v>
      </c>
      <c r="D830">
        <v>358250</v>
      </c>
      <c r="E830" t="str">
        <f t="shared" si="128"/>
        <v>Steel, Danielle</v>
      </c>
      <c r="G830" t="str">
        <f t="shared" si="129"/>
        <v>288 p.</v>
      </c>
      <c r="H830" s="1">
        <v>19</v>
      </c>
      <c r="I830">
        <v>2019</v>
      </c>
      <c r="J830" t="str">
        <f t="shared" si="118"/>
        <v>2: Fiction</v>
      </c>
      <c r="L830" t="s">
        <v>2395</v>
      </c>
      <c r="M830" t="s">
        <v>28</v>
      </c>
      <c r="N830" t="s">
        <v>2404</v>
      </c>
      <c r="O830">
        <v>5</v>
      </c>
      <c r="P830" s="2">
        <v>43745</v>
      </c>
      <c r="Q830" s="1">
        <v>34</v>
      </c>
      <c r="R830" t="s">
        <v>2906</v>
      </c>
    </row>
    <row r="831" spans="1:19" x14ac:dyDescent="0.2">
      <c r="A831" t="str">
        <f t="shared" si="119"/>
        <v>Adult Fiction</v>
      </c>
      <c r="B831" t="str">
        <f t="shared" si="126"/>
        <v>NEW F STEEL</v>
      </c>
      <c r="C831" t="str">
        <f t="shared" si="127"/>
        <v>Child's play: a novel</v>
      </c>
      <c r="D831">
        <v>358251</v>
      </c>
      <c r="E831" t="str">
        <f t="shared" si="128"/>
        <v>Steel, Danielle</v>
      </c>
      <c r="G831" t="str">
        <f t="shared" si="129"/>
        <v>288 p.</v>
      </c>
      <c r="H831" s="1">
        <v>19</v>
      </c>
      <c r="I831">
        <v>2019</v>
      </c>
      <c r="J831" t="str">
        <f t="shared" ref="J831:J894" si="130">"2: Fiction"</f>
        <v>2: Fiction</v>
      </c>
      <c r="L831" t="s">
        <v>2403</v>
      </c>
      <c r="M831" t="s">
        <v>28</v>
      </c>
      <c r="N831" t="s">
        <v>2396</v>
      </c>
      <c r="O831">
        <v>5</v>
      </c>
      <c r="P831" s="2">
        <v>43745</v>
      </c>
      <c r="Q831" s="1">
        <v>34</v>
      </c>
      <c r="R831" t="s">
        <v>2906</v>
      </c>
    </row>
    <row r="832" spans="1:19" x14ac:dyDescent="0.2">
      <c r="A832" t="str">
        <f t="shared" si="119"/>
        <v>Adult Fiction</v>
      </c>
      <c r="B832" t="str">
        <f t="shared" si="126"/>
        <v>NEW F STEEL</v>
      </c>
      <c r="C832" t="str">
        <f>"The dark side: a novel"</f>
        <v>The dark side: a novel</v>
      </c>
      <c r="D832">
        <v>357138</v>
      </c>
      <c r="E832" t="str">
        <f t="shared" si="128"/>
        <v>Steel, Danielle</v>
      </c>
      <c r="G832" t="str">
        <f>"274 pages, 25 cm"</f>
        <v>274 pages, 25 cm</v>
      </c>
      <c r="H832" s="1">
        <v>19</v>
      </c>
      <c r="I832">
        <v>2019</v>
      </c>
      <c r="J832" t="str">
        <f t="shared" si="130"/>
        <v>2: Fiction</v>
      </c>
      <c r="L832" t="s">
        <v>2403</v>
      </c>
      <c r="M832" t="s">
        <v>28</v>
      </c>
      <c r="N832" t="s">
        <v>2396</v>
      </c>
      <c r="O832">
        <v>4</v>
      </c>
      <c r="P832" s="2">
        <v>43704</v>
      </c>
      <c r="Q832" s="1">
        <v>34</v>
      </c>
      <c r="R832" t="s">
        <v>2907</v>
      </c>
      <c r="S832">
        <v>1077789730</v>
      </c>
    </row>
    <row r="833" spans="1:19" x14ac:dyDescent="0.2">
      <c r="A833" t="str">
        <f t="shared" si="119"/>
        <v>Adult Fiction</v>
      </c>
      <c r="B833" t="str">
        <f t="shared" si="126"/>
        <v>NEW F STEEL</v>
      </c>
      <c r="C833" t="str">
        <f>"The dark side: a novel"</f>
        <v>The dark side: a novel</v>
      </c>
      <c r="D833">
        <v>357139</v>
      </c>
      <c r="E833" t="str">
        <f t="shared" si="128"/>
        <v>Steel, Danielle</v>
      </c>
      <c r="G833" t="str">
        <f>"274 pages, 25 cm"</f>
        <v>274 pages, 25 cm</v>
      </c>
      <c r="H833" s="1">
        <v>19</v>
      </c>
      <c r="I833">
        <v>2019</v>
      </c>
      <c r="J833" t="str">
        <f t="shared" si="130"/>
        <v>2: Fiction</v>
      </c>
      <c r="L833" t="s">
        <v>2395</v>
      </c>
      <c r="M833" t="s">
        <v>28</v>
      </c>
      <c r="N833" t="s">
        <v>2404</v>
      </c>
      <c r="O833">
        <v>7</v>
      </c>
      <c r="P833" s="2">
        <v>43704</v>
      </c>
      <c r="Q833" s="1">
        <v>34</v>
      </c>
      <c r="R833" t="s">
        <v>2907</v>
      </c>
      <c r="S833">
        <v>1077789730</v>
      </c>
    </row>
    <row r="834" spans="1:19" x14ac:dyDescent="0.2">
      <c r="A834" t="str">
        <f t="shared" si="119"/>
        <v>Adult Fiction</v>
      </c>
      <c r="B834" t="str">
        <f t="shared" si="126"/>
        <v>NEW F STEEL</v>
      </c>
      <c r="C834" t="str">
        <f>"The dark side: a novel"</f>
        <v>The dark side: a novel</v>
      </c>
      <c r="D834">
        <v>357140</v>
      </c>
      <c r="E834" t="str">
        <f t="shared" si="128"/>
        <v>Steel, Danielle</v>
      </c>
      <c r="G834" t="str">
        <f>"274 pages, 25 cm"</f>
        <v>274 pages, 25 cm</v>
      </c>
      <c r="H834" s="1">
        <v>19</v>
      </c>
      <c r="I834">
        <v>2019</v>
      </c>
      <c r="J834" t="str">
        <f t="shared" si="130"/>
        <v>2: Fiction</v>
      </c>
      <c r="L834" t="s">
        <v>2395</v>
      </c>
      <c r="M834" t="s">
        <v>28</v>
      </c>
      <c r="N834" t="s">
        <v>2396</v>
      </c>
      <c r="O834">
        <v>8</v>
      </c>
      <c r="P834" s="2">
        <v>43704</v>
      </c>
      <c r="Q834" s="1">
        <v>34</v>
      </c>
      <c r="R834" t="s">
        <v>2907</v>
      </c>
      <c r="S834">
        <v>1077789730</v>
      </c>
    </row>
    <row r="835" spans="1:19" x14ac:dyDescent="0.2">
      <c r="A835" t="str">
        <f t="shared" si="119"/>
        <v>Adult Fiction</v>
      </c>
      <c r="B835" t="str">
        <f t="shared" si="126"/>
        <v>NEW F STEEL</v>
      </c>
      <c r="C835" t="str">
        <f>"The dark side: a novel"</f>
        <v>The dark side: a novel</v>
      </c>
      <c r="D835">
        <v>357141</v>
      </c>
      <c r="E835" t="str">
        <f t="shared" si="128"/>
        <v>Steel, Danielle</v>
      </c>
      <c r="G835" t="str">
        <f>"274 pages, 25 cm"</f>
        <v>274 pages, 25 cm</v>
      </c>
      <c r="H835" s="1">
        <v>19</v>
      </c>
      <c r="I835">
        <v>2019</v>
      </c>
      <c r="J835" t="str">
        <f t="shared" si="130"/>
        <v>2: Fiction</v>
      </c>
      <c r="L835" t="s">
        <v>2395</v>
      </c>
      <c r="M835" t="s">
        <v>28</v>
      </c>
      <c r="N835" t="s">
        <v>2396</v>
      </c>
      <c r="O835">
        <v>6</v>
      </c>
      <c r="P835" s="2">
        <v>43704</v>
      </c>
      <c r="Q835" s="1">
        <v>34</v>
      </c>
      <c r="R835" t="s">
        <v>2907</v>
      </c>
      <c r="S835">
        <v>1077789730</v>
      </c>
    </row>
    <row r="836" spans="1:19" x14ac:dyDescent="0.2">
      <c r="A836" t="str">
        <f t="shared" si="119"/>
        <v>Adult Fiction</v>
      </c>
      <c r="B836" t="str">
        <f t="shared" si="126"/>
        <v>NEW F STEEL</v>
      </c>
      <c r="C836" t="str">
        <f>"The dark side: a novel"</f>
        <v>The dark side: a novel</v>
      </c>
      <c r="D836">
        <v>357142</v>
      </c>
      <c r="E836" t="str">
        <f t="shared" si="128"/>
        <v>Steel, Danielle</v>
      </c>
      <c r="G836" t="str">
        <f>"274 pages, 25 cm"</f>
        <v>274 pages, 25 cm</v>
      </c>
      <c r="H836" s="1">
        <v>19</v>
      </c>
      <c r="I836">
        <v>2019</v>
      </c>
      <c r="J836" t="str">
        <f t="shared" si="130"/>
        <v>2: Fiction</v>
      </c>
      <c r="L836" t="s">
        <v>2403</v>
      </c>
      <c r="M836" t="s">
        <v>28</v>
      </c>
      <c r="N836" t="s">
        <v>2396</v>
      </c>
      <c r="O836">
        <v>4</v>
      </c>
      <c r="P836" s="2">
        <v>43704</v>
      </c>
      <c r="Q836" s="1">
        <v>34</v>
      </c>
      <c r="R836" t="s">
        <v>2907</v>
      </c>
      <c r="S836">
        <v>1077789730</v>
      </c>
    </row>
    <row r="837" spans="1:19" x14ac:dyDescent="0.2">
      <c r="A837" t="str">
        <f t="shared" si="119"/>
        <v>Adult Fiction</v>
      </c>
      <c r="B837" t="str">
        <f t="shared" si="126"/>
        <v>NEW F STEEL</v>
      </c>
      <c r="C837" t="str">
        <f>"Lost and found: a novel"</f>
        <v>Lost and found: a novel</v>
      </c>
      <c r="D837">
        <v>355813</v>
      </c>
      <c r="E837" t="str">
        <f t="shared" si="128"/>
        <v>Steel, Danielle</v>
      </c>
      <c r="G837" t="str">
        <f>"270 pages, 25 cm"</f>
        <v>270 pages, 25 cm</v>
      </c>
      <c r="H837" s="1">
        <v>19</v>
      </c>
      <c r="I837">
        <v>2019</v>
      </c>
      <c r="J837" t="str">
        <f t="shared" si="130"/>
        <v>2: Fiction</v>
      </c>
      <c r="L837" t="s">
        <v>2395</v>
      </c>
      <c r="M837" t="s">
        <v>28</v>
      </c>
      <c r="N837" t="s">
        <v>2401</v>
      </c>
      <c r="O837">
        <v>13</v>
      </c>
      <c r="P837" s="2">
        <v>43640</v>
      </c>
      <c r="Q837" s="1">
        <v>34</v>
      </c>
      <c r="R837" t="s">
        <v>2908</v>
      </c>
      <c r="S837">
        <v>1055684274</v>
      </c>
    </row>
    <row r="838" spans="1:19" x14ac:dyDescent="0.2">
      <c r="A838" t="str">
        <f t="shared" si="119"/>
        <v>Adult Fiction</v>
      </c>
      <c r="B838" t="str">
        <f t="shared" si="126"/>
        <v>NEW F STEEL</v>
      </c>
      <c r="C838" t="str">
        <f t="shared" ref="C838:C843" si="131">"Moral compass"</f>
        <v>Moral compass</v>
      </c>
      <c r="D838">
        <v>360283</v>
      </c>
      <c r="E838" t="str">
        <f t="shared" si="128"/>
        <v>Steel, Danielle</v>
      </c>
      <c r="G838" t="str">
        <f t="shared" ref="G838:G843" si="132">"275 pages, 25 cm"</f>
        <v>275 pages, 25 cm</v>
      </c>
      <c r="H838" s="1">
        <v>19</v>
      </c>
      <c r="I838">
        <v>2020</v>
      </c>
      <c r="J838" t="str">
        <f t="shared" si="130"/>
        <v>2: Fiction</v>
      </c>
      <c r="L838" t="s">
        <v>2403</v>
      </c>
      <c r="M838" t="s">
        <v>28</v>
      </c>
      <c r="N838" t="s">
        <v>2404</v>
      </c>
      <c r="O838">
        <v>1</v>
      </c>
      <c r="P838" s="2">
        <v>43844</v>
      </c>
      <c r="Q838" s="1">
        <v>34</v>
      </c>
      <c r="R838" t="s">
        <v>2909</v>
      </c>
      <c r="S838">
        <v>1132263889</v>
      </c>
    </row>
    <row r="839" spans="1:19" x14ac:dyDescent="0.2">
      <c r="A839" t="str">
        <f t="shared" ref="A839:A902" si="133">"Adult Fiction"</f>
        <v>Adult Fiction</v>
      </c>
      <c r="B839" t="str">
        <f t="shared" si="126"/>
        <v>NEW F STEEL</v>
      </c>
      <c r="C839" t="str">
        <f t="shared" si="131"/>
        <v>Moral compass</v>
      </c>
      <c r="D839">
        <v>360284</v>
      </c>
      <c r="E839" t="str">
        <f t="shared" si="128"/>
        <v>Steel, Danielle</v>
      </c>
      <c r="G839" t="str">
        <f t="shared" si="132"/>
        <v>275 pages, 25 cm</v>
      </c>
      <c r="H839" s="1">
        <v>19</v>
      </c>
      <c r="I839">
        <v>2020</v>
      </c>
      <c r="J839" t="str">
        <f t="shared" si="130"/>
        <v>2: Fiction</v>
      </c>
      <c r="L839" t="s">
        <v>2403</v>
      </c>
      <c r="M839" t="s">
        <v>28</v>
      </c>
      <c r="N839" t="s">
        <v>2404</v>
      </c>
      <c r="O839">
        <v>1</v>
      </c>
      <c r="P839" s="2">
        <v>43844</v>
      </c>
      <c r="Q839" s="1">
        <v>34</v>
      </c>
      <c r="R839" t="s">
        <v>2909</v>
      </c>
      <c r="S839">
        <v>1132263889</v>
      </c>
    </row>
    <row r="840" spans="1:19" x14ac:dyDescent="0.2">
      <c r="A840" t="str">
        <f t="shared" si="133"/>
        <v>Adult Fiction</v>
      </c>
      <c r="B840" t="str">
        <f t="shared" si="126"/>
        <v>NEW F STEEL</v>
      </c>
      <c r="C840" t="str">
        <f t="shared" si="131"/>
        <v>Moral compass</v>
      </c>
      <c r="D840">
        <v>360285</v>
      </c>
      <c r="E840" t="str">
        <f t="shared" si="128"/>
        <v>Steel, Danielle</v>
      </c>
      <c r="G840" t="str">
        <f t="shared" si="132"/>
        <v>275 pages, 25 cm</v>
      </c>
      <c r="H840" s="1">
        <v>19</v>
      </c>
      <c r="I840">
        <v>2020</v>
      </c>
      <c r="J840" t="str">
        <f t="shared" si="130"/>
        <v>2: Fiction</v>
      </c>
      <c r="L840" t="s">
        <v>2403</v>
      </c>
      <c r="M840" t="s">
        <v>28</v>
      </c>
      <c r="N840" t="s">
        <v>2404</v>
      </c>
      <c r="O840">
        <v>1</v>
      </c>
      <c r="P840" s="2">
        <v>43844</v>
      </c>
      <c r="Q840" s="1">
        <v>34</v>
      </c>
      <c r="R840" t="s">
        <v>2909</v>
      </c>
      <c r="S840">
        <v>1132263889</v>
      </c>
    </row>
    <row r="841" spans="1:19" x14ac:dyDescent="0.2">
      <c r="A841" t="str">
        <f t="shared" si="133"/>
        <v>Adult Fiction</v>
      </c>
      <c r="B841" t="str">
        <f t="shared" si="126"/>
        <v>NEW F STEEL</v>
      </c>
      <c r="C841" t="str">
        <f t="shared" si="131"/>
        <v>Moral compass</v>
      </c>
      <c r="D841">
        <v>360286</v>
      </c>
      <c r="E841" t="str">
        <f t="shared" si="128"/>
        <v>Steel, Danielle</v>
      </c>
      <c r="G841" t="str">
        <f t="shared" si="132"/>
        <v>275 pages, 25 cm</v>
      </c>
      <c r="H841" s="1">
        <v>19</v>
      </c>
      <c r="I841">
        <v>2020</v>
      </c>
      <c r="J841" t="str">
        <f t="shared" si="130"/>
        <v>2: Fiction</v>
      </c>
      <c r="L841" t="s">
        <v>2395</v>
      </c>
      <c r="M841" t="s">
        <v>28</v>
      </c>
      <c r="N841" t="s">
        <v>2404</v>
      </c>
      <c r="O841">
        <v>1</v>
      </c>
      <c r="P841" s="2">
        <v>43844</v>
      </c>
      <c r="Q841" s="1">
        <v>34</v>
      </c>
      <c r="R841" t="s">
        <v>2909</v>
      </c>
      <c r="S841">
        <v>1132263889</v>
      </c>
    </row>
    <row r="842" spans="1:19" x14ac:dyDescent="0.2">
      <c r="A842" t="str">
        <f t="shared" si="133"/>
        <v>Adult Fiction</v>
      </c>
      <c r="B842" t="str">
        <f t="shared" si="126"/>
        <v>NEW F STEEL</v>
      </c>
      <c r="C842" t="str">
        <f t="shared" si="131"/>
        <v>Moral compass</v>
      </c>
      <c r="D842">
        <v>360287</v>
      </c>
      <c r="E842" t="str">
        <f t="shared" si="128"/>
        <v>Steel, Danielle</v>
      </c>
      <c r="G842" t="str">
        <f t="shared" si="132"/>
        <v>275 pages, 25 cm</v>
      </c>
      <c r="H842" s="1">
        <v>19</v>
      </c>
      <c r="I842">
        <v>2020</v>
      </c>
      <c r="J842" t="str">
        <f t="shared" si="130"/>
        <v>2: Fiction</v>
      </c>
      <c r="L842" t="s">
        <v>2403</v>
      </c>
      <c r="M842" t="s">
        <v>28</v>
      </c>
      <c r="N842" t="s">
        <v>2404</v>
      </c>
      <c r="O842">
        <v>1</v>
      </c>
      <c r="P842" s="2">
        <v>43844</v>
      </c>
      <c r="Q842" s="1">
        <v>34</v>
      </c>
      <c r="R842" t="s">
        <v>2909</v>
      </c>
      <c r="S842">
        <v>1132263889</v>
      </c>
    </row>
    <row r="843" spans="1:19" x14ac:dyDescent="0.2">
      <c r="A843" t="str">
        <f t="shared" si="133"/>
        <v>Adult Fiction</v>
      </c>
      <c r="B843" t="str">
        <f t="shared" si="126"/>
        <v>NEW F STEEL</v>
      </c>
      <c r="C843" t="str">
        <f t="shared" si="131"/>
        <v>Moral compass</v>
      </c>
      <c r="D843">
        <v>360288</v>
      </c>
      <c r="E843" t="str">
        <f t="shared" si="128"/>
        <v>Steel, Danielle</v>
      </c>
      <c r="G843" t="str">
        <f t="shared" si="132"/>
        <v>275 pages, 25 cm</v>
      </c>
      <c r="H843" s="1">
        <v>19</v>
      </c>
      <c r="I843">
        <v>2020</v>
      </c>
      <c r="J843" t="str">
        <f t="shared" si="130"/>
        <v>2: Fiction</v>
      </c>
      <c r="L843" t="s">
        <v>2403</v>
      </c>
      <c r="M843" t="s">
        <v>28</v>
      </c>
      <c r="N843" t="s">
        <v>2404</v>
      </c>
      <c r="O843">
        <v>1</v>
      </c>
      <c r="P843" s="2">
        <v>43844</v>
      </c>
      <c r="Q843" s="1">
        <v>34</v>
      </c>
      <c r="R843" t="s">
        <v>2909</v>
      </c>
      <c r="S843">
        <v>1132263889</v>
      </c>
    </row>
    <row r="844" spans="1:19" x14ac:dyDescent="0.2">
      <c r="A844" t="str">
        <f t="shared" si="133"/>
        <v>Adult Fiction</v>
      </c>
      <c r="B844" t="str">
        <f t="shared" si="126"/>
        <v>NEW F STEEL</v>
      </c>
      <c r="C844" t="str">
        <f t="shared" ref="C844:C849" si="134">"Spy: a novel"</f>
        <v>Spy: a novel</v>
      </c>
      <c r="D844">
        <v>359471</v>
      </c>
      <c r="E844" t="str">
        <f t="shared" si="128"/>
        <v>Steel, Danielle</v>
      </c>
      <c r="G844" t="str">
        <f t="shared" ref="G844:G849" si="135">"273 pages"</f>
        <v>273 pages</v>
      </c>
      <c r="H844" s="1">
        <v>19</v>
      </c>
      <c r="I844">
        <v>2019</v>
      </c>
      <c r="J844" t="str">
        <f t="shared" si="130"/>
        <v>2: Fiction</v>
      </c>
      <c r="L844" t="s">
        <v>2403</v>
      </c>
      <c r="M844" t="s">
        <v>28</v>
      </c>
      <c r="N844" t="s">
        <v>2404</v>
      </c>
      <c r="O844">
        <v>5</v>
      </c>
      <c r="P844" s="2">
        <v>43802</v>
      </c>
      <c r="Q844" s="1">
        <v>34</v>
      </c>
      <c r="R844" t="s">
        <v>2910</v>
      </c>
      <c r="S844">
        <v>1089268332</v>
      </c>
    </row>
    <row r="845" spans="1:19" x14ac:dyDescent="0.2">
      <c r="A845" t="str">
        <f t="shared" si="133"/>
        <v>Adult Fiction</v>
      </c>
      <c r="B845" t="str">
        <f t="shared" si="126"/>
        <v>NEW F STEEL</v>
      </c>
      <c r="C845" t="str">
        <f t="shared" si="134"/>
        <v>Spy: a novel</v>
      </c>
      <c r="D845">
        <v>359472</v>
      </c>
      <c r="E845" t="str">
        <f t="shared" si="128"/>
        <v>Steel, Danielle</v>
      </c>
      <c r="G845" t="str">
        <f t="shared" si="135"/>
        <v>273 pages</v>
      </c>
      <c r="H845" s="1">
        <v>19</v>
      </c>
      <c r="I845">
        <v>2019</v>
      </c>
      <c r="J845" t="str">
        <f t="shared" si="130"/>
        <v>2: Fiction</v>
      </c>
      <c r="L845" t="s">
        <v>2403</v>
      </c>
      <c r="M845" t="s">
        <v>28</v>
      </c>
      <c r="N845" t="s">
        <v>2404</v>
      </c>
      <c r="O845">
        <v>4</v>
      </c>
      <c r="P845" s="2">
        <v>43802</v>
      </c>
      <c r="Q845" s="1">
        <v>34</v>
      </c>
      <c r="R845" t="s">
        <v>2910</v>
      </c>
      <c r="S845">
        <v>1089268332</v>
      </c>
    </row>
    <row r="846" spans="1:19" x14ac:dyDescent="0.2">
      <c r="A846" t="str">
        <f t="shared" si="133"/>
        <v>Adult Fiction</v>
      </c>
      <c r="B846" t="str">
        <f t="shared" si="126"/>
        <v>NEW F STEEL</v>
      </c>
      <c r="C846" t="str">
        <f t="shared" si="134"/>
        <v>Spy: a novel</v>
      </c>
      <c r="D846">
        <v>359473</v>
      </c>
      <c r="E846" t="str">
        <f t="shared" si="128"/>
        <v>Steel, Danielle</v>
      </c>
      <c r="G846" t="str">
        <f t="shared" si="135"/>
        <v>273 pages</v>
      </c>
      <c r="H846" s="1">
        <v>19</v>
      </c>
      <c r="I846">
        <v>2019</v>
      </c>
      <c r="J846" t="str">
        <f t="shared" si="130"/>
        <v>2: Fiction</v>
      </c>
      <c r="L846" t="s">
        <v>2403</v>
      </c>
      <c r="M846" t="s">
        <v>28</v>
      </c>
      <c r="N846" t="s">
        <v>2404</v>
      </c>
      <c r="O846">
        <v>3</v>
      </c>
      <c r="P846" s="2">
        <v>43802</v>
      </c>
      <c r="Q846" s="1">
        <v>34</v>
      </c>
      <c r="R846" t="s">
        <v>2910</v>
      </c>
      <c r="S846">
        <v>1089268332</v>
      </c>
    </row>
    <row r="847" spans="1:19" x14ac:dyDescent="0.2">
      <c r="A847" t="str">
        <f t="shared" si="133"/>
        <v>Adult Fiction</v>
      </c>
      <c r="B847" t="str">
        <f t="shared" si="126"/>
        <v>NEW F STEEL</v>
      </c>
      <c r="C847" t="str">
        <f t="shared" si="134"/>
        <v>Spy: a novel</v>
      </c>
      <c r="D847">
        <v>359474</v>
      </c>
      <c r="E847" t="str">
        <f t="shared" si="128"/>
        <v>Steel, Danielle</v>
      </c>
      <c r="G847" t="str">
        <f t="shared" si="135"/>
        <v>273 pages</v>
      </c>
      <c r="H847" s="1">
        <v>19</v>
      </c>
      <c r="I847">
        <v>2019</v>
      </c>
      <c r="J847" t="str">
        <f t="shared" si="130"/>
        <v>2: Fiction</v>
      </c>
      <c r="L847" t="s">
        <v>2403</v>
      </c>
      <c r="M847" t="s">
        <v>28</v>
      </c>
      <c r="N847" t="s">
        <v>2404</v>
      </c>
      <c r="O847">
        <v>3</v>
      </c>
      <c r="P847" s="2">
        <v>43802</v>
      </c>
      <c r="Q847" s="1">
        <v>34</v>
      </c>
      <c r="R847" t="s">
        <v>2910</v>
      </c>
      <c r="S847">
        <v>1089268332</v>
      </c>
    </row>
    <row r="848" spans="1:19" x14ac:dyDescent="0.2">
      <c r="A848" t="str">
        <f t="shared" si="133"/>
        <v>Adult Fiction</v>
      </c>
      <c r="B848" t="str">
        <f t="shared" si="126"/>
        <v>NEW F STEEL</v>
      </c>
      <c r="C848" t="str">
        <f t="shared" si="134"/>
        <v>Spy: a novel</v>
      </c>
      <c r="D848">
        <v>359475</v>
      </c>
      <c r="E848" t="str">
        <f t="shared" si="128"/>
        <v>Steel, Danielle</v>
      </c>
      <c r="G848" t="str">
        <f t="shared" si="135"/>
        <v>273 pages</v>
      </c>
      <c r="H848" s="1">
        <v>19</v>
      </c>
      <c r="I848">
        <v>2019</v>
      </c>
      <c r="J848" t="str">
        <f t="shared" si="130"/>
        <v>2: Fiction</v>
      </c>
      <c r="L848" t="s">
        <v>2395</v>
      </c>
      <c r="M848" t="s">
        <v>28</v>
      </c>
      <c r="N848" t="s">
        <v>2404</v>
      </c>
      <c r="O848">
        <v>3</v>
      </c>
      <c r="P848" s="2">
        <v>43802</v>
      </c>
      <c r="Q848" s="1">
        <v>34</v>
      </c>
      <c r="R848" t="s">
        <v>2910</v>
      </c>
      <c r="S848">
        <v>1089268332</v>
      </c>
    </row>
    <row r="849" spans="1:19" x14ac:dyDescent="0.2">
      <c r="A849" t="str">
        <f t="shared" si="133"/>
        <v>Adult Fiction</v>
      </c>
      <c r="B849" t="str">
        <f t="shared" si="126"/>
        <v>NEW F STEEL</v>
      </c>
      <c r="C849" t="str">
        <f t="shared" si="134"/>
        <v>Spy: a novel</v>
      </c>
      <c r="D849">
        <v>359476</v>
      </c>
      <c r="E849" t="str">
        <f t="shared" si="128"/>
        <v>Steel, Danielle</v>
      </c>
      <c r="G849" t="str">
        <f t="shared" si="135"/>
        <v>273 pages</v>
      </c>
      <c r="H849" s="1">
        <v>19</v>
      </c>
      <c r="I849">
        <v>2019</v>
      </c>
      <c r="J849" t="str">
        <f t="shared" si="130"/>
        <v>2: Fiction</v>
      </c>
      <c r="L849" t="s">
        <v>2395</v>
      </c>
      <c r="M849" t="s">
        <v>28</v>
      </c>
      <c r="N849" t="s">
        <v>2404</v>
      </c>
      <c r="O849">
        <v>5</v>
      </c>
      <c r="P849" s="2">
        <v>43802</v>
      </c>
      <c r="Q849" s="1">
        <v>34</v>
      </c>
      <c r="R849" t="s">
        <v>2910</v>
      </c>
      <c r="S849">
        <v>1089268332</v>
      </c>
    </row>
    <row r="850" spans="1:19" x14ac:dyDescent="0.2">
      <c r="A850" t="str">
        <f t="shared" si="133"/>
        <v>Adult Fiction</v>
      </c>
      <c r="B850" t="str">
        <f>"NEW F STEIN"</f>
        <v>NEW F STEIN</v>
      </c>
      <c r="C850" t="str">
        <f>"Machine: a novel"</f>
        <v>Machine: a novel</v>
      </c>
      <c r="D850">
        <v>357477</v>
      </c>
      <c r="E850" t="str">
        <f>"Steinberg, Susan"</f>
        <v>Steinberg, Susan</v>
      </c>
      <c r="G850" t="str">
        <f>"149 pages, 21 cm"</f>
        <v>149 pages, 21 cm</v>
      </c>
      <c r="H850" s="1">
        <v>19</v>
      </c>
      <c r="I850">
        <v>2019</v>
      </c>
      <c r="J850" t="str">
        <f t="shared" si="130"/>
        <v>2: Fiction</v>
      </c>
      <c r="L850" t="s">
        <v>2395</v>
      </c>
      <c r="M850" t="s">
        <v>28</v>
      </c>
      <c r="N850" t="s">
        <v>2396</v>
      </c>
      <c r="O850">
        <v>1</v>
      </c>
      <c r="P850" s="2">
        <v>43719</v>
      </c>
      <c r="Q850" s="1">
        <v>20</v>
      </c>
      <c r="R850" t="s">
        <v>2911</v>
      </c>
      <c r="S850">
        <v>1099583520</v>
      </c>
    </row>
    <row r="851" spans="1:19" x14ac:dyDescent="0.2">
      <c r="A851" t="str">
        <f t="shared" si="133"/>
        <v>Adult Fiction</v>
      </c>
      <c r="B851" t="str">
        <f>"NEW F STEIN"</f>
        <v>NEW F STEIN</v>
      </c>
      <c r="C851" t="str">
        <f>"The good cop"</f>
        <v>The good cop</v>
      </c>
      <c r="D851">
        <v>359485</v>
      </c>
      <c r="E851" t="str">
        <f>"Steiner, Peter,"</f>
        <v>Steiner, Peter,</v>
      </c>
      <c r="G851" t="str">
        <f>"185 pages, 23 cm"</f>
        <v>185 pages, 23 cm</v>
      </c>
      <c r="H851" s="1">
        <v>19</v>
      </c>
      <c r="I851">
        <v>2019</v>
      </c>
      <c r="J851" t="str">
        <f t="shared" si="130"/>
        <v>2: Fiction</v>
      </c>
      <c r="L851" t="s">
        <v>2395</v>
      </c>
      <c r="M851" t="s">
        <v>28</v>
      </c>
      <c r="N851" t="s">
        <v>2404</v>
      </c>
      <c r="O851">
        <v>2</v>
      </c>
      <c r="P851" s="2">
        <v>43802</v>
      </c>
      <c r="Q851" s="1">
        <v>34</v>
      </c>
      <c r="R851" t="s">
        <v>2912</v>
      </c>
      <c r="S851">
        <v>1082212408</v>
      </c>
    </row>
    <row r="852" spans="1:19" x14ac:dyDescent="0.2">
      <c r="A852" t="str">
        <f t="shared" si="133"/>
        <v>Adult Fiction</v>
      </c>
      <c r="B852" t="str">
        <f>"NEW F STEPH"</f>
        <v>NEW F STEPH</v>
      </c>
      <c r="C852" t="str">
        <f>"Fall, or, Dodge in hell: a novel"</f>
        <v>Fall, or, Dodge in hell: a novel</v>
      </c>
      <c r="D852">
        <v>355924</v>
      </c>
      <c r="E852" t="str">
        <f>"Stephenson, Neal"</f>
        <v>Stephenson, Neal</v>
      </c>
      <c r="G852" t="str">
        <f>"883 pages, 24 cm"</f>
        <v>883 pages, 24 cm</v>
      </c>
      <c r="H852" s="1">
        <v>19</v>
      </c>
      <c r="I852">
        <v>2019</v>
      </c>
      <c r="J852" t="str">
        <f t="shared" si="130"/>
        <v>2: Fiction</v>
      </c>
      <c r="L852" t="s">
        <v>2395</v>
      </c>
      <c r="M852" t="s">
        <v>28</v>
      </c>
      <c r="N852" t="s">
        <v>2396</v>
      </c>
      <c r="O852">
        <v>5</v>
      </c>
      <c r="P852" s="2">
        <v>43647</v>
      </c>
      <c r="Q852" s="1">
        <v>40</v>
      </c>
      <c r="R852" t="s">
        <v>2913</v>
      </c>
      <c r="S852">
        <v>1085577389</v>
      </c>
    </row>
    <row r="853" spans="1:19" x14ac:dyDescent="0.2">
      <c r="A853" t="str">
        <f t="shared" si="133"/>
        <v>Adult Fiction</v>
      </c>
      <c r="B853" t="str">
        <f>"NEW F STEWA"</f>
        <v>NEW F STEWA</v>
      </c>
      <c r="C853" t="str">
        <f>"Kopp sisters on the march"</f>
        <v>Kopp sisters on the march</v>
      </c>
      <c r="D853">
        <v>357547</v>
      </c>
      <c r="E853" t="str">
        <f>"Stewart, Amy."</f>
        <v>Stewart, Amy.</v>
      </c>
      <c r="F853" t="str">
        <f>"Kopp Sisters series (5)"</f>
        <v>Kopp Sisters series (5)</v>
      </c>
      <c r="G853" t="str">
        <f>"355 p."</f>
        <v>355 p.</v>
      </c>
      <c r="H853" s="1">
        <v>19</v>
      </c>
      <c r="I853">
        <v>2019</v>
      </c>
      <c r="J853" t="str">
        <f t="shared" si="130"/>
        <v>2: Fiction</v>
      </c>
      <c r="L853" t="s">
        <v>2395</v>
      </c>
      <c r="M853" t="s">
        <v>28</v>
      </c>
      <c r="N853" t="s">
        <v>2396</v>
      </c>
      <c r="O853">
        <v>3</v>
      </c>
      <c r="P853" s="2">
        <v>43719</v>
      </c>
      <c r="Q853" s="1">
        <v>31</v>
      </c>
      <c r="R853" t="s">
        <v>2914</v>
      </c>
      <c r="S853">
        <v>1080246451</v>
      </c>
    </row>
    <row r="854" spans="1:19" x14ac:dyDescent="0.2">
      <c r="A854" t="str">
        <f t="shared" si="133"/>
        <v>Adult Fiction</v>
      </c>
      <c r="B854" t="str">
        <f>"NEW F STRAD"</f>
        <v>NEW F STRAD</v>
      </c>
      <c r="C854" t="str">
        <f>"The lager queen of Minnesota"</f>
        <v>The lager queen of Minnesota</v>
      </c>
      <c r="D854">
        <v>356359</v>
      </c>
      <c r="E854" t="str">
        <f>"Stradal, J. Ryan"</f>
        <v>Stradal, J. Ryan</v>
      </c>
      <c r="G854" t="str">
        <f>"353 pages, 24 cm"</f>
        <v>353 pages, 24 cm</v>
      </c>
      <c r="H854" s="1">
        <v>19</v>
      </c>
      <c r="I854">
        <v>2019</v>
      </c>
      <c r="J854" t="str">
        <f t="shared" si="130"/>
        <v>2: Fiction</v>
      </c>
      <c r="L854" t="s">
        <v>2395</v>
      </c>
      <c r="M854" t="s">
        <v>28</v>
      </c>
      <c r="N854" t="s">
        <v>2404</v>
      </c>
      <c r="O854">
        <v>12</v>
      </c>
      <c r="P854" s="2">
        <v>43669</v>
      </c>
      <c r="Q854" s="1">
        <v>31</v>
      </c>
      <c r="R854" t="s">
        <v>2915</v>
      </c>
      <c r="S854">
        <v>1077962337</v>
      </c>
    </row>
    <row r="855" spans="1:19" x14ac:dyDescent="0.2">
      <c r="A855" t="str">
        <f t="shared" si="133"/>
        <v>Adult Fiction</v>
      </c>
      <c r="B855" t="str">
        <f>"NEW F STRAD"</f>
        <v>NEW F STRAD</v>
      </c>
      <c r="C855" t="str">
        <f>"The lager queen of Minnesota"</f>
        <v>The lager queen of Minnesota</v>
      </c>
      <c r="D855">
        <v>356360</v>
      </c>
      <c r="E855" t="str">
        <f>"Stradal, J. Ryan"</f>
        <v>Stradal, J. Ryan</v>
      </c>
      <c r="G855" t="str">
        <f>"353 pages, 24 cm"</f>
        <v>353 pages, 24 cm</v>
      </c>
      <c r="H855" s="1">
        <v>19</v>
      </c>
      <c r="I855">
        <v>2019</v>
      </c>
      <c r="J855" t="str">
        <f t="shared" si="130"/>
        <v>2: Fiction</v>
      </c>
      <c r="L855" t="s">
        <v>2395</v>
      </c>
      <c r="M855" t="s">
        <v>28</v>
      </c>
      <c r="N855" t="s">
        <v>2404</v>
      </c>
      <c r="O855">
        <v>12</v>
      </c>
      <c r="P855" s="2">
        <v>43669</v>
      </c>
      <c r="Q855" s="1">
        <v>31</v>
      </c>
      <c r="R855" t="s">
        <v>2915</v>
      </c>
      <c r="S855">
        <v>1077962337</v>
      </c>
    </row>
    <row r="856" spans="1:19" x14ac:dyDescent="0.2">
      <c r="A856" t="str">
        <f t="shared" si="133"/>
        <v>Adult Fiction</v>
      </c>
      <c r="B856" t="str">
        <f>"NEW F STROU"</f>
        <v>NEW F STROU</v>
      </c>
      <c r="C856" t="str">
        <f>"Olive, again"</f>
        <v>Olive, again</v>
      </c>
      <c r="D856">
        <v>358471</v>
      </c>
      <c r="E856" t="str">
        <f>"Strout, Elizabeth"</f>
        <v>Strout, Elizabeth</v>
      </c>
      <c r="G856" t="str">
        <f>"289 pages, 25 cm"</f>
        <v>289 pages, 25 cm</v>
      </c>
      <c r="H856" s="1">
        <v>19</v>
      </c>
      <c r="I856">
        <v>2019</v>
      </c>
      <c r="J856" t="str">
        <f t="shared" si="130"/>
        <v>2: Fiction</v>
      </c>
      <c r="L856" t="s">
        <v>2395</v>
      </c>
      <c r="M856" t="s">
        <v>28</v>
      </c>
      <c r="N856" t="str">
        <f>"Reserve Cart"</f>
        <v>Reserve Cart</v>
      </c>
      <c r="O856">
        <v>7</v>
      </c>
      <c r="P856" s="2">
        <v>43753</v>
      </c>
      <c r="Q856" s="1">
        <v>32</v>
      </c>
      <c r="R856" t="s">
        <v>2916</v>
      </c>
      <c r="S856">
        <v>1085218721</v>
      </c>
    </row>
    <row r="857" spans="1:19" x14ac:dyDescent="0.2">
      <c r="A857" t="str">
        <f t="shared" si="133"/>
        <v>Adult Fiction</v>
      </c>
      <c r="B857" t="str">
        <f>"NEW F STROU"</f>
        <v>NEW F STROU</v>
      </c>
      <c r="C857" t="str">
        <f>"Olive, again"</f>
        <v>Olive, again</v>
      </c>
      <c r="D857">
        <v>358472</v>
      </c>
      <c r="E857" t="str">
        <f>"Strout, Elizabeth"</f>
        <v>Strout, Elizabeth</v>
      </c>
      <c r="G857" t="str">
        <f>"289 pages, 25 cm"</f>
        <v>289 pages, 25 cm</v>
      </c>
      <c r="H857" s="1">
        <v>19</v>
      </c>
      <c r="I857">
        <v>2019</v>
      </c>
      <c r="J857" t="str">
        <f t="shared" si="130"/>
        <v>2: Fiction</v>
      </c>
      <c r="L857" t="s">
        <v>2395</v>
      </c>
      <c r="M857" t="s">
        <v>28</v>
      </c>
      <c r="N857" t="s">
        <v>2404</v>
      </c>
      <c r="O857">
        <v>9</v>
      </c>
      <c r="P857" s="2">
        <v>43753</v>
      </c>
      <c r="Q857" s="1">
        <v>32</v>
      </c>
      <c r="R857" t="s">
        <v>2916</v>
      </c>
      <c r="S857">
        <v>1085218721</v>
      </c>
    </row>
    <row r="858" spans="1:19" x14ac:dyDescent="0.2">
      <c r="A858" t="str">
        <f t="shared" si="133"/>
        <v>Adult Fiction</v>
      </c>
      <c r="B858" t="str">
        <f>"NEW F STROU"</f>
        <v>NEW F STROU</v>
      </c>
      <c r="C858" t="str">
        <f>"Olive, again"</f>
        <v>Olive, again</v>
      </c>
      <c r="D858">
        <v>359042</v>
      </c>
      <c r="E858" t="str">
        <f>"Strout, Elizabeth"</f>
        <v>Strout, Elizabeth</v>
      </c>
      <c r="G858" t="str">
        <f>"289 pages, 25 cm"</f>
        <v>289 pages, 25 cm</v>
      </c>
      <c r="H858" s="1">
        <v>19</v>
      </c>
      <c r="I858">
        <v>2019</v>
      </c>
      <c r="J858" t="str">
        <f t="shared" si="130"/>
        <v>2: Fiction</v>
      </c>
      <c r="L858" t="s">
        <v>2395</v>
      </c>
      <c r="M858" t="s">
        <v>28</v>
      </c>
      <c r="N858" t="s">
        <v>2404</v>
      </c>
      <c r="O858">
        <v>8</v>
      </c>
      <c r="P858" s="2">
        <v>43776</v>
      </c>
      <c r="Q858" s="1">
        <v>32</v>
      </c>
      <c r="R858" t="s">
        <v>2916</v>
      </c>
      <c r="S858">
        <v>1085218721</v>
      </c>
    </row>
    <row r="859" spans="1:19" x14ac:dyDescent="0.2">
      <c r="A859" t="str">
        <f t="shared" si="133"/>
        <v>Adult Fiction</v>
      </c>
      <c r="B859" t="str">
        <f>"NEW F STROU"</f>
        <v>NEW F STROU</v>
      </c>
      <c r="C859" t="str">
        <f>"Olive, again"</f>
        <v>Olive, again</v>
      </c>
      <c r="D859">
        <v>359043</v>
      </c>
      <c r="E859" t="str">
        <f>"Strout, Elizabeth"</f>
        <v>Strout, Elizabeth</v>
      </c>
      <c r="G859" t="str">
        <f>"289 pages, 25 cm"</f>
        <v>289 pages, 25 cm</v>
      </c>
      <c r="H859" s="1">
        <v>19</v>
      </c>
      <c r="I859">
        <v>2019</v>
      </c>
      <c r="J859" t="str">
        <f t="shared" si="130"/>
        <v>2: Fiction</v>
      </c>
      <c r="L859" t="s">
        <v>2395</v>
      </c>
      <c r="M859" t="s">
        <v>28</v>
      </c>
      <c r="N859" t="s">
        <v>2415</v>
      </c>
      <c r="O859">
        <v>4</v>
      </c>
      <c r="P859" s="2">
        <v>43776</v>
      </c>
      <c r="Q859" s="1">
        <v>32</v>
      </c>
      <c r="R859" t="s">
        <v>2916</v>
      </c>
      <c r="S859">
        <v>1085218721</v>
      </c>
    </row>
    <row r="860" spans="1:19" x14ac:dyDescent="0.2">
      <c r="A860" t="str">
        <f t="shared" si="133"/>
        <v>Adult Fiction</v>
      </c>
      <c r="B860" t="str">
        <f>"NEW F SVEIS"</f>
        <v>NEW F SVEIS</v>
      </c>
      <c r="C860" t="str">
        <f>"The chestnut man: a novel"</f>
        <v>The chestnut man: a novel</v>
      </c>
      <c r="D860">
        <v>357885</v>
      </c>
      <c r="E860" t="str">
        <f>"Sveistrup, Soren"</f>
        <v>Sveistrup, Soren</v>
      </c>
      <c r="G860" t="str">
        <f>"516 pages, 24 cm"</f>
        <v>516 pages, 24 cm</v>
      </c>
      <c r="H860" s="1">
        <v>19</v>
      </c>
      <c r="I860">
        <v>2019</v>
      </c>
      <c r="J860" t="str">
        <f t="shared" si="130"/>
        <v>2: Fiction</v>
      </c>
      <c r="L860" t="s">
        <v>2395</v>
      </c>
      <c r="M860" t="s">
        <v>28</v>
      </c>
      <c r="N860" t="s">
        <v>2396</v>
      </c>
      <c r="O860">
        <v>4</v>
      </c>
      <c r="P860" s="2">
        <v>43733</v>
      </c>
      <c r="Q860" s="1">
        <v>34</v>
      </c>
      <c r="R860" t="s">
        <v>2917</v>
      </c>
      <c r="S860">
        <v>1055570795</v>
      </c>
    </row>
    <row r="861" spans="1:19" x14ac:dyDescent="0.2">
      <c r="A861" t="str">
        <f t="shared" si="133"/>
        <v>Adult Fiction</v>
      </c>
      <c r="B861" t="str">
        <f>"NEW F SYKES"</f>
        <v>NEW F SYKES</v>
      </c>
      <c r="C861" t="str">
        <f>"The bone fire"</f>
        <v>The bone fire</v>
      </c>
      <c r="D861">
        <v>357689</v>
      </c>
      <c r="E861" t="str">
        <f>"Sykes, S. D"</f>
        <v>Sykes, S. D</v>
      </c>
      <c r="G861" t="str">
        <f>"309 pages, 24 cm"</f>
        <v>309 pages, 24 cm</v>
      </c>
      <c r="H861" s="1">
        <v>19</v>
      </c>
      <c r="I861">
        <v>2019</v>
      </c>
      <c r="J861" t="str">
        <f t="shared" si="130"/>
        <v>2: Fiction</v>
      </c>
      <c r="L861" t="s">
        <v>2395</v>
      </c>
      <c r="M861" t="s">
        <v>28</v>
      </c>
      <c r="N861" t="s">
        <v>2404</v>
      </c>
      <c r="O861">
        <v>9</v>
      </c>
      <c r="P861" s="2">
        <v>43725</v>
      </c>
      <c r="Q861" s="1">
        <v>31</v>
      </c>
      <c r="R861" t="s">
        <v>2918</v>
      </c>
      <c r="S861">
        <v>1085203321</v>
      </c>
    </row>
    <row r="862" spans="1:19" x14ac:dyDescent="0.2">
      <c r="A862" t="str">
        <f t="shared" si="133"/>
        <v>Adult Fiction</v>
      </c>
      <c r="B862" t="str">
        <f>"NEW F TAYLO"</f>
        <v>NEW F TAYLO</v>
      </c>
      <c r="C862" t="str">
        <f>"Hunter killer"</f>
        <v>Hunter killer</v>
      </c>
      <c r="D862">
        <v>360221</v>
      </c>
      <c r="E862" t="str">
        <f>"Taylor, Brad,"</f>
        <v>Taylor, Brad,</v>
      </c>
      <c r="F862" t="str">
        <f>"Pike Logan series (14)"</f>
        <v>Pike Logan series (14)</v>
      </c>
      <c r="G862" t="str">
        <f>"417 pages, 24 cm"</f>
        <v>417 pages, 24 cm</v>
      </c>
      <c r="H862" s="1">
        <v>19</v>
      </c>
      <c r="I862">
        <v>2020</v>
      </c>
      <c r="J862" t="str">
        <f t="shared" si="130"/>
        <v>2: Fiction</v>
      </c>
      <c r="L862" t="s">
        <v>2395</v>
      </c>
      <c r="M862" t="s">
        <v>28</v>
      </c>
      <c r="N862" t="s">
        <v>2404</v>
      </c>
      <c r="O862">
        <v>1</v>
      </c>
      <c r="P862" s="2">
        <v>43844</v>
      </c>
      <c r="Q862" s="1">
        <v>34</v>
      </c>
      <c r="R862" t="s">
        <v>2919</v>
      </c>
      <c r="S862">
        <v>1096339101</v>
      </c>
    </row>
    <row r="863" spans="1:19" x14ac:dyDescent="0.2">
      <c r="A863" t="str">
        <f t="shared" si="133"/>
        <v>Adult Fiction</v>
      </c>
      <c r="B863" t="str">
        <f>"NEW F TAYLO"</f>
        <v>NEW F TAYLO</v>
      </c>
      <c r="C863" t="str">
        <f>"Hadassah: Queen Esther of Persia"</f>
        <v>Hadassah: Queen Esther of Persia</v>
      </c>
      <c r="D863">
        <v>358875</v>
      </c>
      <c r="E863" t="str">
        <f>"Taylor, Diana Wallis,"</f>
        <v>Taylor, Diana Wallis,</v>
      </c>
      <c r="G863" t="str">
        <f>"303 pages, 22 cm"</f>
        <v>303 pages, 22 cm</v>
      </c>
      <c r="H863" s="1">
        <v>19</v>
      </c>
      <c r="I863">
        <v>2019</v>
      </c>
      <c r="J863" t="str">
        <f t="shared" si="130"/>
        <v>2: Fiction</v>
      </c>
      <c r="L863" t="s">
        <v>2395</v>
      </c>
      <c r="M863" t="s">
        <v>28</v>
      </c>
      <c r="N863" t="s">
        <v>2396</v>
      </c>
      <c r="O863">
        <v>4</v>
      </c>
      <c r="P863" s="2">
        <v>43769</v>
      </c>
      <c r="Q863" s="1">
        <v>21</v>
      </c>
      <c r="R863" t="s">
        <v>2920</v>
      </c>
      <c r="S863">
        <v>1091292828</v>
      </c>
    </row>
    <row r="864" spans="1:19" x14ac:dyDescent="0.2">
      <c r="A864" t="str">
        <f t="shared" si="133"/>
        <v>Adult Fiction</v>
      </c>
      <c r="B864" t="str">
        <f>"NEW F THAYE"</f>
        <v>NEW F THAYE</v>
      </c>
      <c r="C864" t="str">
        <f>"Let it snow: a novel"</f>
        <v>Let it snow: a novel</v>
      </c>
      <c r="D864">
        <v>359562</v>
      </c>
      <c r="E864" t="str">
        <f>"Thayer, Nancy"</f>
        <v>Thayer, Nancy</v>
      </c>
      <c r="G864" t="str">
        <f>"xi, 253 pages, 20 cm"</f>
        <v>xi, 253 pages, 20 cm</v>
      </c>
      <c r="H864" s="1">
        <v>19</v>
      </c>
      <c r="I864">
        <v>2019</v>
      </c>
      <c r="J864" t="str">
        <f t="shared" si="130"/>
        <v>2: Fiction</v>
      </c>
      <c r="L864" t="s">
        <v>2403</v>
      </c>
      <c r="M864" t="s">
        <v>28</v>
      </c>
      <c r="N864" t="s">
        <v>2404</v>
      </c>
      <c r="O864">
        <v>6</v>
      </c>
      <c r="P864" s="2">
        <v>43802</v>
      </c>
      <c r="Q864" s="1">
        <v>25</v>
      </c>
      <c r="R864" t="s">
        <v>2921</v>
      </c>
      <c r="S864">
        <v>1111637996</v>
      </c>
    </row>
    <row r="865" spans="1:19" x14ac:dyDescent="0.2">
      <c r="A865" t="str">
        <f t="shared" si="133"/>
        <v>Adult Fiction</v>
      </c>
      <c r="B865" t="str">
        <f>"NEW F THAYE"</f>
        <v>NEW F THAYE</v>
      </c>
      <c r="C865" t="str">
        <f>"Surfside sisters: a novel"</f>
        <v>Surfside sisters: a novel</v>
      </c>
      <c r="D865">
        <v>355966</v>
      </c>
      <c r="E865" t="str">
        <f>"Thayer, Nancy"</f>
        <v>Thayer, Nancy</v>
      </c>
      <c r="G865" t="str">
        <f>"x, 304 pages, 25 cm"</f>
        <v>x, 304 pages, 25 cm</v>
      </c>
      <c r="H865" s="1">
        <v>19</v>
      </c>
      <c r="I865">
        <v>2019</v>
      </c>
      <c r="J865" t="str">
        <f t="shared" si="130"/>
        <v>2: Fiction</v>
      </c>
      <c r="L865" t="s">
        <v>2395</v>
      </c>
      <c r="M865" t="s">
        <v>28</v>
      </c>
      <c r="N865" t="s">
        <v>2404</v>
      </c>
      <c r="O865">
        <v>14</v>
      </c>
      <c r="P865" s="2">
        <v>43647</v>
      </c>
      <c r="Q865" s="1">
        <v>32</v>
      </c>
      <c r="R865" t="s">
        <v>2922</v>
      </c>
      <c r="S865">
        <v>1044554913</v>
      </c>
    </row>
    <row r="866" spans="1:19" x14ac:dyDescent="0.2">
      <c r="A866" t="str">
        <f t="shared" si="133"/>
        <v>Adult Fiction</v>
      </c>
      <c r="B866" t="str">
        <f>"NEW F THOMA"</f>
        <v>NEW F THOMA</v>
      </c>
      <c r="C866" t="str">
        <f>"The secret life of Sam Holloway"</f>
        <v>The secret life of Sam Holloway</v>
      </c>
      <c r="D866">
        <v>357070</v>
      </c>
      <c r="E866" t="str">
        <f>"Thomas, Rhys."</f>
        <v>Thomas, Rhys.</v>
      </c>
      <c r="G866" t="str">
        <f>"376 p."</f>
        <v>376 p.</v>
      </c>
      <c r="H866" s="1">
        <v>19</v>
      </c>
      <c r="I866">
        <v>2019</v>
      </c>
      <c r="J866" t="str">
        <f t="shared" si="130"/>
        <v>2: Fiction</v>
      </c>
      <c r="L866" t="s">
        <v>2403</v>
      </c>
      <c r="M866" t="s">
        <v>28</v>
      </c>
      <c r="N866" t="s">
        <v>2396</v>
      </c>
      <c r="O866">
        <v>5</v>
      </c>
      <c r="P866" s="2">
        <v>43704</v>
      </c>
      <c r="Q866" s="1">
        <v>21</v>
      </c>
      <c r="R866" t="s">
        <v>2923</v>
      </c>
      <c r="S866">
        <v>1112153146</v>
      </c>
    </row>
    <row r="867" spans="1:19" x14ac:dyDescent="0.2">
      <c r="A867" t="str">
        <f t="shared" si="133"/>
        <v>Adult Fiction</v>
      </c>
      <c r="B867" t="str">
        <f>"NEW F THOMA"</f>
        <v>NEW F THOMA</v>
      </c>
      <c r="C867" t="str">
        <f>"The art of theft"</f>
        <v>The art of theft</v>
      </c>
      <c r="D867">
        <v>358491</v>
      </c>
      <c r="E867" t="str">
        <f>"Thomas, Sherry"</f>
        <v>Thomas, Sherry</v>
      </c>
      <c r="F867" t="str">
        <f>"Lady Sherlock series (4)"</f>
        <v>Lady Sherlock series (4)</v>
      </c>
      <c r="G867" t="str">
        <f>"294 p."</f>
        <v>294 p.</v>
      </c>
      <c r="H867" s="1">
        <v>19</v>
      </c>
      <c r="I867">
        <v>2019</v>
      </c>
      <c r="J867" t="str">
        <f t="shared" si="130"/>
        <v>2: Fiction</v>
      </c>
      <c r="L867" t="s">
        <v>2395</v>
      </c>
      <c r="M867" t="s">
        <v>28</v>
      </c>
      <c r="N867" t="s">
        <v>2396</v>
      </c>
      <c r="O867">
        <v>2</v>
      </c>
      <c r="P867" s="2">
        <v>43753</v>
      </c>
      <c r="Q867" s="1">
        <v>21</v>
      </c>
      <c r="R867" t="s">
        <v>2924</v>
      </c>
      <c r="S867">
        <v>1083225177</v>
      </c>
    </row>
    <row r="868" spans="1:19" x14ac:dyDescent="0.2">
      <c r="A868" t="str">
        <f t="shared" si="133"/>
        <v>Adult Fiction</v>
      </c>
      <c r="B868" t="str">
        <f>"NEW F THOMA"</f>
        <v>NEW F THOMA</v>
      </c>
      <c r="C868" t="str">
        <f>"The art of theft"</f>
        <v>The art of theft</v>
      </c>
      <c r="D868">
        <v>358492</v>
      </c>
      <c r="E868" t="str">
        <f>"Thomas, Sherry"</f>
        <v>Thomas, Sherry</v>
      </c>
      <c r="F868" t="str">
        <f>"Lady Sherlock series (4)"</f>
        <v>Lady Sherlock series (4)</v>
      </c>
      <c r="G868" t="str">
        <f>"294 p."</f>
        <v>294 p.</v>
      </c>
      <c r="H868" s="1">
        <v>19</v>
      </c>
      <c r="I868">
        <v>2019</v>
      </c>
      <c r="J868" t="str">
        <f t="shared" si="130"/>
        <v>2: Fiction</v>
      </c>
      <c r="L868" t="s">
        <v>2403</v>
      </c>
      <c r="M868" t="s">
        <v>28</v>
      </c>
      <c r="N868" t="s">
        <v>2404</v>
      </c>
      <c r="O868">
        <v>2</v>
      </c>
      <c r="P868" s="2">
        <v>43753</v>
      </c>
      <c r="Q868" s="1">
        <v>21</v>
      </c>
      <c r="R868" t="s">
        <v>2924</v>
      </c>
      <c r="S868">
        <v>1083225177</v>
      </c>
    </row>
    <row r="869" spans="1:19" x14ac:dyDescent="0.2">
      <c r="A869" t="str">
        <f t="shared" si="133"/>
        <v>Adult Fiction</v>
      </c>
      <c r="B869" t="str">
        <f>"NEW F THOMA"</f>
        <v>NEW F THOMA</v>
      </c>
      <c r="C869" t="str">
        <f>"Lethal pursuit"</f>
        <v>Lethal pursuit</v>
      </c>
      <c r="D869">
        <v>359199</v>
      </c>
      <c r="E869" t="str">
        <f>"Thomas, William H.,"</f>
        <v>Thomas, William H.,</v>
      </c>
      <c r="G869" t="str">
        <f>"308 p., 25 cm"</f>
        <v>308 p., 25 cm</v>
      </c>
      <c r="H869" s="1">
        <v>19</v>
      </c>
      <c r="I869">
        <v>2019</v>
      </c>
      <c r="J869" t="str">
        <f t="shared" si="130"/>
        <v>2: Fiction</v>
      </c>
      <c r="L869" t="s">
        <v>2403</v>
      </c>
      <c r="M869" t="s">
        <v>28</v>
      </c>
      <c r="N869" t="s">
        <v>2404</v>
      </c>
      <c r="O869">
        <v>6</v>
      </c>
      <c r="P869" s="2">
        <v>43782</v>
      </c>
      <c r="Q869" s="1">
        <v>33</v>
      </c>
      <c r="R869" t="s">
        <v>2925</v>
      </c>
      <c r="S869">
        <v>1107847516</v>
      </c>
    </row>
    <row r="870" spans="1:19" x14ac:dyDescent="0.2">
      <c r="A870" t="str">
        <f t="shared" si="133"/>
        <v>Adult Fiction</v>
      </c>
      <c r="B870" t="str">
        <f>"NEW F THOMP"</f>
        <v>NEW F THOMP</v>
      </c>
      <c r="C870" t="str">
        <f>"The Rosewater redemption"</f>
        <v>The Rosewater redemption</v>
      </c>
      <c r="D870">
        <v>358344</v>
      </c>
      <c r="E870" t="str">
        <f>"Thompson, Tade"</f>
        <v>Thompson, Tade</v>
      </c>
      <c r="G870" t="str">
        <f>"373 p."</f>
        <v>373 p.</v>
      </c>
      <c r="H870" s="1">
        <v>19</v>
      </c>
      <c r="I870">
        <v>2019</v>
      </c>
      <c r="J870" t="str">
        <f t="shared" si="130"/>
        <v>2: Fiction</v>
      </c>
      <c r="L870" t="s">
        <v>2403</v>
      </c>
      <c r="M870" t="s">
        <v>28</v>
      </c>
      <c r="N870" t="s">
        <v>2396</v>
      </c>
      <c r="O870">
        <v>0</v>
      </c>
      <c r="P870" s="2">
        <v>43749</v>
      </c>
      <c r="Q870" s="1">
        <v>22</v>
      </c>
      <c r="R870" t="s">
        <v>2926</v>
      </c>
      <c r="S870">
        <v>1121593595</v>
      </c>
    </row>
    <row r="871" spans="1:19" x14ac:dyDescent="0.2">
      <c r="A871" t="str">
        <f t="shared" si="133"/>
        <v>Adult Fiction</v>
      </c>
      <c r="B871" t="str">
        <f>"NEW F TOBEY"</f>
        <v>NEW F TOBEY</v>
      </c>
      <c r="C871" t="str">
        <f>"The God Game"</f>
        <v>The God Game</v>
      </c>
      <c r="D871">
        <v>360436</v>
      </c>
      <c r="E871" t="str">
        <f>"Tobey, Danny."</f>
        <v>Tobey, Danny.</v>
      </c>
      <c r="G871" t="str">
        <f>"452 pages, 25 cm"</f>
        <v>452 pages, 25 cm</v>
      </c>
      <c r="H871" s="1">
        <v>20</v>
      </c>
      <c r="I871">
        <v>2020</v>
      </c>
      <c r="J871" t="str">
        <f t="shared" si="130"/>
        <v>2: Fiction</v>
      </c>
      <c r="L871" t="s">
        <v>2395</v>
      </c>
      <c r="M871" t="s">
        <v>28</v>
      </c>
      <c r="N871" t="str">
        <f>"Reserve Cart"</f>
        <v>Reserve Cart</v>
      </c>
      <c r="O871">
        <v>0</v>
      </c>
      <c r="P871" s="2">
        <v>43851</v>
      </c>
      <c r="Q871" s="1">
        <v>32</v>
      </c>
      <c r="R871" t="s">
        <v>2927</v>
      </c>
      <c r="S871">
        <v>1097576136</v>
      </c>
    </row>
    <row r="872" spans="1:19" x14ac:dyDescent="0.2">
      <c r="A872" t="str">
        <f t="shared" si="133"/>
        <v>Adult Fiction</v>
      </c>
      <c r="B872" t="str">
        <f>"NEW F TOKAR"</f>
        <v>NEW F TOKAR</v>
      </c>
      <c r="C872" t="str">
        <f>"Drive your plow over the bones of the dead"</f>
        <v>Drive your plow over the bones of the dead</v>
      </c>
      <c r="D872">
        <v>357101</v>
      </c>
      <c r="E872" t="str">
        <f>"Tokarczuk, Olga"</f>
        <v>Tokarczuk, Olga</v>
      </c>
      <c r="G872" t="str">
        <f>"274 pages, 22 cm"</f>
        <v>274 pages, 22 cm</v>
      </c>
      <c r="H872" s="1">
        <v>19</v>
      </c>
      <c r="I872">
        <v>2019</v>
      </c>
      <c r="J872" t="str">
        <f t="shared" si="130"/>
        <v>2: Fiction</v>
      </c>
      <c r="L872" t="s">
        <v>2403</v>
      </c>
      <c r="M872" t="s">
        <v>28</v>
      </c>
      <c r="N872" t="s">
        <v>2404</v>
      </c>
      <c r="O872">
        <v>6</v>
      </c>
      <c r="P872" s="2">
        <v>43704</v>
      </c>
      <c r="Q872" s="1">
        <v>32</v>
      </c>
      <c r="R872" t="s">
        <v>2928</v>
      </c>
      <c r="S872">
        <v>1051776298</v>
      </c>
    </row>
    <row r="873" spans="1:19" x14ac:dyDescent="0.2">
      <c r="A873" t="str">
        <f t="shared" si="133"/>
        <v>Adult Fiction</v>
      </c>
      <c r="B873" t="str">
        <f>"NEW F TRABU"</f>
        <v>NEW F TRABU</v>
      </c>
      <c r="C873" t="str">
        <f>"The remainder"</f>
        <v>The remainder</v>
      </c>
      <c r="D873">
        <v>357530</v>
      </c>
      <c r="E873" t="str">
        <f>"Trabucco Zer�n, Alia"</f>
        <v>Trabucco Zer�n, Alia</v>
      </c>
      <c r="G873" t="str">
        <f>"x, 202 p., 20 cm"</f>
        <v>x, 202 p., 20 cm</v>
      </c>
      <c r="H873" s="1">
        <v>19</v>
      </c>
      <c r="I873">
        <v>2019</v>
      </c>
      <c r="J873" t="str">
        <f t="shared" si="130"/>
        <v>2: Fiction</v>
      </c>
      <c r="L873" t="s">
        <v>2403</v>
      </c>
      <c r="M873" t="s">
        <v>28</v>
      </c>
      <c r="N873" t="s">
        <v>2404</v>
      </c>
      <c r="O873">
        <v>4</v>
      </c>
      <c r="P873" s="2">
        <v>43719</v>
      </c>
      <c r="Q873" s="1">
        <v>22</v>
      </c>
      <c r="R873" t="s">
        <v>2929</v>
      </c>
      <c r="S873">
        <v>1056780897</v>
      </c>
    </row>
    <row r="874" spans="1:19" x14ac:dyDescent="0.2">
      <c r="A874" t="str">
        <f t="shared" si="133"/>
        <v>Adult Fiction</v>
      </c>
      <c r="B874" t="str">
        <f>"NEW F TRACY"</f>
        <v>NEW F TRACY</v>
      </c>
      <c r="C874" t="str">
        <f>"Ice cold heart: a Monkeewrench novel"</f>
        <v>Ice cold heart: a Monkeewrench novel</v>
      </c>
      <c r="D874">
        <v>357551</v>
      </c>
      <c r="E874" t="str">
        <f>"Tracy, P. J."</f>
        <v>Tracy, P. J.</v>
      </c>
      <c r="F874" t="str">
        <f>"Monkeewrench Mystery series (10)"</f>
        <v>Monkeewrench Mystery series (10)</v>
      </c>
      <c r="H874" s="1">
        <v>19</v>
      </c>
      <c r="I874">
        <v>2019</v>
      </c>
      <c r="J874" t="str">
        <f t="shared" si="130"/>
        <v>2: Fiction</v>
      </c>
      <c r="L874" t="s">
        <v>2403</v>
      </c>
      <c r="M874" t="s">
        <v>28</v>
      </c>
      <c r="N874" t="s">
        <v>2396</v>
      </c>
      <c r="O874">
        <v>7</v>
      </c>
      <c r="P874" s="2">
        <v>43719</v>
      </c>
      <c r="Q874" s="1">
        <v>32</v>
      </c>
      <c r="R874" t="s">
        <v>2930</v>
      </c>
    </row>
    <row r="875" spans="1:19" x14ac:dyDescent="0.2">
      <c r="A875" t="str">
        <f t="shared" si="133"/>
        <v>Adult Fiction</v>
      </c>
      <c r="B875" t="str">
        <f>"NEW F TURST"</f>
        <v>NEW F TURST</v>
      </c>
      <c r="C875" t="str">
        <f>"Hunting game"</f>
        <v>Hunting game</v>
      </c>
      <c r="D875">
        <v>408914</v>
      </c>
      <c r="E875" t="str">
        <f>"Tursten, Helene,"</f>
        <v>Tursten, Helene,</v>
      </c>
      <c r="G875" t="str">
        <f>"280 pages, 22 cm"</f>
        <v>280 pages, 22 cm</v>
      </c>
      <c r="H875" s="1">
        <v>20</v>
      </c>
      <c r="I875">
        <v>2019</v>
      </c>
      <c r="J875" t="str">
        <f t="shared" si="130"/>
        <v>2: Fiction</v>
      </c>
      <c r="L875" t="s">
        <v>2395</v>
      </c>
      <c r="M875" t="s">
        <v>28</v>
      </c>
      <c r="N875" t="s">
        <v>2495</v>
      </c>
      <c r="O875">
        <v>0</v>
      </c>
      <c r="P875" s="2">
        <v>43859</v>
      </c>
      <c r="Q875" s="1">
        <v>32</v>
      </c>
      <c r="R875" t="s">
        <v>2931</v>
      </c>
      <c r="S875">
        <v>1031431680</v>
      </c>
    </row>
    <row r="876" spans="1:19" x14ac:dyDescent="0.2">
      <c r="A876" t="str">
        <f t="shared" si="133"/>
        <v>Adult Fiction</v>
      </c>
      <c r="B876" t="str">
        <f>"NEW F TURST"</f>
        <v>NEW F TURST</v>
      </c>
      <c r="C876" t="str">
        <f>"Winter grave"</f>
        <v>Winter grave</v>
      </c>
      <c r="D876">
        <v>360642</v>
      </c>
      <c r="E876" t="str">
        <f>"Tursten, Helene,"</f>
        <v>Tursten, Helene,</v>
      </c>
      <c r="G876" t="str">
        <f>"320 pages, 22 cm"</f>
        <v>320 pages, 22 cm</v>
      </c>
      <c r="H876" s="1">
        <v>20</v>
      </c>
      <c r="I876">
        <v>2019</v>
      </c>
      <c r="J876" t="str">
        <f t="shared" si="130"/>
        <v>2: Fiction</v>
      </c>
      <c r="L876" t="s">
        <v>2395</v>
      </c>
      <c r="M876" t="s">
        <v>28</v>
      </c>
      <c r="N876" t="s">
        <v>2495</v>
      </c>
      <c r="O876">
        <v>0</v>
      </c>
      <c r="P876" s="2">
        <v>43859</v>
      </c>
      <c r="Q876" s="1">
        <v>32</v>
      </c>
      <c r="R876" t="s">
        <v>2932</v>
      </c>
      <c r="S876">
        <v>1089285851</v>
      </c>
    </row>
    <row r="877" spans="1:19" x14ac:dyDescent="0.2">
      <c r="A877" t="str">
        <f t="shared" si="133"/>
        <v>Adult Fiction</v>
      </c>
      <c r="B877" t="str">
        <f>"NEW F UNGER"</f>
        <v>NEW F UNGER</v>
      </c>
      <c r="C877" t="str">
        <f>"The stranger inside"</f>
        <v>The stranger inside</v>
      </c>
      <c r="D877">
        <v>357637</v>
      </c>
      <c r="E877" t="str">
        <f>"Unger, Lisa"</f>
        <v>Unger, Lisa</v>
      </c>
      <c r="G877" t="str">
        <f>"374 pages, 24 cm"</f>
        <v>374 pages, 24 cm</v>
      </c>
      <c r="H877" s="1">
        <v>19</v>
      </c>
      <c r="I877">
        <v>2019</v>
      </c>
      <c r="J877" t="str">
        <f t="shared" si="130"/>
        <v>2: Fiction</v>
      </c>
      <c r="L877" t="s">
        <v>2403</v>
      </c>
      <c r="M877" t="s">
        <v>28</v>
      </c>
      <c r="N877" t="s">
        <v>2404</v>
      </c>
      <c r="O877">
        <v>7</v>
      </c>
      <c r="P877" s="2">
        <v>43725</v>
      </c>
      <c r="Q877" s="1">
        <v>32</v>
      </c>
      <c r="R877" t="s">
        <v>2933</v>
      </c>
      <c r="S877">
        <v>1101659519</v>
      </c>
    </row>
    <row r="878" spans="1:19" x14ac:dyDescent="0.2">
      <c r="A878" t="str">
        <f t="shared" si="133"/>
        <v>Adult Fiction</v>
      </c>
      <c r="B878" t="str">
        <f>"NEW F UNGER"</f>
        <v>NEW F UNGER</v>
      </c>
      <c r="C878" t="str">
        <f>"The stranger inside"</f>
        <v>The stranger inside</v>
      </c>
      <c r="D878">
        <v>357638</v>
      </c>
      <c r="E878" t="str">
        <f>"Unger, Lisa"</f>
        <v>Unger, Lisa</v>
      </c>
      <c r="G878" t="str">
        <f>"374 pages, 24 cm"</f>
        <v>374 pages, 24 cm</v>
      </c>
      <c r="H878" s="1">
        <v>19</v>
      </c>
      <c r="I878">
        <v>2019</v>
      </c>
      <c r="J878" t="str">
        <f t="shared" si="130"/>
        <v>2: Fiction</v>
      </c>
      <c r="L878" t="s">
        <v>2403</v>
      </c>
      <c r="M878" t="s">
        <v>28</v>
      </c>
      <c r="N878" t="s">
        <v>2404</v>
      </c>
      <c r="O878">
        <v>4</v>
      </c>
      <c r="P878" s="2">
        <v>43725</v>
      </c>
      <c r="Q878" s="1">
        <v>32</v>
      </c>
      <c r="R878" t="s">
        <v>2933</v>
      </c>
      <c r="S878">
        <v>1101659519</v>
      </c>
    </row>
    <row r="879" spans="1:19" x14ac:dyDescent="0.2">
      <c r="A879" t="str">
        <f t="shared" si="133"/>
        <v>Adult Fiction</v>
      </c>
      <c r="B879" t="str">
        <f>"NEW F VACHS"</f>
        <v>NEW F VACHS</v>
      </c>
      <c r="C879" t="s">
        <v>2934</v>
      </c>
      <c r="D879">
        <v>359245</v>
      </c>
      <c r="E879" t="str">
        <f>"Vachss, Andrew H."</f>
        <v>Vachss, Andrew H.</v>
      </c>
      <c r="G879" t="str">
        <f>"255 p."</f>
        <v>255 p.</v>
      </c>
      <c r="H879" s="1">
        <v>19</v>
      </c>
      <c r="I879">
        <v>2019</v>
      </c>
      <c r="J879" t="str">
        <f t="shared" si="130"/>
        <v>2: Fiction</v>
      </c>
      <c r="L879" t="s">
        <v>2403</v>
      </c>
      <c r="M879" t="s">
        <v>28</v>
      </c>
      <c r="N879" t="s">
        <v>2404</v>
      </c>
      <c r="O879">
        <v>4</v>
      </c>
      <c r="P879" s="2">
        <v>43781</v>
      </c>
      <c r="Q879" s="1">
        <v>35</v>
      </c>
      <c r="R879" t="s">
        <v>2935</v>
      </c>
      <c r="S879">
        <v>1126770791</v>
      </c>
    </row>
    <row r="880" spans="1:19" x14ac:dyDescent="0.2">
      <c r="A880" t="str">
        <f t="shared" si="133"/>
        <v>Adult Fiction</v>
      </c>
      <c r="B880" t="str">
        <f>"NEW F VALDE"</f>
        <v>NEW F VALDE</v>
      </c>
      <c r="C880" t="str">
        <f>"Chilling effect"</f>
        <v>Chilling effect</v>
      </c>
      <c r="D880">
        <v>357835</v>
      </c>
      <c r="E880" t="str">
        <f>"Valdes, Valerie."</f>
        <v>Valdes, Valerie.</v>
      </c>
      <c r="G880" t="str">
        <f>"434 p."</f>
        <v>434 p.</v>
      </c>
      <c r="H880" s="1">
        <v>19</v>
      </c>
      <c r="I880">
        <v>2019</v>
      </c>
      <c r="J880" t="str">
        <f t="shared" si="130"/>
        <v>2: Fiction</v>
      </c>
      <c r="L880" t="s">
        <v>2403</v>
      </c>
      <c r="M880" t="s">
        <v>28</v>
      </c>
      <c r="N880" t="s">
        <v>2404</v>
      </c>
      <c r="O880">
        <v>2</v>
      </c>
      <c r="P880" s="2">
        <v>43731</v>
      </c>
      <c r="Q880" s="1">
        <v>22</v>
      </c>
      <c r="R880" t="s">
        <v>2936</v>
      </c>
      <c r="S880">
        <v>1101640638</v>
      </c>
    </row>
    <row r="881" spans="1:19" x14ac:dyDescent="0.2">
      <c r="A881" t="str">
        <f t="shared" si="133"/>
        <v>Adult Fiction</v>
      </c>
      <c r="B881" t="str">
        <f>"NEW F VALPY"</f>
        <v>NEW F VALPY</v>
      </c>
      <c r="C881" t="str">
        <f>"The dressmaker's gift"</f>
        <v>The dressmaker's gift</v>
      </c>
      <c r="D881">
        <v>359550</v>
      </c>
      <c r="E881" t="str">
        <f>"Valpy, Fiona"</f>
        <v>Valpy, Fiona</v>
      </c>
      <c r="G881" t="str">
        <f>"276 pages, 21 cm"</f>
        <v>276 pages, 21 cm</v>
      </c>
      <c r="H881" s="1">
        <v>19</v>
      </c>
      <c r="I881">
        <v>2019</v>
      </c>
      <c r="J881" t="str">
        <f t="shared" si="130"/>
        <v>2: Fiction</v>
      </c>
      <c r="L881" t="s">
        <v>2403</v>
      </c>
      <c r="M881" t="s">
        <v>28</v>
      </c>
      <c r="N881" t="s">
        <v>2404</v>
      </c>
      <c r="O881">
        <v>3</v>
      </c>
      <c r="P881" s="2">
        <v>43802</v>
      </c>
      <c r="Q881" s="1">
        <v>20</v>
      </c>
      <c r="R881" t="s">
        <v>2937</v>
      </c>
      <c r="S881">
        <v>1105889947</v>
      </c>
    </row>
    <row r="882" spans="1:19" x14ac:dyDescent="0.2">
      <c r="A882" t="str">
        <f t="shared" si="133"/>
        <v>Adult Fiction</v>
      </c>
      <c r="B882" t="str">
        <f>"NEW F VARGA"</f>
        <v>NEW F VARGA</v>
      </c>
      <c r="C882" t="str">
        <f>"This poison will remain"</f>
        <v>This poison will remain</v>
      </c>
      <c r="D882">
        <v>356955</v>
      </c>
      <c r="E882" t="str">
        <f>"Vargas, Fred."</f>
        <v>Vargas, Fred.</v>
      </c>
      <c r="H882" s="1">
        <v>19</v>
      </c>
      <c r="I882">
        <v>2019</v>
      </c>
      <c r="J882" t="str">
        <f t="shared" si="130"/>
        <v>2: Fiction</v>
      </c>
      <c r="L882" t="s">
        <v>2403</v>
      </c>
      <c r="M882" t="s">
        <v>28</v>
      </c>
      <c r="N882" t="s">
        <v>2404</v>
      </c>
      <c r="O882">
        <v>8</v>
      </c>
      <c r="P882" s="2">
        <v>43696</v>
      </c>
      <c r="Q882" s="1">
        <v>21</v>
      </c>
      <c r="R882" t="s">
        <v>2938</v>
      </c>
      <c r="S882">
        <v>1113907922</v>
      </c>
    </row>
    <row r="883" spans="1:19" x14ac:dyDescent="0.2">
      <c r="A883" t="str">
        <f t="shared" si="133"/>
        <v>Adult Fiction</v>
      </c>
      <c r="B883" t="str">
        <f>"NEW F VASQU"</f>
        <v>NEW F VASQU</v>
      </c>
      <c r="C883" t="str">
        <f>"The shape of the ruins"</f>
        <v>The shape of the ruins</v>
      </c>
      <c r="D883">
        <v>357832</v>
      </c>
      <c r="E883" t="str">
        <f>"V�squez, Juan Gabriel,"</f>
        <v>V�squez, Juan Gabriel,</v>
      </c>
      <c r="G883" t="str">
        <f>"544 p."</f>
        <v>544 p.</v>
      </c>
      <c r="H883" s="1">
        <v>19</v>
      </c>
      <c r="I883">
        <v>2019</v>
      </c>
      <c r="J883" t="str">
        <f t="shared" si="130"/>
        <v>2: Fiction</v>
      </c>
      <c r="L883" t="s">
        <v>2403</v>
      </c>
      <c r="M883" t="s">
        <v>28</v>
      </c>
      <c r="N883" t="s">
        <v>2404</v>
      </c>
      <c r="O883">
        <v>5</v>
      </c>
      <c r="P883" s="2">
        <v>43731</v>
      </c>
      <c r="Q883" s="1">
        <v>22</v>
      </c>
      <c r="R883" t="s">
        <v>2939</v>
      </c>
    </row>
    <row r="884" spans="1:19" x14ac:dyDescent="0.2">
      <c r="A884" t="str">
        <f t="shared" si="133"/>
        <v>Adult Fiction</v>
      </c>
      <c r="B884" t="str">
        <f>"NEW F VILHA"</f>
        <v>NEW F VILHA</v>
      </c>
      <c r="C884" t="str">
        <f>"The mask collectors: a novel"</f>
        <v>The mask collectors: a novel</v>
      </c>
      <c r="D884">
        <v>355773</v>
      </c>
      <c r="E884" t="str">
        <f>"Vilhauer, Ruvanee Pietersz,"</f>
        <v>Vilhauer, Ruvanee Pietersz,</v>
      </c>
      <c r="G884" t="str">
        <f>"336 pages, 22 cm"</f>
        <v>336 pages, 22 cm</v>
      </c>
      <c r="H884" s="1">
        <v>19</v>
      </c>
      <c r="I884">
        <v>2019</v>
      </c>
      <c r="J884" t="str">
        <f t="shared" si="130"/>
        <v>2: Fiction</v>
      </c>
      <c r="L884" t="s">
        <v>2403</v>
      </c>
      <c r="M884" t="s">
        <v>28</v>
      </c>
      <c r="N884" t="s">
        <v>2404</v>
      </c>
      <c r="O884">
        <v>3</v>
      </c>
      <c r="P884" s="2">
        <v>43640</v>
      </c>
      <c r="Q884" s="1">
        <v>20</v>
      </c>
      <c r="R884" t="s">
        <v>2940</v>
      </c>
      <c r="S884">
        <v>1050611675</v>
      </c>
    </row>
    <row r="885" spans="1:19" x14ac:dyDescent="0.2">
      <c r="A885" t="str">
        <f t="shared" si="133"/>
        <v>Adult Fiction</v>
      </c>
      <c r="B885" t="str">
        <f>"NEW F VUILL"</f>
        <v>NEW F VUILL</v>
      </c>
      <c r="C885" t="str">
        <f>"The order of the day"</f>
        <v>The order of the day</v>
      </c>
      <c r="D885">
        <v>356403</v>
      </c>
      <c r="E885" t="str">
        <f>"Vuillard, �ric"</f>
        <v>Vuillard, �ric</v>
      </c>
      <c r="G885" t="str">
        <f>"132 pages, 20 cm"</f>
        <v>132 pages, 20 cm</v>
      </c>
      <c r="H885" s="1">
        <v>19</v>
      </c>
      <c r="I885">
        <v>2018</v>
      </c>
      <c r="J885" t="str">
        <f t="shared" si="130"/>
        <v>2: Fiction</v>
      </c>
      <c r="L885" t="s">
        <v>2403</v>
      </c>
      <c r="M885" t="s">
        <v>28</v>
      </c>
      <c r="N885" t="s">
        <v>2404</v>
      </c>
      <c r="O885">
        <v>15</v>
      </c>
      <c r="P885" s="2">
        <v>43671</v>
      </c>
      <c r="Q885" s="1">
        <v>27</v>
      </c>
      <c r="R885" t="s">
        <v>2941</v>
      </c>
      <c r="S885">
        <v>1020312789</v>
      </c>
    </row>
    <row r="886" spans="1:19" x14ac:dyDescent="0.2">
      <c r="A886" t="str">
        <f t="shared" si="133"/>
        <v>Adult Fiction</v>
      </c>
      <c r="B886" t="str">
        <f>"NEW F VUONG"</f>
        <v>NEW F VUONG</v>
      </c>
      <c r="C886" t="str">
        <f>"On earth we're briefly gorgeous: a novel"</f>
        <v>On earth we're briefly gorgeous: a novel</v>
      </c>
      <c r="D886">
        <v>356670</v>
      </c>
      <c r="E886" t="str">
        <f>"Vuong, Ocean"</f>
        <v>Vuong, Ocean</v>
      </c>
      <c r="G886" t="str">
        <f>"246 p., 22 cm"</f>
        <v>246 p., 22 cm</v>
      </c>
      <c r="H886" s="1">
        <v>19</v>
      </c>
      <c r="I886">
        <v>2019</v>
      </c>
      <c r="J886" t="str">
        <f t="shared" si="130"/>
        <v>2: Fiction</v>
      </c>
      <c r="L886" t="s">
        <v>2395</v>
      </c>
      <c r="M886" t="s">
        <v>28</v>
      </c>
      <c r="N886" t="s">
        <v>2404</v>
      </c>
      <c r="O886">
        <v>9</v>
      </c>
      <c r="P886" s="2">
        <v>43689</v>
      </c>
      <c r="Q886" s="1">
        <v>31</v>
      </c>
      <c r="R886" t="s">
        <v>2942</v>
      </c>
      <c r="S886">
        <v>1052450975</v>
      </c>
    </row>
    <row r="887" spans="1:19" x14ac:dyDescent="0.2">
      <c r="A887" t="str">
        <f t="shared" si="133"/>
        <v>Adult Fiction</v>
      </c>
      <c r="B887" t="str">
        <f>"NEW F VUONG"</f>
        <v>NEW F VUONG</v>
      </c>
      <c r="C887" t="str">
        <f>"On earth we're briefly gorgeous: a novel"</f>
        <v>On earth we're briefly gorgeous: a novel</v>
      </c>
      <c r="D887">
        <v>356671</v>
      </c>
      <c r="E887" t="str">
        <f>"Vuong, Ocean"</f>
        <v>Vuong, Ocean</v>
      </c>
      <c r="G887" t="str">
        <f>"246 p., 22 cm"</f>
        <v>246 p., 22 cm</v>
      </c>
      <c r="H887" s="1">
        <v>19</v>
      </c>
      <c r="I887">
        <v>2019</v>
      </c>
      <c r="J887" t="str">
        <f t="shared" si="130"/>
        <v>2: Fiction</v>
      </c>
      <c r="L887" t="s">
        <v>2395</v>
      </c>
      <c r="M887" t="s">
        <v>28</v>
      </c>
      <c r="N887" t="s">
        <v>2404</v>
      </c>
      <c r="O887">
        <v>6</v>
      </c>
      <c r="P887" s="2">
        <v>43689</v>
      </c>
      <c r="Q887" s="1">
        <v>31</v>
      </c>
      <c r="R887" t="s">
        <v>2942</v>
      </c>
      <c r="S887">
        <v>1052450975</v>
      </c>
    </row>
    <row r="888" spans="1:19" x14ac:dyDescent="0.2">
      <c r="A888" t="str">
        <f t="shared" si="133"/>
        <v>Adult Fiction</v>
      </c>
      <c r="B888" t="str">
        <f>"NEW F WAGGO"</f>
        <v>NEW F WAGGO</v>
      </c>
      <c r="C888" t="str">
        <f>"Unnatural magic"</f>
        <v>Unnatural magic</v>
      </c>
      <c r="D888">
        <v>359224</v>
      </c>
      <c r="E888" t="str">
        <f>"Waggoner, C. M."</f>
        <v>Waggoner, C. M.</v>
      </c>
      <c r="G888" t="str">
        <f>"390 pages, 21 cm"</f>
        <v>390 pages, 21 cm</v>
      </c>
      <c r="H888" s="1">
        <v>19</v>
      </c>
      <c r="I888">
        <v>2019</v>
      </c>
      <c r="J888" t="str">
        <f t="shared" si="130"/>
        <v>2: Fiction</v>
      </c>
      <c r="L888" t="s">
        <v>2403</v>
      </c>
      <c r="M888" t="s">
        <v>28</v>
      </c>
      <c r="N888" t="s">
        <v>2396</v>
      </c>
      <c r="O888">
        <v>4</v>
      </c>
      <c r="P888" s="2">
        <v>43782</v>
      </c>
      <c r="Q888" s="1">
        <v>21</v>
      </c>
      <c r="R888" t="s">
        <v>2943</v>
      </c>
      <c r="S888">
        <v>1082447846</v>
      </c>
    </row>
    <row r="889" spans="1:19" x14ac:dyDescent="0.2">
      <c r="A889" t="str">
        <f t="shared" si="133"/>
        <v>Adult Fiction</v>
      </c>
      <c r="B889" t="str">
        <f>"NEW F WALDM"</f>
        <v>NEW F WALDM</v>
      </c>
      <c r="C889" t="str">
        <f>"A door in the earth"</f>
        <v>A door in the earth</v>
      </c>
      <c r="D889">
        <v>357244</v>
      </c>
      <c r="E889" t="str">
        <f>"Waldman, Amy,"</f>
        <v>Waldman, Amy,</v>
      </c>
      <c r="G889" t="str">
        <f>"388 pages, 25 cm"</f>
        <v>388 pages, 25 cm</v>
      </c>
      <c r="H889" s="1">
        <v>19</v>
      </c>
      <c r="I889">
        <v>2019</v>
      </c>
      <c r="J889" t="str">
        <f t="shared" si="130"/>
        <v>2: Fiction</v>
      </c>
      <c r="L889" t="s">
        <v>2395</v>
      </c>
      <c r="M889" t="s">
        <v>28</v>
      </c>
      <c r="N889" t="s">
        <v>2404</v>
      </c>
      <c r="O889">
        <v>6</v>
      </c>
      <c r="P889" s="2">
        <v>43711</v>
      </c>
      <c r="Q889" s="1">
        <v>33</v>
      </c>
      <c r="R889" t="s">
        <v>2944</v>
      </c>
      <c r="S889">
        <v>1112064597</v>
      </c>
    </row>
    <row r="890" spans="1:19" x14ac:dyDescent="0.2">
      <c r="A890" t="str">
        <f t="shared" si="133"/>
        <v>Adult Fiction</v>
      </c>
      <c r="B890" t="str">
        <f>"NEW F WALL"</f>
        <v>NEW F WALL</v>
      </c>
      <c r="C890" t="str">
        <f>"The dearly beloved: a novel"</f>
        <v>The dearly beloved: a novel</v>
      </c>
      <c r="D890">
        <v>357692</v>
      </c>
      <c r="E890" t="str">
        <f>"Wall, Cara"</f>
        <v>Wall, Cara</v>
      </c>
      <c r="G890" t="str">
        <f>"342 pages, 22 cm"</f>
        <v>342 pages, 22 cm</v>
      </c>
      <c r="H890" s="1">
        <v>19</v>
      </c>
      <c r="I890">
        <v>2019</v>
      </c>
      <c r="J890" t="str">
        <f t="shared" si="130"/>
        <v>2: Fiction</v>
      </c>
      <c r="L890" t="s">
        <v>2395</v>
      </c>
      <c r="M890" t="s">
        <v>28</v>
      </c>
      <c r="N890" t="s">
        <v>2404</v>
      </c>
      <c r="O890">
        <v>7</v>
      </c>
      <c r="P890" s="2">
        <v>43725</v>
      </c>
      <c r="Q890" s="1">
        <v>32</v>
      </c>
      <c r="R890" t="s">
        <v>2945</v>
      </c>
      <c r="S890">
        <v>1083181414</v>
      </c>
    </row>
    <row r="891" spans="1:19" x14ac:dyDescent="0.2">
      <c r="A891" t="str">
        <f t="shared" si="133"/>
        <v>Adult Fiction</v>
      </c>
      <c r="B891" t="str">
        <f>"NEW F WALL"</f>
        <v>NEW F WALL</v>
      </c>
      <c r="C891" t="str">
        <f>"The dearly beloved: a novel"</f>
        <v>The dearly beloved: a novel</v>
      </c>
      <c r="D891">
        <v>357693</v>
      </c>
      <c r="E891" t="str">
        <f>"Wall, Cara"</f>
        <v>Wall, Cara</v>
      </c>
      <c r="G891" t="str">
        <f>"342 pages, 22 cm"</f>
        <v>342 pages, 22 cm</v>
      </c>
      <c r="H891" s="1">
        <v>19</v>
      </c>
      <c r="I891">
        <v>2019</v>
      </c>
      <c r="J891" t="str">
        <f t="shared" si="130"/>
        <v>2: Fiction</v>
      </c>
      <c r="L891" t="s">
        <v>2403</v>
      </c>
      <c r="M891" t="s">
        <v>28</v>
      </c>
      <c r="N891" t="s">
        <v>2396</v>
      </c>
      <c r="O891">
        <v>4</v>
      </c>
      <c r="P891" s="2">
        <v>43725</v>
      </c>
      <c r="Q891" s="1">
        <v>32</v>
      </c>
      <c r="R891" t="s">
        <v>2945</v>
      </c>
      <c r="S891">
        <v>1083181414</v>
      </c>
    </row>
    <row r="892" spans="1:19" x14ac:dyDescent="0.2">
      <c r="A892" t="str">
        <f t="shared" si="133"/>
        <v>Adult Fiction</v>
      </c>
      <c r="B892" t="str">
        <f>"NEW F WALL"</f>
        <v>NEW F WALL</v>
      </c>
      <c r="C892" t="str">
        <f>"The dearly beloved: a novel"</f>
        <v>The dearly beloved: a novel</v>
      </c>
      <c r="D892">
        <v>357694</v>
      </c>
      <c r="E892" t="str">
        <f>"Wall, Cara"</f>
        <v>Wall, Cara</v>
      </c>
      <c r="G892" t="str">
        <f>"342 pages, 22 cm"</f>
        <v>342 pages, 22 cm</v>
      </c>
      <c r="H892" s="1">
        <v>19</v>
      </c>
      <c r="I892">
        <v>2019</v>
      </c>
      <c r="J892" t="str">
        <f t="shared" si="130"/>
        <v>2: Fiction</v>
      </c>
      <c r="L892" t="s">
        <v>2395</v>
      </c>
      <c r="M892" t="s">
        <v>28</v>
      </c>
      <c r="N892" t="s">
        <v>2404</v>
      </c>
      <c r="O892">
        <v>5</v>
      </c>
      <c r="P892" s="2">
        <v>43725</v>
      </c>
      <c r="Q892" s="1">
        <v>32</v>
      </c>
      <c r="R892" t="s">
        <v>2945</v>
      </c>
      <c r="S892">
        <v>1083181414</v>
      </c>
    </row>
    <row r="893" spans="1:19" x14ac:dyDescent="0.2">
      <c r="A893" t="str">
        <f t="shared" si="133"/>
        <v>Adult Fiction</v>
      </c>
      <c r="B893" t="str">
        <f>"NEW F WALSH"</f>
        <v>NEW F WALSH</v>
      </c>
      <c r="C893" t="str">
        <f>"Ghosted: a novel"</f>
        <v>Ghosted: a novel</v>
      </c>
      <c r="D893">
        <v>349328</v>
      </c>
      <c r="E893" t="str">
        <f>"Walsh, Rosie"</f>
        <v>Walsh, Rosie</v>
      </c>
      <c r="G893" t="str">
        <f>"vii, 337 pages, 24 cm"</f>
        <v>vii, 337 pages, 24 cm</v>
      </c>
      <c r="H893" s="1">
        <v>18</v>
      </c>
      <c r="I893">
        <v>2018</v>
      </c>
      <c r="J893" t="str">
        <f t="shared" si="130"/>
        <v>2: Fiction</v>
      </c>
      <c r="L893" t="s">
        <v>2395</v>
      </c>
      <c r="M893" t="s">
        <v>28</v>
      </c>
      <c r="N893" t="s">
        <v>2404</v>
      </c>
      <c r="O893">
        <v>33</v>
      </c>
      <c r="P893" s="2">
        <v>43326</v>
      </c>
      <c r="Q893" s="1">
        <v>31</v>
      </c>
      <c r="R893" t="s">
        <v>2946</v>
      </c>
      <c r="S893">
        <v>1043834180</v>
      </c>
    </row>
    <row r="894" spans="1:19" x14ac:dyDescent="0.2">
      <c r="A894" t="str">
        <f t="shared" si="133"/>
        <v>Adult Fiction</v>
      </c>
      <c r="B894" t="str">
        <f>"NEW F WALTE"</f>
        <v>NEW F WALTE</v>
      </c>
      <c r="C894" t="str">
        <f>"The turn of midnight"</f>
        <v>The turn of midnight</v>
      </c>
      <c r="D894">
        <v>356998</v>
      </c>
      <c r="E894" t="str">
        <f>"Walters, Minette"</f>
        <v>Walters, Minette</v>
      </c>
      <c r="G894" t="str">
        <f>"411 pages, 24 cm, maps"</f>
        <v>411 pages, 24 cm, maps</v>
      </c>
      <c r="H894" s="1">
        <v>19</v>
      </c>
      <c r="I894">
        <v>2019</v>
      </c>
      <c r="J894" t="str">
        <f t="shared" si="130"/>
        <v>2: Fiction</v>
      </c>
      <c r="L894" t="s">
        <v>2395</v>
      </c>
      <c r="M894" t="s">
        <v>28</v>
      </c>
      <c r="N894" t="s">
        <v>2404</v>
      </c>
      <c r="O894">
        <v>5</v>
      </c>
      <c r="P894" s="2">
        <v>43696</v>
      </c>
      <c r="Q894" s="1">
        <v>33</v>
      </c>
      <c r="R894" t="s">
        <v>2947</v>
      </c>
      <c r="S894">
        <v>1101637801</v>
      </c>
    </row>
    <row r="895" spans="1:19" x14ac:dyDescent="0.2">
      <c r="A895" t="str">
        <f t="shared" si="133"/>
        <v>Adult Fiction</v>
      </c>
      <c r="B895" t="str">
        <f>"NEW F WARD"</f>
        <v>NEW F WARD</v>
      </c>
      <c r="C895" t="str">
        <f>"Blood truth"</f>
        <v>Blood truth</v>
      </c>
      <c r="D895">
        <v>357096</v>
      </c>
      <c r="E895" t="str">
        <f>"Ward, J. R."</f>
        <v>Ward, J. R.</v>
      </c>
      <c r="F895" t="str">
        <f>"Black Dagger Legacy series (4)"</f>
        <v>Black Dagger Legacy series (4)</v>
      </c>
      <c r="G895" t="str">
        <f>"xxviii, 400 pages, 24 cm"</f>
        <v>xxviii, 400 pages, 24 cm</v>
      </c>
      <c r="H895" s="1">
        <v>19</v>
      </c>
      <c r="I895">
        <v>2019</v>
      </c>
      <c r="J895" t="str">
        <f t="shared" ref="J895:J946" si="136">"2: Fiction"</f>
        <v>2: Fiction</v>
      </c>
      <c r="L895" t="s">
        <v>2395</v>
      </c>
      <c r="M895" t="s">
        <v>28</v>
      </c>
      <c r="N895" t="s">
        <v>2396</v>
      </c>
      <c r="O895">
        <v>5</v>
      </c>
      <c r="P895" s="2">
        <v>43704</v>
      </c>
      <c r="Q895" s="1">
        <v>33</v>
      </c>
      <c r="R895" t="s">
        <v>2948</v>
      </c>
      <c r="S895">
        <v>1085161503</v>
      </c>
    </row>
    <row r="896" spans="1:19" x14ac:dyDescent="0.2">
      <c r="A896" t="str">
        <f t="shared" si="133"/>
        <v>Adult Fiction</v>
      </c>
      <c r="B896" t="str">
        <f>"NEW F WARD"</f>
        <v>NEW F WARD</v>
      </c>
      <c r="C896" t="str">
        <f>"Where winter finds you: a Caldwell Christmas"</f>
        <v>Where winter finds you: a Caldwell Christmas</v>
      </c>
      <c r="D896">
        <v>359697</v>
      </c>
      <c r="E896" t="str">
        <f>"Ward, J. R."</f>
        <v>Ward, J. R.</v>
      </c>
      <c r="G896" t="str">
        <f>"xiv, 445 pages, 18 cm"</f>
        <v>xiv, 445 pages, 18 cm</v>
      </c>
      <c r="H896" s="1">
        <v>19</v>
      </c>
      <c r="I896">
        <v>2019</v>
      </c>
      <c r="J896" t="str">
        <f t="shared" si="136"/>
        <v>2: Fiction</v>
      </c>
      <c r="L896" t="s">
        <v>2395</v>
      </c>
      <c r="M896" t="s">
        <v>28</v>
      </c>
      <c r="N896" t="s">
        <v>2396</v>
      </c>
      <c r="O896">
        <v>0</v>
      </c>
      <c r="P896" s="2">
        <v>43802</v>
      </c>
      <c r="Q896" s="1">
        <v>14</v>
      </c>
      <c r="R896" t="s">
        <v>2949</v>
      </c>
      <c r="S896">
        <v>1110660158</v>
      </c>
    </row>
    <row r="897" spans="1:19" x14ac:dyDescent="0.2">
      <c r="A897" t="str">
        <f t="shared" si="133"/>
        <v>Adult Fiction</v>
      </c>
      <c r="B897" t="str">
        <f>"NEW F WARE"</f>
        <v>NEW F WARE</v>
      </c>
      <c r="C897" t="str">
        <f>"The turn of the key"</f>
        <v>The turn of the key</v>
      </c>
      <c r="D897">
        <v>356621</v>
      </c>
      <c r="E897" t="str">
        <f>"Ware, Ruth."</f>
        <v>Ware, Ruth.</v>
      </c>
      <c r="G897" t="str">
        <f>"336 pages, 24 cm"</f>
        <v>336 pages, 24 cm</v>
      </c>
      <c r="H897" s="1">
        <v>19</v>
      </c>
      <c r="I897">
        <v>2019</v>
      </c>
      <c r="J897" t="str">
        <f t="shared" si="136"/>
        <v>2: Fiction</v>
      </c>
      <c r="L897" t="s">
        <v>2395</v>
      </c>
      <c r="M897" t="s">
        <v>28</v>
      </c>
      <c r="N897" t="s">
        <v>2404</v>
      </c>
      <c r="O897">
        <v>9</v>
      </c>
      <c r="P897" s="2">
        <v>43682</v>
      </c>
      <c r="Q897" s="1">
        <v>33</v>
      </c>
      <c r="R897" t="s">
        <v>2950</v>
      </c>
      <c r="S897">
        <v>1099540340</v>
      </c>
    </row>
    <row r="898" spans="1:19" x14ac:dyDescent="0.2">
      <c r="A898" t="str">
        <f t="shared" si="133"/>
        <v>Adult Fiction</v>
      </c>
      <c r="B898" t="str">
        <f>"NEW F WARE"</f>
        <v>NEW F WARE</v>
      </c>
      <c r="C898" t="str">
        <f>"The turn of the key"</f>
        <v>The turn of the key</v>
      </c>
      <c r="D898">
        <v>357124</v>
      </c>
      <c r="E898" t="str">
        <f>"Ware, Ruth."</f>
        <v>Ware, Ruth.</v>
      </c>
      <c r="G898" t="str">
        <f>"336 pages, 24 cm"</f>
        <v>336 pages, 24 cm</v>
      </c>
      <c r="H898" s="1">
        <v>19</v>
      </c>
      <c r="I898">
        <v>2019</v>
      </c>
      <c r="J898" t="str">
        <f t="shared" si="136"/>
        <v>2: Fiction</v>
      </c>
      <c r="L898" t="s">
        <v>2403</v>
      </c>
      <c r="M898" t="s">
        <v>28</v>
      </c>
      <c r="N898" t="s">
        <v>2404</v>
      </c>
      <c r="O898">
        <v>9</v>
      </c>
      <c r="P898" s="2">
        <v>43704</v>
      </c>
      <c r="Q898" s="1">
        <v>33</v>
      </c>
      <c r="R898" t="s">
        <v>2950</v>
      </c>
      <c r="S898">
        <v>1099540340</v>
      </c>
    </row>
    <row r="899" spans="1:19" x14ac:dyDescent="0.2">
      <c r="A899" t="str">
        <f t="shared" si="133"/>
        <v>Adult Fiction</v>
      </c>
      <c r="B899" t="str">
        <f>"NEW F WARE"</f>
        <v>NEW F WARE</v>
      </c>
      <c r="C899" t="str">
        <f>"The turn of the key"</f>
        <v>The turn of the key</v>
      </c>
      <c r="D899">
        <v>357125</v>
      </c>
      <c r="E899" t="str">
        <f>"Ware, Ruth."</f>
        <v>Ware, Ruth.</v>
      </c>
      <c r="G899" t="str">
        <f>"336 pages, 24 cm"</f>
        <v>336 pages, 24 cm</v>
      </c>
      <c r="H899" s="1">
        <v>19</v>
      </c>
      <c r="I899">
        <v>2019</v>
      </c>
      <c r="J899" t="str">
        <f t="shared" si="136"/>
        <v>2: Fiction</v>
      </c>
      <c r="L899" t="s">
        <v>2395</v>
      </c>
      <c r="M899" t="s">
        <v>28</v>
      </c>
      <c r="N899" t="s">
        <v>2404</v>
      </c>
      <c r="O899">
        <v>12</v>
      </c>
      <c r="P899" s="2">
        <v>43704</v>
      </c>
      <c r="Q899" s="1">
        <v>33</v>
      </c>
      <c r="R899" t="s">
        <v>2950</v>
      </c>
      <c r="S899">
        <v>1099540340</v>
      </c>
    </row>
    <row r="900" spans="1:19" x14ac:dyDescent="0.2">
      <c r="A900" t="str">
        <f t="shared" si="133"/>
        <v>Adult Fiction</v>
      </c>
      <c r="B900" t="str">
        <f>"NEW F WARNE"</f>
        <v>NEW F WARNE</v>
      </c>
      <c r="C900" t="str">
        <f>"The corner that held them"</f>
        <v>The corner that held them</v>
      </c>
      <c r="D900">
        <v>357886</v>
      </c>
      <c r="E900" t="str">
        <f>"Warner, Sylvia Townsend,"</f>
        <v>Warner, Sylvia Townsend,</v>
      </c>
      <c r="F900" t="str">
        <f>"New York Review Books classics"</f>
        <v>New York Review Books classics</v>
      </c>
      <c r="G900" t="str">
        <f>"399 p."</f>
        <v>399 p.</v>
      </c>
      <c r="H900" s="1">
        <v>19</v>
      </c>
      <c r="I900">
        <v>2019</v>
      </c>
      <c r="J900" t="str">
        <f t="shared" si="136"/>
        <v>2: Fiction</v>
      </c>
      <c r="L900" t="s">
        <v>2395</v>
      </c>
      <c r="M900" t="s">
        <v>28</v>
      </c>
      <c r="N900" t="s">
        <v>2404</v>
      </c>
      <c r="O900">
        <v>3</v>
      </c>
      <c r="P900" s="2">
        <v>43732</v>
      </c>
      <c r="Q900" s="1">
        <v>22</v>
      </c>
      <c r="R900" t="s">
        <v>2951</v>
      </c>
      <c r="S900">
        <v>1079846177</v>
      </c>
    </row>
    <row r="901" spans="1:19" x14ac:dyDescent="0.2">
      <c r="A901" t="str">
        <f t="shared" si="133"/>
        <v>Adult Fiction</v>
      </c>
      <c r="B901" t="str">
        <f>"NEW F WEAVE"</f>
        <v>NEW F WEAVE</v>
      </c>
      <c r="C901" t="str">
        <f>"A dangerous engagement"</f>
        <v>A dangerous engagement</v>
      </c>
      <c r="D901">
        <v>357258</v>
      </c>
      <c r="E901" t="str">
        <f>"Weaver, Ashley"</f>
        <v>Weaver, Ashley</v>
      </c>
      <c r="F901" t="str">
        <f>"Amory Ames series (6)"</f>
        <v>Amory Ames series (6)</v>
      </c>
      <c r="G901" t="str">
        <f>"307 pages, 24 cm"</f>
        <v>307 pages, 24 cm</v>
      </c>
      <c r="H901" s="1">
        <v>19</v>
      </c>
      <c r="I901">
        <v>2019</v>
      </c>
      <c r="J901" t="str">
        <f t="shared" si="136"/>
        <v>2: Fiction</v>
      </c>
      <c r="L901" t="s">
        <v>2395</v>
      </c>
      <c r="M901" t="s">
        <v>28</v>
      </c>
      <c r="N901" t="s">
        <v>2404</v>
      </c>
      <c r="O901">
        <v>4</v>
      </c>
      <c r="P901" s="2">
        <v>43711</v>
      </c>
      <c r="Q901" s="1">
        <v>33</v>
      </c>
      <c r="R901" t="s">
        <v>2952</v>
      </c>
      <c r="S901">
        <v>1101660393</v>
      </c>
    </row>
    <row r="902" spans="1:19" x14ac:dyDescent="0.2">
      <c r="A902" t="str">
        <f t="shared" si="133"/>
        <v>Adult Fiction</v>
      </c>
      <c r="B902" t="str">
        <f>"NEW F WEAVE"</f>
        <v>NEW F WEAVE</v>
      </c>
      <c r="C902" t="str">
        <f>"A dangerous engagement"</f>
        <v>A dangerous engagement</v>
      </c>
      <c r="D902">
        <v>357259</v>
      </c>
      <c r="E902" t="str">
        <f>"Weaver, Ashley"</f>
        <v>Weaver, Ashley</v>
      </c>
      <c r="F902" t="str">
        <f>"Amory Ames series (6)"</f>
        <v>Amory Ames series (6)</v>
      </c>
      <c r="G902" t="str">
        <f>"307 pages, 24 cm"</f>
        <v>307 pages, 24 cm</v>
      </c>
      <c r="H902" s="1">
        <v>19</v>
      </c>
      <c r="I902">
        <v>2019</v>
      </c>
      <c r="J902" t="str">
        <f t="shared" si="136"/>
        <v>2: Fiction</v>
      </c>
      <c r="L902" t="s">
        <v>2395</v>
      </c>
      <c r="M902" t="s">
        <v>28</v>
      </c>
      <c r="N902" t="s">
        <v>2404</v>
      </c>
      <c r="O902">
        <v>7</v>
      </c>
      <c r="P902" s="2">
        <v>43711</v>
      </c>
      <c r="Q902" s="1">
        <v>33</v>
      </c>
      <c r="R902" t="s">
        <v>2952</v>
      </c>
      <c r="S902">
        <v>1101660393</v>
      </c>
    </row>
    <row r="903" spans="1:19" x14ac:dyDescent="0.2">
      <c r="A903" t="str">
        <f t="shared" ref="A903:A946" si="137">"Adult Fiction"</f>
        <v>Adult Fiction</v>
      </c>
      <c r="B903" t="str">
        <f>"NEW F WEEKS"</f>
        <v>NEW F WEEKS</v>
      </c>
      <c r="C903" t="str">
        <f>"The burning white"</f>
        <v>The burning white</v>
      </c>
      <c r="D903">
        <v>359844</v>
      </c>
      <c r="E903" t="str">
        <f>"Weeks, Brent."</f>
        <v>Weeks, Brent.</v>
      </c>
      <c r="F903" t="str">
        <f>"Lightbringer series (5)"</f>
        <v>Lightbringer series (5)</v>
      </c>
      <c r="G903" t="str">
        <f>"xxiv, 960 pages, 25 cm, maps"</f>
        <v>xxiv, 960 pages, 25 cm, maps</v>
      </c>
      <c r="H903" s="1">
        <v>19</v>
      </c>
      <c r="I903">
        <v>2019</v>
      </c>
      <c r="J903" t="str">
        <f t="shared" si="136"/>
        <v>2: Fiction</v>
      </c>
      <c r="L903" t="s">
        <v>2395</v>
      </c>
      <c r="M903" t="s">
        <v>28</v>
      </c>
      <c r="N903" t="s">
        <v>2396</v>
      </c>
      <c r="O903">
        <v>1</v>
      </c>
      <c r="P903" s="2">
        <v>43815</v>
      </c>
      <c r="Q903" s="1">
        <v>35</v>
      </c>
      <c r="R903" t="s">
        <v>2953</v>
      </c>
      <c r="S903">
        <v>1078887145</v>
      </c>
    </row>
    <row r="904" spans="1:19" x14ac:dyDescent="0.2">
      <c r="A904" t="str">
        <f t="shared" si="137"/>
        <v>Adult Fiction</v>
      </c>
      <c r="B904" t="str">
        <f>"NEW F WEINE"</f>
        <v>NEW F WEINE</v>
      </c>
      <c r="C904" t="str">
        <f>"Mrs. Everything: a novel"</f>
        <v>Mrs. Everything: a novel</v>
      </c>
      <c r="D904">
        <v>355272</v>
      </c>
      <c r="E904" t="str">
        <f>"Weiner, Jennifer"</f>
        <v>Weiner, Jennifer</v>
      </c>
      <c r="G904" t="str">
        <f>"466 pages, 24 cm"</f>
        <v>466 pages, 24 cm</v>
      </c>
      <c r="H904" s="1">
        <v>19</v>
      </c>
      <c r="I904">
        <v>2019</v>
      </c>
      <c r="J904" t="str">
        <f t="shared" si="136"/>
        <v>2: Fiction</v>
      </c>
      <c r="L904" t="s">
        <v>2395</v>
      </c>
      <c r="M904" t="s">
        <v>28</v>
      </c>
      <c r="N904" t="s">
        <v>2404</v>
      </c>
      <c r="O904">
        <v>13</v>
      </c>
      <c r="P904" s="2">
        <v>43620</v>
      </c>
      <c r="Q904" s="1">
        <v>33</v>
      </c>
      <c r="R904" t="s">
        <v>2954</v>
      </c>
      <c r="S904">
        <v>1078953677</v>
      </c>
    </row>
    <row r="905" spans="1:19" x14ac:dyDescent="0.2">
      <c r="A905" t="str">
        <f t="shared" si="137"/>
        <v>Adult Fiction</v>
      </c>
      <c r="B905" t="str">
        <f>"NEW F WEINE"</f>
        <v>NEW F WEINE</v>
      </c>
      <c r="C905" t="str">
        <f>"Mrs. Everything: a novel"</f>
        <v>Mrs. Everything: a novel</v>
      </c>
      <c r="D905">
        <v>356138</v>
      </c>
      <c r="E905" t="str">
        <f>"Weiner, Jennifer"</f>
        <v>Weiner, Jennifer</v>
      </c>
      <c r="G905" t="str">
        <f>"466 pages, 24 cm"</f>
        <v>466 pages, 24 cm</v>
      </c>
      <c r="H905" s="1">
        <v>19</v>
      </c>
      <c r="I905">
        <v>2019</v>
      </c>
      <c r="J905" t="str">
        <f t="shared" si="136"/>
        <v>2: Fiction</v>
      </c>
      <c r="L905" t="s">
        <v>2395</v>
      </c>
      <c r="M905" t="s">
        <v>28</v>
      </c>
      <c r="N905" t="s">
        <v>2404</v>
      </c>
      <c r="O905">
        <v>11</v>
      </c>
      <c r="P905" s="2">
        <v>43655</v>
      </c>
      <c r="Q905" s="1">
        <v>33</v>
      </c>
      <c r="R905" t="s">
        <v>2954</v>
      </c>
      <c r="S905">
        <v>1078953677</v>
      </c>
    </row>
    <row r="906" spans="1:19" x14ac:dyDescent="0.2">
      <c r="A906" t="str">
        <f t="shared" si="137"/>
        <v>Adult Fiction</v>
      </c>
      <c r="B906" t="str">
        <f>"NEW F WEINE"</f>
        <v>NEW F WEINE</v>
      </c>
      <c r="C906" t="str">
        <f>"Mrs. Everything: a novel"</f>
        <v>Mrs. Everything: a novel</v>
      </c>
      <c r="D906">
        <v>356515</v>
      </c>
      <c r="E906" t="str">
        <f>"Weiner, Jennifer"</f>
        <v>Weiner, Jennifer</v>
      </c>
      <c r="G906" t="str">
        <f>"466 pages, 24 cm"</f>
        <v>466 pages, 24 cm</v>
      </c>
      <c r="H906" s="1">
        <v>19</v>
      </c>
      <c r="I906">
        <v>2019</v>
      </c>
      <c r="J906" t="str">
        <f t="shared" si="136"/>
        <v>2: Fiction</v>
      </c>
      <c r="L906" t="s">
        <v>2395</v>
      </c>
      <c r="M906" t="s">
        <v>28</v>
      </c>
      <c r="N906" t="s">
        <v>2404</v>
      </c>
      <c r="O906">
        <v>10</v>
      </c>
      <c r="P906" s="2">
        <v>43678</v>
      </c>
      <c r="Q906" s="1">
        <v>33</v>
      </c>
      <c r="R906" t="s">
        <v>2954</v>
      </c>
      <c r="S906">
        <v>1078953677</v>
      </c>
    </row>
    <row r="907" spans="1:19" x14ac:dyDescent="0.2">
      <c r="A907" t="str">
        <f t="shared" si="137"/>
        <v>Adult Fiction</v>
      </c>
      <c r="B907" t="str">
        <f>"NEW F WEINE"</f>
        <v>NEW F WEINE</v>
      </c>
      <c r="C907" t="str">
        <f>"Mrs. Everything: a novel"</f>
        <v>Mrs. Everything: a novel</v>
      </c>
      <c r="D907">
        <v>356516</v>
      </c>
      <c r="E907" t="str">
        <f>"Weiner, Jennifer"</f>
        <v>Weiner, Jennifer</v>
      </c>
      <c r="G907" t="str">
        <f>"466 pages, 24 cm"</f>
        <v>466 pages, 24 cm</v>
      </c>
      <c r="H907" s="1">
        <v>19</v>
      </c>
      <c r="I907">
        <v>2019</v>
      </c>
      <c r="J907" t="str">
        <f t="shared" si="136"/>
        <v>2: Fiction</v>
      </c>
      <c r="L907" t="s">
        <v>2403</v>
      </c>
      <c r="M907" t="s">
        <v>28</v>
      </c>
      <c r="N907" t="s">
        <v>2404</v>
      </c>
      <c r="O907">
        <v>9</v>
      </c>
      <c r="P907" s="2">
        <v>43678</v>
      </c>
      <c r="Q907" s="1">
        <v>33</v>
      </c>
      <c r="R907" t="s">
        <v>2954</v>
      </c>
      <c r="S907">
        <v>1078953677</v>
      </c>
    </row>
    <row r="908" spans="1:19" x14ac:dyDescent="0.2">
      <c r="A908" t="str">
        <f t="shared" si="137"/>
        <v>Adult Fiction</v>
      </c>
      <c r="B908" t="str">
        <f>"NEW F WEINE"</f>
        <v>NEW F WEINE</v>
      </c>
      <c r="C908" t="str">
        <f>"Mrs. Everything: a novel"</f>
        <v>Mrs. Everything: a novel</v>
      </c>
      <c r="D908">
        <v>407187</v>
      </c>
      <c r="E908" t="str">
        <f>"Weiner, Jennifer"</f>
        <v>Weiner, Jennifer</v>
      </c>
      <c r="G908" t="str">
        <f>"466 pages, 24 cm"</f>
        <v>466 pages, 24 cm</v>
      </c>
      <c r="H908">
        <v>19</v>
      </c>
      <c r="I908">
        <v>2019</v>
      </c>
      <c r="J908" t="str">
        <f t="shared" si="136"/>
        <v>2: Fiction</v>
      </c>
      <c r="L908" t="s">
        <v>2403</v>
      </c>
      <c r="M908" t="s">
        <v>28</v>
      </c>
      <c r="N908" t="s">
        <v>2404</v>
      </c>
      <c r="O908">
        <v>11</v>
      </c>
      <c r="P908" s="2">
        <v>43682</v>
      </c>
      <c r="Q908" s="1">
        <v>33</v>
      </c>
      <c r="R908" t="s">
        <v>2954</v>
      </c>
      <c r="S908">
        <v>1078953677</v>
      </c>
    </row>
    <row r="909" spans="1:19" x14ac:dyDescent="0.2">
      <c r="A909" t="str">
        <f t="shared" si="137"/>
        <v>Adult Fiction</v>
      </c>
      <c r="B909" t="str">
        <f>"NEW F WEIR"</f>
        <v>NEW F WEIR</v>
      </c>
      <c r="C909" t="str">
        <f>"Anna of Kleve: the princess in the portrait : a novel"</f>
        <v>Anna of Kleve: the princess in the portrait : a novel</v>
      </c>
      <c r="D909">
        <v>357487</v>
      </c>
      <c r="E909" t="str">
        <f>"Weir, Alison"</f>
        <v>Weir, Alison</v>
      </c>
      <c r="F909" t="str">
        <f>"Six Tudor Queens series (4)"</f>
        <v>Six Tudor Queens series (4)</v>
      </c>
      <c r="G909" t="str">
        <f>"498 pages, 25 cm"</f>
        <v>498 pages, 25 cm</v>
      </c>
      <c r="H909" s="1">
        <v>19</v>
      </c>
      <c r="I909">
        <v>2019</v>
      </c>
      <c r="J909" t="str">
        <f t="shared" si="136"/>
        <v>2: Fiction</v>
      </c>
      <c r="L909" t="s">
        <v>2403</v>
      </c>
      <c r="M909" t="s">
        <v>28</v>
      </c>
      <c r="N909" t="s">
        <v>2396</v>
      </c>
      <c r="O909">
        <v>5</v>
      </c>
      <c r="P909" s="2">
        <v>43719</v>
      </c>
      <c r="Q909" s="1">
        <v>33</v>
      </c>
      <c r="R909" t="s">
        <v>2955</v>
      </c>
      <c r="S909">
        <v>1099659636</v>
      </c>
    </row>
    <row r="910" spans="1:19" x14ac:dyDescent="0.2">
      <c r="A910" t="str">
        <f t="shared" si="137"/>
        <v>Adult Fiction</v>
      </c>
      <c r="B910" t="str">
        <f>"NEW F WENDI"</f>
        <v>NEW F WENDI</v>
      </c>
      <c r="C910" t="str">
        <f>"Wanderers: a novel"</f>
        <v>Wanderers: a novel</v>
      </c>
      <c r="D910">
        <v>355973</v>
      </c>
      <c r="E910" t="str">
        <f>"Wendig, Chuck,"</f>
        <v>Wendig, Chuck,</v>
      </c>
      <c r="G910" t="str">
        <f>"xii, 782 pages, 24 cm"</f>
        <v>xii, 782 pages, 24 cm</v>
      </c>
      <c r="H910" s="1">
        <v>19</v>
      </c>
      <c r="I910">
        <v>2019</v>
      </c>
      <c r="J910" t="str">
        <f t="shared" si="136"/>
        <v>2: Fiction</v>
      </c>
      <c r="L910" t="s">
        <v>2395</v>
      </c>
      <c r="M910" t="s">
        <v>28</v>
      </c>
      <c r="N910" t="s">
        <v>2404</v>
      </c>
      <c r="O910">
        <v>6</v>
      </c>
      <c r="P910" s="2">
        <v>43647</v>
      </c>
      <c r="Q910" s="1">
        <v>34</v>
      </c>
      <c r="R910" t="s">
        <v>2956</v>
      </c>
      <c r="S910">
        <v>1057306123</v>
      </c>
    </row>
    <row r="911" spans="1:19" x14ac:dyDescent="0.2">
      <c r="A911" t="str">
        <f t="shared" si="137"/>
        <v>Adult Fiction</v>
      </c>
      <c r="B911" t="str">
        <f>"NEW F WHITE"</f>
        <v>NEW F WHITE</v>
      </c>
      <c r="C911" t="str">
        <f>"Such a perfect wife: a novel"</f>
        <v>Such a perfect wife: a novel</v>
      </c>
      <c r="D911">
        <v>354696</v>
      </c>
      <c r="E911" t="str">
        <f>"White, Kate"</f>
        <v>White, Kate</v>
      </c>
      <c r="F911" t="str">
        <f>"Bailey Weggins Mystery series (8)"</f>
        <v>Bailey Weggins Mystery series (8)</v>
      </c>
      <c r="G911" t="str">
        <f>"356 pages, 24 cm"</f>
        <v>356 pages, 24 cm</v>
      </c>
      <c r="H911" s="1">
        <v>19</v>
      </c>
      <c r="I911">
        <v>2019</v>
      </c>
      <c r="J911" t="str">
        <f t="shared" si="136"/>
        <v>2: Fiction</v>
      </c>
      <c r="L911" t="s">
        <v>2395</v>
      </c>
      <c r="M911" t="s">
        <v>28</v>
      </c>
      <c r="N911" t="s">
        <v>2404</v>
      </c>
      <c r="O911">
        <v>15</v>
      </c>
      <c r="P911" s="2">
        <v>43598</v>
      </c>
      <c r="Q911" s="1">
        <v>32</v>
      </c>
      <c r="R911" t="s">
        <v>2957</v>
      </c>
      <c r="S911">
        <v>1099456425</v>
      </c>
    </row>
    <row r="912" spans="1:19" x14ac:dyDescent="0.2">
      <c r="A912" t="str">
        <f t="shared" si="137"/>
        <v>Adult Fiction</v>
      </c>
      <c r="B912" t="str">
        <f>"NEW F WHITE"</f>
        <v>NEW F WHITE</v>
      </c>
      <c r="C912" t="str">
        <f>"The nickel boys: a novel"</f>
        <v>The nickel boys: a novel</v>
      </c>
      <c r="D912">
        <v>356260</v>
      </c>
      <c r="E912" t="str">
        <f>"Whitehead, Colson,"</f>
        <v>Whitehead, Colson,</v>
      </c>
      <c r="G912" t="str">
        <f>"213 p."</f>
        <v>213 p.</v>
      </c>
      <c r="H912" s="1">
        <v>19</v>
      </c>
      <c r="I912">
        <v>2019</v>
      </c>
      <c r="J912" t="str">
        <f t="shared" si="136"/>
        <v>2: Fiction</v>
      </c>
      <c r="L912" t="s">
        <v>2395</v>
      </c>
      <c r="M912" t="s">
        <v>28</v>
      </c>
      <c r="N912" t="s">
        <v>2404</v>
      </c>
      <c r="O912">
        <v>11</v>
      </c>
      <c r="P912" s="2">
        <v>43661</v>
      </c>
      <c r="Q912" s="1">
        <v>30</v>
      </c>
      <c r="R912" t="s">
        <v>2958</v>
      </c>
      <c r="S912">
        <v>1051775497</v>
      </c>
    </row>
    <row r="913" spans="1:19" x14ac:dyDescent="0.2">
      <c r="A913" t="str">
        <f t="shared" si="137"/>
        <v>Adult Fiction</v>
      </c>
      <c r="B913" t="str">
        <f>"NEW F WHITL"</f>
        <v>NEW F WHITL</v>
      </c>
      <c r="C913" t="str">
        <f>"Promised land"</f>
        <v>Promised land</v>
      </c>
      <c r="D913">
        <v>360468</v>
      </c>
      <c r="E913" t="str">
        <f>"Whitlow, Robert"</f>
        <v>Whitlow, Robert</v>
      </c>
      <c r="G913" t="str">
        <f>"383 p."</f>
        <v>383 p.</v>
      </c>
      <c r="H913" s="1">
        <v>20</v>
      </c>
      <c r="I913">
        <v>2020</v>
      </c>
      <c r="J913" t="str">
        <f t="shared" si="136"/>
        <v>2: Fiction</v>
      </c>
      <c r="L913" t="s">
        <v>2403</v>
      </c>
      <c r="M913" t="s">
        <v>28</v>
      </c>
      <c r="N913" t="s">
        <v>2415</v>
      </c>
      <c r="O913">
        <v>0</v>
      </c>
      <c r="P913" s="2">
        <v>43851</v>
      </c>
      <c r="Q913" s="1">
        <v>22</v>
      </c>
      <c r="R913" t="s">
        <v>2959</v>
      </c>
      <c r="S913">
        <v>1135849118</v>
      </c>
    </row>
    <row r="914" spans="1:19" x14ac:dyDescent="0.2">
      <c r="A914" t="str">
        <f t="shared" si="137"/>
        <v>Adult Fiction</v>
      </c>
      <c r="B914" t="str">
        <f>"NEW F WIGGS"</f>
        <v>NEW F WIGGS</v>
      </c>
      <c r="C914" t="str">
        <f>"The Oysterville sewing circle: a novel"</f>
        <v>The Oysterville sewing circle: a novel</v>
      </c>
      <c r="D914">
        <v>357909</v>
      </c>
      <c r="E914" t="str">
        <f>"Wiggs, Susan"</f>
        <v>Wiggs, Susan</v>
      </c>
      <c r="G914" t="str">
        <f>"372 pages, 24 cm"</f>
        <v>372 pages, 24 cm</v>
      </c>
      <c r="H914" s="1">
        <v>19</v>
      </c>
      <c r="I914">
        <v>2019</v>
      </c>
      <c r="J914" t="str">
        <f t="shared" si="136"/>
        <v>2: Fiction</v>
      </c>
      <c r="L914" t="s">
        <v>2403</v>
      </c>
      <c r="M914" t="s">
        <v>28</v>
      </c>
      <c r="N914" t="s">
        <v>2404</v>
      </c>
      <c r="O914">
        <v>8</v>
      </c>
      <c r="P914" s="2">
        <v>43733</v>
      </c>
      <c r="Q914" s="1">
        <v>32</v>
      </c>
      <c r="R914" t="s">
        <v>2960</v>
      </c>
      <c r="S914">
        <v>1073108909</v>
      </c>
    </row>
    <row r="915" spans="1:19" x14ac:dyDescent="0.2">
      <c r="A915" t="str">
        <f t="shared" si="137"/>
        <v>Adult Fiction</v>
      </c>
      <c r="B915" t="str">
        <f>"NEW F WIGGS"</f>
        <v>NEW F WIGGS</v>
      </c>
      <c r="C915" t="str">
        <f>"The Oysterville sewing circle: a novel"</f>
        <v>The Oysterville sewing circle: a novel</v>
      </c>
      <c r="D915">
        <v>359046</v>
      </c>
      <c r="E915" t="str">
        <f>"Wiggs, Susan"</f>
        <v>Wiggs, Susan</v>
      </c>
      <c r="G915" t="str">
        <f>"372 pages, 24 cm"</f>
        <v>372 pages, 24 cm</v>
      </c>
      <c r="H915" s="1">
        <v>19</v>
      </c>
      <c r="I915">
        <v>2019</v>
      </c>
      <c r="J915" t="str">
        <f t="shared" si="136"/>
        <v>2: Fiction</v>
      </c>
      <c r="L915" t="s">
        <v>2395</v>
      </c>
      <c r="M915" t="s">
        <v>28</v>
      </c>
      <c r="N915" t="s">
        <v>2404</v>
      </c>
      <c r="O915">
        <v>5</v>
      </c>
      <c r="P915" s="2">
        <v>43776</v>
      </c>
      <c r="Q915" s="1">
        <v>32</v>
      </c>
      <c r="R915" t="s">
        <v>2960</v>
      </c>
      <c r="S915">
        <v>1073108909</v>
      </c>
    </row>
    <row r="916" spans="1:19" x14ac:dyDescent="0.2">
      <c r="A916" t="str">
        <f t="shared" si="137"/>
        <v>Adult Fiction</v>
      </c>
      <c r="B916" t="str">
        <f>"NEW F WILDE"</f>
        <v>NEW F WILDE</v>
      </c>
      <c r="C916" t="str">
        <f>"And dangerous to know"</f>
        <v>And dangerous to know</v>
      </c>
      <c r="D916">
        <v>360418</v>
      </c>
      <c r="E916" t="str">
        <f>"Wilde, Darcie"</f>
        <v>Wilde, Darcie</v>
      </c>
      <c r="F916" t="str">
        <f>"Rosalind Thorne Mystery series (3)"</f>
        <v>Rosalind Thorne Mystery series (3)</v>
      </c>
      <c r="G916" t="str">
        <f>"347 pages, 22 cm"</f>
        <v>347 pages, 22 cm</v>
      </c>
      <c r="H916" s="1">
        <v>20</v>
      </c>
      <c r="I916">
        <v>2020</v>
      </c>
      <c r="J916" t="str">
        <f t="shared" si="136"/>
        <v>2: Fiction</v>
      </c>
      <c r="L916" t="s">
        <v>2395</v>
      </c>
      <c r="M916" t="s">
        <v>28</v>
      </c>
      <c r="N916" t="s">
        <v>2396</v>
      </c>
      <c r="O916">
        <v>0</v>
      </c>
      <c r="P916" s="2">
        <v>43851</v>
      </c>
      <c r="Q916" s="1">
        <v>31</v>
      </c>
      <c r="R916" t="s">
        <v>2961</v>
      </c>
      <c r="S916">
        <v>1091846452</v>
      </c>
    </row>
    <row r="917" spans="1:19" x14ac:dyDescent="0.2">
      <c r="A917" t="str">
        <f t="shared" si="137"/>
        <v>Adult Fiction</v>
      </c>
      <c r="B917" t="str">
        <f>"NEW F WILLI"</f>
        <v>NEW F WILLI</v>
      </c>
      <c r="C917" t="str">
        <f>"All the ways we said goodbye"</f>
        <v>All the ways we said goodbye</v>
      </c>
      <c r="D917">
        <v>360465</v>
      </c>
      <c r="E917" t="str">
        <f>"Williams, Beatriz."</f>
        <v>Williams, Beatriz.</v>
      </c>
      <c r="G917" t="str">
        <f>"434 p."</f>
        <v>434 p.</v>
      </c>
      <c r="H917" s="1">
        <v>20</v>
      </c>
      <c r="I917">
        <v>2020</v>
      </c>
      <c r="J917" t="str">
        <f t="shared" si="136"/>
        <v>2: Fiction</v>
      </c>
      <c r="L917" t="s">
        <v>2395</v>
      </c>
      <c r="M917" t="s">
        <v>28</v>
      </c>
      <c r="N917" t="s">
        <v>2396</v>
      </c>
      <c r="O917">
        <v>0</v>
      </c>
      <c r="P917" s="2">
        <v>43851</v>
      </c>
      <c r="Q917" s="1">
        <v>34</v>
      </c>
      <c r="R917" t="s">
        <v>2962</v>
      </c>
      <c r="S917">
        <v>1134984301</v>
      </c>
    </row>
    <row r="918" spans="1:19" x14ac:dyDescent="0.2">
      <c r="A918" t="str">
        <f t="shared" si="137"/>
        <v>Adult Fiction</v>
      </c>
      <c r="B918" t="str">
        <f>"NEW F WILLI"</f>
        <v>NEW F WILLI</v>
      </c>
      <c r="C918" t="str">
        <f>"All the ways we said goodbye"</f>
        <v>All the ways we said goodbye</v>
      </c>
      <c r="D918">
        <v>360466</v>
      </c>
      <c r="E918" t="str">
        <f>"Williams, Beatriz."</f>
        <v>Williams, Beatriz.</v>
      </c>
      <c r="G918" t="str">
        <f>"434 p."</f>
        <v>434 p.</v>
      </c>
      <c r="H918" s="1">
        <v>20</v>
      </c>
      <c r="I918">
        <v>2020</v>
      </c>
      <c r="J918" t="str">
        <f t="shared" si="136"/>
        <v>2: Fiction</v>
      </c>
      <c r="L918" t="s">
        <v>2403</v>
      </c>
      <c r="M918" t="s">
        <v>28</v>
      </c>
      <c r="N918" t="s">
        <v>2415</v>
      </c>
      <c r="O918">
        <v>0</v>
      </c>
      <c r="P918" s="2">
        <v>43851</v>
      </c>
      <c r="Q918" s="1">
        <v>34</v>
      </c>
      <c r="R918" t="s">
        <v>2962</v>
      </c>
      <c r="S918">
        <v>1134984301</v>
      </c>
    </row>
    <row r="919" spans="1:19" x14ac:dyDescent="0.2">
      <c r="A919" t="str">
        <f t="shared" si="137"/>
        <v>Adult Fiction</v>
      </c>
      <c r="B919" t="str">
        <f>"NEW F WILLI"</f>
        <v>NEW F WILLI</v>
      </c>
      <c r="C919" t="str">
        <f>"The wicked redhead"</f>
        <v>The wicked redhead</v>
      </c>
      <c r="D919">
        <v>359829</v>
      </c>
      <c r="E919" t="str">
        <f>"Williams, Beatriz."</f>
        <v>Williams, Beatriz.</v>
      </c>
      <c r="F919" t="str">
        <f>"Wicked City series (2)"</f>
        <v>Wicked City series (2)</v>
      </c>
      <c r="G919" t="str">
        <f>"406 p."</f>
        <v>406 p.</v>
      </c>
      <c r="H919" s="1">
        <v>19</v>
      </c>
      <c r="I919">
        <v>2019</v>
      </c>
      <c r="J919" t="str">
        <f t="shared" si="136"/>
        <v>2: Fiction</v>
      </c>
      <c r="L919" t="s">
        <v>2403</v>
      </c>
      <c r="M919" t="s">
        <v>28</v>
      </c>
      <c r="N919" t="s">
        <v>2396</v>
      </c>
      <c r="O919">
        <v>2</v>
      </c>
      <c r="P919" s="2">
        <v>43816</v>
      </c>
      <c r="Q919" s="1">
        <v>32</v>
      </c>
      <c r="R919" t="s">
        <v>2963</v>
      </c>
      <c r="S919">
        <v>1129119021</v>
      </c>
    </row>
    <row r="920" spans="1:19" x14ac:dyDescent="0.2">
      <c r="A920" t="str">
        <f t="shared" si="137"/>
        <v>Adult Fiction</v>
      </c>
      <c r="B920" t="str">
        <f>"NEW F WILLI"</f>
        <v>NEW F WILLI</v>
      </c>
      <c r="C920" t="str">
        <f>"The wicked redhead"</f>
        <v>The wicked redhead</v>
      </c>
      <c r="D920">
        <v>359830</v>
      </c>
      <c r="E920" t="str">
        <f>"Williams, Beatriz."</f>
        <v>Williams, Beatriz.</v>
      </c>
      <c r="F920" t="str">
        <f>"Wicked City series (2)"</f>
        <v>Wicked City series (2)</v>
      </c>
      <c r="G920" t="str">
        <f>"406 p."</f>
        <v>406 p.</v>
      </c>
      <c r="H920" s="1">
        <v>19</v>
      </c>
      <c r="I920">
        <v>2019</v>
      </c>
      <c r="J920" t="str">
        <f t="shared" si="136"/>
        <v>2: Fiction</v>
      </c>
      <c r="L920" t="s">
        <v>2395</v>
      </c>
      <c r="M920" t="s">
        <v>28</v>
      </c>
      <c r="N920" t="s">
        <v>2404</v>
      </c>
      <c r="O920">
        <v>3</v>
      </c>
      <c r="P920" s="2">
        <v>43816</v>
      </c>
      <c r="Q920" s="1">
        <v>32</v>
      </c>
      <c r="R920" t="s">
        <v>2963</v>
      </c>
      <c r="S920">
        <v>1129119021</v>
      </c>
    </row>
    <row r="921" spans="1:19" x14ac:dyDescent="0.2">
      <c r="A921" t="str">
        <f t="shared" si="137"/>
        <v>Adult Fiction</v>
      </c>
      <c r="B921" t="str">
        <f>"NEW F WILLI"</f>
        <v>NEW F WILLI</v>
      </c>
      <c r="C921" t="str">
        <f>"This is happiness"</f>
        <v>This is happiness</v>
      </c>
      <c r="D921">
        <v>359632</v>
      </c>
      <c r="E921" t="str">
        <f>"Williams, Niall,"</f>
        <v>Williams, Niall,</v>
      </c>
      <c r="G921" t="str">
        <f>"380 pages, 25 cm"</f>
        <v>380 pages, 25 cm</v>
      </c>
      <c r="H921" s="1">
        <v>19</v>
      </c>
      <c r="I921">
        <v>2019</v>
      </c>
      <c r="J921" t="str">
        <f t="shared" si="136"/>
        <v>2: Fiction</v>
      </c>
      <c r="L921" t="s">
        <v>2403</v>
      </c>
      <c r="M921" t="s">
        <v>28</v>
      </c>
      <c r="N921" t="s">
        <v>2404</v>
      </c>
      <c r="O921">
        <v>4</v>
      </c>
      <c r="P921" s="2">
        <v>43803</v>
      </c>
      <c r="Q921" s="1">
        <v>33</v>
      </c>
      <c r="R921" t="s">
        <v>2964</v>
      </c>
      <c r="S921">
        <v>1111814074</v>
      </c>
    </row>
    <row r="922" spans="1:19" x14ac:dyDescent="0.2">
      <c r="A922" t="str">
        <f t="shared" si="137"/>
        <v>Adult Fiction</v>
      </c>
      <c r="B922" t="str">
        <f>"NEW F WILSO"</f>
        <v>NEW F WILSO</v>
      </c>
      <c r="C922" t="str">
        <f>"Nothing to see here"</f>
        <v>Nothing to see here</v>
      </c>
      <c r="D922">
        <v>358973</v>
      </c>
      <c r="E922" t="str">
        <f>"Wilson, Kevin,"</f>
        <v>Wilson, Kevin,</v>
      </c>
      <c r="G922" t="str">
        <f>"254 pages, 22 cm"</f>
        <v>254 pages, 22 cm</v>
      </c>
      <c r="H922" s="1">
        <v>19</v>
      </c>
      <c r="I922">
        <v>2019</v>
      </c>
      <c r="J922" t="str">
        <f t="shared" si="136"/>
        <v>2: Fiction</v>
      </c>
      <c r="L922" t="s">
        <v>2403</v>
      </c>
      <c r="M922" t="s">
        <v>28</v>
      </c>
      <c r="N922" t="str">
        <f>"Reserve Cart"</f>
        <v>Reserve Cart</v>
      </c>
      <c r="O922">
        <v>4</v>
      </c>
      <c r="P922" s="2">
        <v>43780</v>
      </c>
      <c r="Q922" s="1">
        <v>32</v>
      </c>
      <c r="R922" t="s">
        <v>2965</v>
      </c>
      <c r="S922">
        <v>1085203209</v>
      </c>
    </row>
    <row r="923" spans="1:19" x14ac:dyDescent="0.2">
      <c r="A923" t="str">
        <f t="shared" si="137"/>
        <v>Adult Fiction</v>
      </c>
      <c r="B923" t="str">
        <f>"NEW F WILSO"</f>
        <v>NEW F WILSO</v>
      </c>
      <c r="C923" t="str">
        <f>"Nothing to see here"</f>
        <v>Nothing to see here</v>
      </c>
      <c r="D923">
        <v>358974</v>
      </c>
      <c r="E923" t="str">
        <f>"Wilson, Kevin,"</f>
        <v>Wilson, Kevin,</v>
      </c>
      <c r="G923" t="str">
        <f>"254 pages, 22 cm"</f>
        <v>254 pages, 22 cm</v>
      </c>
      <c r="H923" s="1">
        <v>19</v>
      </c>
      <c r="I923">
        <v>2019</v>
      </c>
      <c r="J923" t="str">
        <f t="shared" si="136"/>
        <v>2: Fiction</v>
      </c>
      <c r="L923" t="s">
        <v>2403</v>
      </c>
      <c r="M923" t="s">
        <v>28</v>
      </c>
      <c r="N923" t="s">
        <v>2404</v>
      </c>
      <c r="O923">
        <v>9</v>
      </c>
      <c r="P923" s="2">
        <v>43780</v>
      </c>
      <c r="Q923" s="1">
        <v>32</v>
      </c>
      <c r="R923" t="s">
        <v>2965</v>
      </c>
      <c r="S923">
        <v>1085203209</v>
      </c>
    </row>
    <row r="924" spans="1:19" x14ac:dyDescent="0.2">
      <c r="A924" t="str">
        <f t="shared" si="137"/>
        <v>Adult Fiction</v>
      </c>
      <c r="B924" t="str">
        <f>"NEW F WINTE"</f>
        <v>NEW F WINTE</v>
      </c>
      <c r="C924" t="str">
        <f>"Would like to meet"</f>
        <v>Would like to meet</v>
      </c>
      <c r="D924">
        <v>359623</v>
      </c>
      <c r="E924" t="str">
        <f>"Winters, Rachel"</f>
        <v>Winters, Rachel</v>
      </c>
      <c r="G924" t="str">
        <f>"359 pages, 21 cm"</f>
        <v>359 pages, 21 cm</v>
      </c>
      <c r="H924" s="1">
        <v>19</v>
      </c>
      <c r="I924">
        <v>2019</v>
      </c>
      <c r="J924" t="str">
        <f t="shared" si="136"/>
        <v>2: Fiction</v>
      </c>
      <c r="L924" t="s">
        <v>2403</v>
      </c>
      <c r="M924" t="s">
        <v>28</v>
      </c>
      <c r="N924" t="s">
        <v>2396</v>
      </c>
      <c r="O924">
        <v>2</v>
      </c>
      <c r="P924" s="2">
        <v>43803</v>
      </c>
      <c r="Q924" s="1">
        <v>21</v>
      </c>
      <c r="R924" t="s">
        <v>2966</v>
      </c>
      <c r="S924">
        <v>1089264527</v>
      </c>
    </row>
    <row r="925" spans="1:19" x14ac:dyDescent="0.2">
      <c r="A925" t="str">
        <f t="shared" si="137"/>
        <v>Adult Fiction</v>
      </c>
      <c r="B925" t="str">
        <f>"NEW F WINTE"</f>
        <v>NEW F WINTE</v>
      </c>
      <c r="C925" t="str">
        <f>"Frankissstein: a love story"</f>
        <v>Frankissstein: a love story</v>
      </c>
      <c r="D925">
        <v>357864</v>
      </c>
      <c r="E925" t="str">
        <f>"Winterson, Jeanette"</f>
        <v>Winterson, Jeanette</v>
      </c>
      <c r="G925" t="str">
        <f>"pages cm"</f>
        <v>pages cm</v>
      </c>
      <c r="H925" s="1">
        <v>19</v>
      </c>
      <c r="I925">
        <v>2019</v>
      </c>
      <c r="J925" t="str">
        <f t="shared" si="136"/>
        <v>2: Fiction</v>
      </c>
      <c r="L925" t="s">
        <v>2395</v>
      </c>
      <c r="M925" t="s">
        <v>28</v>
      </c>
      <c r="N925" t="s">
        <v>2396</v>
      </c>
      <c r="O925">
        <v>4</v>
      </c>
      <c r="P925" s="2">
        <v>43731</v>
      </c>
      <c r="Q925" s="1">
        <v>32</v>
      </c>
      <c r="R925" t="s">
        <v>2967</v>
      </c>
      <c r="S925">
        <v>1111640711</v>
      </c>
    </row>
    <row r="926" spans="1:19" x14ac:dyDescent="0.2">
      <c r="A926" t="str">
        <f t="shared" si="137"/>
        <v>Adult Fiction</v>
      </c>
      <c r="B926" t="str">
        <f t="shared" ref="B926:B940" si="138">"NEW F WOODS"</f>
        <v>NEW F WOODS</v>
      </c>
      <c r="C926" t="s">
        <v>2968</v>
      </c>
      <c r="D926">
        <v>356848</v>
      </c>
      <c r="E926" t="str">
        <f t="shared" ref="E926:E938" si="139">"Woods, Stuart"</f>
        <v>Woods, Stuart</v>
      </c>
      <c r="F926" t="str">
        <f>"Stone Barrington Mystery series (50)"</f>
        <v>Stone Barrington Mystery series (50)</v>
      </c>
      <c r="G926" t="str">
        <f>"309 pages, 24 cm"</f>
        <v>309 pages, 24 cm</v>
      </c>
      <c r="H926" s="1">
        <v>19</v>
      </c>
      <c r="I926">
        <v>2019</v>
      </c>
      <c r="J926" t="str">
        <f t="shared" si="136"/>
        <v>2: Fiction</v>
      </c>
      <c r="L926" t="s">
        <v>2395</v>
      </c>
      <c r="M926" t="s">
        <v>28</v>
      </c>
      <c r="N926" t="s">
        <v>2404</v>
      </c>
      <c r="O926">
        <v>11</v>
      </c>
      <c r="P926" s="2">
        <v>43691</v>
      </c>
      <c r="Q926" s="1">
        <v>33</v>
      </c>
      <c r="R926" t="s">
        <v>2969</v>
      </c>
      <c r="S926">
        <v>1090828673</v>
      </c>
    </row>
    <row r="927" spans="1:19" x14ac:dyDescent="0.2">
      <c r="A927" t="str">
        <f t="shared" si="137"/>
        <v>Adult Fiction</v>
      </c>
      <c r="B927" t="str">
        <f t="shared" si="138"/>
        <v>NEW F WOODS</v>
      </c>
      <c r="C927" t="s">
        <v>2970</v>
      </c>
      <c r="D927">
        <v>358493</v>
      </c>
      <c r="E927" t="str">
        <f t="shared" si="139"/>
        <v>Woods, Stuart</v>
      </c>
      <c r="F927" t="str">
        <f t="shared" ref="F927:F932" si="140">"Stone Barrington Mystery series (51)"</f>
        <v>Stone Barrington Mystery series (51)</v>
      </c>
      <c r="G927" t="str">
        <f t="shared" ref="G927:G932" si="141">"308 p."</f>
        <v>308 p.</v>
      </c>
      <c r="H927" s="1">
        <v>19</v>
      </c>
      <c r="I927">
        <v>2019</v>
      </c>
      <c r="J927" t="str">
        <f t="shared" si="136"/>
        <v>2: Fiction</v>
      </c>
      <c r="L927" t="s">
        <v>2395</v>
      </c>
      <c r="M927" t="s">
        <v>28</v>
      </c>
      <c r="N927" t="s">
        <v>2404</v>
      </c>
      <c r="O927">
        <v>8</v>
      </c>
      <c r="P927" s="2">
        <v>43753</v>
      </c>
      <c r="Q927" s="1">
        <v>33</v>
      </c>
      <c r="R927" t="s">
        <v>2971</v>
      </c>
      <c r="S927">
        <v>1114281936</v>
      </c>
    </row>
    <row r="928" spans="1:19" x14ac:dyDescent="0.2">
      <c r="A928" t="str">
        <f t="shared" si="137"/>
        <v>Adult Fiction</v>
      </c>
      <c r="B928" t="str">
        <f t="shared" si="138"/>
        <v>NEW F WOODS</v>
      </c>
      <c r="C928" t="s">
        <v>2970</v>
      </c>
      <c r="D928">
        <v>358494</v>
      </c>
      <c r="E928" t="str">
        <f t="shared" si="139"/>
        <v>Woods, Stuart</v>
      </c>
      <c r="F928" t="str">
        <f t="shared" si="140"/>
        <v>Stone Barrington Mystery series (51)</v>
      </c>
      <c r="G928" t="str">
        <f t="shared" si="141"/>
        <v>308 p.</v>
      </c>
      <c r="H928" s="1">
        <v>19</v>
      </c>
      <c r="I928">
        <v>2019</v>
      </c>
      <c r="J928" t="str">
        <f t="shared" si="136"/>
        <v>2: Fiction</v>
      </c>
      <c r="L928" t="s">
        <v>2395</v>
      </c>
      <c r="M928" t="s">
        <v>28</v>
      </c>
      <c r="N928" t="s">
        <v>2404</v>
      </c>
      <c r="O928">
        <v>8</v>
      </c>
      <c r="P928" s="2">
        <v>43753</v>
      </c>
      <c r="Q928" s="1">
        <v>33</v>
      </c>
      <c r="R928" t="s">
        <v>2971</v>
      </c>
      <c r="S928">
        <v>1114281936</v>
      </c>
    </row>
    <row r="929" spans="1:19" x14ac:dyDescent="0.2">
      <c r="A929" t="str">
        <f t="shared" si="137"/>
        <v>Adult Fiction</v>
      </c>
      <c r="B929" t="str">
        <f t="shared" si="138"/>
        <v>NEW F WOODS</v>
      </c>
      <c r="C929" t="s">
        <v>2970</v>
      </c>
      <c r="D929">
        <v>358495</v>
      </c>
      <c r="E929" t="str">
        <f t="shared" si="139"/>
        <v>Woods, Stuart</v>
      </c>
      <c r="F929" t="str">
        <f t="shared" si="140"/>
        <v>Stone Barrington Mystery series (51)</v>
      </c>
      <c r="G929" t="str">
        <f t="shared" si="141"/>
        <v>308 p.</v>
      </c>
      <c r="H929" s="1">
        <v>19</v>
      </c>
      <c r="I929">
        <v>2019</v>
      </c>
      <c r="J929" t="str">
        <f t="shared" si="136"/>
        <v>2: Fiction</v>
      </c>
      <c r="L929" t="s">
        <v>2403</v>
      </c>
      <c r="M929" t="s">
        <v>28</v>
      </c>
      <c r="N929" t="s">
        <v>2404</v>
      </c>
      <c r="O929">
        <v>9</v>
      </c>
      <c r="P929" s="2">
        <v>43753</v>
      </c>
      <c r="Q929" s="1">
        <v>33</v>
      </c>
      <c r="R929" t="s">
        <v>2971</v>
      </c>
      <c r="S929">
        <v>1114281936</v>
      </c>
    </row>
    <row r="930" spans="1:19" x14ac:dyDescent="0.2">
      <c r="A930" t="str">
        <f t="shared" si="137"/>
        <v>Adult Fiction</v>
      </c>
      <c r="B930" t="str">
        <f t="shared" si="138"/>
        <v>NEW F WOODS</v>
      </c>
      <c r="C930" t="s">
        <v>2970</v>
      </c>
      <c r="D930">
        <v>358496</v>
      </c>
      <c r="E930" t="str">
        <f t="shared" si="139"/>
        <v>Woods, Stuart</v>
      </c>
      <c r="F930" t="str">
        <f t="shared" si="140"/>
        <v>Stone Barrington Mystery series (51)</v>
      </c>
      <c r="G930" t="str">
        <f t="shared" si="141"/>
        <v>308 p.</v>
      </c>
      <c r="H930" s="1">
        <v>19</v>
      </c>
      <c r="I930">
        <v>2019</v>
      </c>
      <c r="J930" t="str">
        <f t="shared" si="136"/>
        <v>2: Fiction</v>
      </c>
      <c r="L930" t="s">
        <v>2403</v>
      </c>
      <c r="M930" t="s">
        <v>28</v>
      </c>
      <c r="N930" t="s">
        <v>2396</v>
      </c>
      <c r="O930">
        <v>5</v>
      </c>
      <c r="P930" s="2">
        <v>43753</v>
      </c>
      <c r="Q930" s="1">
        <v>33</v>
      </c>
      <c r="R930" t="s">
        <v>2971</v>
      </c>
      <c r="S930">
        <v>1114281936</v>
      </c>
    </row>
    <row r="931" spans="1:19" x14ac:dyDescent="0.2">
      <c r="A931" t="str">
        <f t="shared" si="137"/>
        <v>Adult Fiction</v>
      </c>
      <c r="B931" t="str">
        <f t="shared" si="138"/>
        <v>NEW F WOODS</v>
      </c>
      <c r="C931" t="s">
        <v>2970</v>
      </c>
      <c r="D931">
        <v>358497</v>
      </c>
      <c r="E931" t="str">
        <f t="shared" si="139"/>
        <v>Woods, Stuart</v>
      </c>
      <c r="F931" t="str">
        <f t="shared" si="140"/>
        <v>Stone Barrington Mystery series (51)</v>
      </c>
      <c r="G931" t="str">
        <f t="shared" si="141"/>
        <v>308 p.</v>
      </c>
      <c r="H931" s="1">
        <v>19</v>
      </c>
      <c r="I931">
        <v>2019</v>
      </c>
      <c r="J931" t="str">
        <f t="shared" si="136"/>
        <v>2: Fiction</v>
      </c>
      <c r="L931" t="s">
        <v>2395</v>
      </c>
      <c r="M931" t="s">
        <v>28</v>
      </c>
      <c r="N931" t="s">
        <v>2404</v>
      </c>
      <c r="O931">
        <v>6</v>
      </c>
      <c r="P931" s="2">
        <v>43753</v>
      </c>
      <c r="Q931" s="1">
        <v>33</v>
      </c>
      <c r="R931" t="s">
        <v>2971</v>
      </c>
      <c r="S931">
        <v>1114281936</v>
      </c>
    </row>
    <row r="932" spans="1:19" x14ac:dyDescent="0.2">
      <c r="A932" t="str">
        <f t="shared" si="137"/>
        <v>Adult Fiction</v>
      </c>
      <c r="B932" t="str">
        <f t="shared" si="138"/>
        <v>NEW F WOODS</v>
      </c>
      <c r="C932" t="s">
        <v>2970</v>
      </c>
      <c r="D932">
        <v>358498</v>
      </c>
      <c r="E932" t="str">
        <f t="shared" si="139"/>
        <v>Woods, Stuart</v>
      </c>
      <c r="F932" t="str">
        <f t="shared" si="140"/>
        <v>Stone Barrington Mystery series (51)</v>
      </c>
      <c r="G932" t="str">
        <f t="shared" si="141"/>
        <v>308 p.</v>
      </c>
      <c r="H932" s="1">
        <v>19</v>
      </c>
      <c r="I932">
        <v>2019</v>
      </c>
      <c r="J932" t="str">
        <f t="shared" si="136"/>
        <v>2: Fiction</v>
      </c>
      <c r="L932" t="s">
        <v>2395</v>
      </c>
      <c r="M932" t="s">
        <v>28</v>
      </c>
      <c r="N932" t="s">
        <v>2404</v>
      </c>
      <c r="O932">
        <v>11</v>
      </c>
      <c r="P932" s="2">
        <v>43753</v>
      </c>
      <c r="Q932" s="1">
        <v>33</v>
      </c>
      <c r="R932" t="s">
        <v>2971</v>
      </c>
      <c r="S932">
        <v>1114281936</v>
      </c>
    </row>
    <row r="933" spans="1:19" x14ac:dyDescent="0.2">
      <c r="A933" t="str">
        <f t="shared" si="137"/>
        <v>Adult Fiction</v>
      </c>
      <c r="B933" t="str">
        <f t="shared" si="138"/>
        <v>NEW F WOODS</v>
      </c>
      <c r="C933" t="s">
        <v>2972</v>
      </c>
      <c r="D933">
        <v>360191</v>
      </c>
      <c r="E933" t="str">
        <f t="shared" si="139"/>
        <v>Woods, Stuart</v>
      </c>
      <c r="F933" t="str">
        <f t="shared" ref="F933:F938" si="142">"Stone Barrington Mystery series (52)"</f>
        <v>Stone Barrington Mystery series (52)</v>
      </c>
      <c r="G933" t="str">
        <f t="shared" ref="G933:G938" si="143">"307 pages, 24 cm"</f>
        <v>307 pages, 24 cm</v>
      </c>
      <c r="H933" s="1">
        <v>19</v>
      </c>
      <c r="I933">
        <v>2020</v>
      </c>
      <c r="J933" t="str">
        <f t="shared" si="136"/>
        <v>2: Fiction</v>
      </c>
      <c r="L933" t="s">
        <v>2395</v>
      </c>
      <c r="M933" t="s">
        <v>28</v>
      </c>
      <c r="N933" t="s">
        <v>2404</v>
      </c>
      <c r="O933">
        <v>2</v>
      </c>
      <c r="P933" s="2">
        <v>43833</v>
      </c>
      <c r="Q933" s="1">
        <v>33</v>
      </c>
      <c r="R933" t="s">
        <v>2973</v>
      </c>
      <c r="S933">
        <v>1117503058</v>
      </c>
    </row>
    <row r="934" spans="1:19" x14ac:dyDescent="0.2">
      <c r="A934" t="str">
        <f t="shared" si="137"/>
        <v>Adult Fiction</v>
      </c>
      <c r="B934" t="str">
        <f t="shared" si="138"/>
        <v>NEW F WOODS</v>
      </c>
      <c r="C934" t="s">
        <v>2972</v>
      </c>
      <c r="D934">
        <v>360192</v>
      </c>
      <c r="E934" t="str">
        <f t="shared" si="139"/>
        <v>Woods, Stuart</v>
      </c>
      <c r="F934" t="str">
        <f t="shared" si="142"/>
        <v>Stone Barrington Mystery series (52)</v>
      </c>
      <c r="G934" t="str">
        <f t="shared" si="143"/>
        <v>307 pages, 24 cm</v>
      </c>
      <c r="H934" s="1">
        <v>19</v>
      </c>
      <c r="I934">
        <v>2020</v>
      </c>
      <c r="J934" t="str">
        <f t="shared" si="136"/>
        <v>2: Fiction</v>
      </c>
      <c r="L934" t="s">
        <v>2395</v>
      </c>
      <c r="M934" t="s">
        <v>28</v>
      </c>
      <c r="N934" t="s">
        <v>2404</v>
      </c>
      <c r="O934">
        <v>2</v>
      </c>
      <c r="P934" s="2">
        <v>43833</v>
      </c>
      <c r="Q934" s="1">
        <v>33</v>
      </c>
      <c r="R934" t="s">
        <v>2973</v>
      </c>
      <c r="S934">
        <v>1117503058</v>
      </c>
    </row>
    <row r="935" spans="1:19" x14ac:dyDescent="0.2">
      <c r="A935" t="str">
        <f t="shared" si="137"/>
        <v>Adult Fiction</v>
      </c>
      <c r="B935" t="str">
        <f t="shared" si="138"/>
        <v>NEW F WOODS</v>
      </c>
      <c r="C935" t="s">
        <v>2972</v>
      </c>
      <c r="D935">
        <v>360193</v>
      </c>
      <c r="E935" t="str">
        <f t="shared" si="139"/>
        <v>Woods, Stuart</v>
      </c>
      <c r="F935" t="str">
        <f t="shared" si="142"/>
        <v>Stone Barrington Mystery series (52)</v>
      </c>
      <c r="G935" t="str">
        <f t="shared" si="143"/>
        <v>307 pages, 24 cm</v>
      </c>
      <c r="H935" s="1">
        <v>19</v>
      </c>
      <c r="I935">
        <v>2020</v>
      </c>
      <c r="J935" t="str">
        <f t="shared" si="136"/>
        <v>2: Fiction</v>
      </c>
      <c r="L935" t="s">
        <v>2403</v>
      </c>
      <c r="M935" t="s">
        <v>28</v>
      </c>
      <c r="N935" t="s">
        <v>2404</v>
      </c>
      <c r="O935">
        <v>2</v>
      </c>
      <c r="P935" s="2">
        <v>43833</v>
      </c>
      <c r="Q935" s="1">
        <v>33</v>
      </c>
      <c r="R935" t="s">
        <v>2973</v>
      </c>
      <c r="S935">
        <v>1117503058</v>
      </c>
    </row>
    <row r="936" spans="1:19" x14ac:dyDescent="0.2">
      <c r="A936" t="str">
        <f t="shared" si="137"/>
        <v>Adult Fiction</v>
      </c>
      <c r="B936" t="str">
        <f t="shared" si="138"/>
        <v>NEW F WOODS</v>
      </c>
      <c r="C936" t="s">
        <v>2972</v>
      </c>
      <c r="D936">
        <v>360194</v>
      </c>
      <c r="E936" t="str">
        <f t="shared" si="139"/>
        <v>Woods, Stuart</v>
      </c>
      <c r="F936" t="str">
        <f t="shared" si="142"/>
        <v>Stone Barrington Mystery series (52)</v>
      </c>
      <c r="G936" t="str">
        <f t="shared" si="143"/>
        <v>307 pages, 24 cm</v>
      </c>
      <c r="H936" s="1">
        <v>19</v>
      </c>
      <c r="I936">
        <v>2020</v>
      </c>
      <c r="J936" t="str">
        <f t="shared" si="136"/>
        <v>2: Fiction</v>
      </c>
      <c r="L936" t="s">
        <v>2395</v>
      </c>
      <c r="M936" t="s">
        <v>28</v>
      </c>
      <c r="N936" t="s">
        <v>2404</v>
      </c>
      <c r="O936">
        <v>3</v>
      </c>
      <c r="P936" s="2">
        <v>43833</v>
      </c>
      <c r="Q936" s="1">
        <v>33</v>
      </c>
      <c r="R936" t="s">
        <v>2973</v>
      </c>
      <c r="S936">
        <v>1117503058</v>
      </c>
    </row>
    <row r="937" spans="1:19" x14ac:dyDescent="0.2">
      <c r="A937" t="str">
        <f t="shared" si="137"/>
        <v>Adult Fiction</v>
      </c>
      <c r="B937" t="str">
        <f t="shared" si="138"/>
        <v>NEW F WOODS</v>
      </c>
      <c r="C937" t="s">
        <v>2972</v>
      </c>
      <c r="D937">
        <v>360195</v>
      </c>
      <c r="E937" t="str">
        <f t="shared" si="139"/>
        <v>Woods, Stuart</v>
      </c>
      <c r="F937" t="str">
        <f t="shared" si="142"/>
        <v>Stone Barrington Mystery series (52)</v>
      </c>
      <c r="G937" t="str">
        <f t="shared" si="143"/>
        <v>307 pages, 24 cm</v>
      </c>
      <c r="H937" s="1">
        <v>19</v>
      </c>
      <c r="I937">
        <v>2020</v>
      </c>
      <c r="J937" t="str">
        <f t="shared" si="136"/>
        <v>2: Fiction</v>
      </c>
      <c r="L937" t="s">
        <v>2395</v>
      </c>
      <c r="M937" t="s">
        <v>28</v>
      </c>
      <c r="N937" t="s">
        <v>2404</v>
      </c>
      <c r="O937">
        <v>2</v>
      </c>
      <c r="P937" s="2">
        <v>43833</v>
      </c>
      <c r="Q937" s="1">
        <v>33</v>
      </c>
      <c r="R937" t="s">
        <v>2973</v>
      </c>
      <c r="S937">
        <v>1117503058</v>
      </c>
    </row>
    <row r="938" spans="1:19" x14ac:dyDescent="0.2">
      <c r="A938" t="str">
        <f t="shared" si="137"/>
        <v>Adult Fiction</v>
      </c>
      <c r="B938" t="str">
        <f t="shared" si="138"/>
        <v>NEW F WOODS</v>
      </c>
      <c r="C938" t="s">
        <v>2972</v>
      </c>
      <c r="D938">
        <v>360196</v>
      </c>
      <c r="E938" t="str">
        <f t="shared" si="139"/>
        <v>Woods, Stuart</v>
      </c>
      <c r="F938" t="str">
        <f t="shared" si="142"/>
        <v>Stone Barrington Mystery series (52)</v>
      </c>
      <c r="G938" t="str">
        <f t="shared" si="143"/>
        <v>307 pages, 24 cm</v>
      </c>
      <c r="H938" s="1">
        <v>19</v>
      </c>
      <c r="I938">
        <v>2020</v>
      </c>
      <c r="J938" t="str">
        <f t="shared" si="136"/>
        <v>2: Fiction</v>
      </c>
      <c r="L938" t="s">
        <v>2395</v>
      </c>
      <c r="M938" t="s">
        <v>28</v>
      </c>
      <c r="N938" t="s">
        <v>2404</v>
      </c>
      <c r="O938">
        <v>2</v>
      </c>
      <c r="P938" s="2">
        <v>43833</v>
      </c>
      <c r="Q938" s="1">
        <v>33</v>
      </c>
      <c r="R938" t="s">
        <v>2973</v>
      </c>
      <c r="S938">
        <v>1117503058</v>
      </c>
    </row>
    <row r="939" spans="1:19" x14ac:dyDescent="0.2">
      <c r="A939" t="str">
        <f t="shared" si="137"/>
        <v>Adult Fiction</v>
      </c>
      <c r="B939" t="str">
        <f t="shared" si="138"/>
        <v>NEW F WOODS</v>
      </c>
      <c r="C939" t="str">
        <f>"Red at the bone"</f>
        <v>Red at the bone</v>
      </c>
      <c r="D939">
        <v>357625</v>
      </c>
      <c r="E939" t="str">
        <f>"Woodson, Jacqueline"</f>
        <v>Woodson, Jacqueline</v>
      </c>
      <c r="G939" t="str">
        <f>"195 p."</f>
        <v>195 p.</v>
      </c>
      <c r="H939" s="1">
        <v>19</v>
      </c>
      <c r="I939">
        <v>2019</v>
      </c>
      <c r="J939" t="str">
        <f t="shared" si="136"/>
        <v>2: Fiction</v>
      </c>
      <c r="L939" t="s">
        <v>2403</v>
      </c>
      <c r="M939" t="s">
        <v>28</v>
      </c>
      <c r="N939" t="s">
        <v>2396</v>
      </c>
      <c r="O939">
        <v>8</v>
      </c>
      <c r="P939" s="2">
        <v>43725</v>
      </c>
      <c r="Q939" s="1">
        <v>31</v>
      </c>
      <c r="R939" t="s">
        <v>2974</v>
      </c>
      <c r="S939">
        <v>1099754421</v>
      </c>
    </row>
    <row r="940" spans="1:19" x14ac:dyDescent="0.2">
      <c r="A940" t="str">
        <f t="shared" si="137"/>
        <v>Adult Fiction</v>
      </c>
      <c r="B940" t="str">
        <f t="shared" si="138"/>
        <v>NEW F WOODS</v>
      </c>
      <c r="C940" t="str">
        <f>"Red at the bone"</f>
        <v>Red at the bone</v>
      </c>
      <c r="D940">
        <v>357626</v>
      </c>
      <c r="E940" t="str">
        <f>"Woodson, Jacqueline"</f>
        <v>Woodson, Jacqueline</v>
      </c>
      <c r="G940" t="str">
        <f>"195 p."</f>
        <v>195 p.</v>
      </c>
      <c r="H940" s="1">
        <v>19</v>
      </c>
      <c r="I940">
        <v>2019</v>
      </c>
      <c r="J940" t="str">
        <f t="shared" si="136"/>
        <v>2: Fiction</v>
      </c>
      <c r="L940" t="s">
        <v>2395</v>
      </c>
      <c r="M940" t="s">
        <v>28</v>
      </c>
      <c r="N940" t="s">
        <v>2404</v>
      </c>
      <c r="O940">
        <v>7</v>
      </c>
      <c r="P940" s="2">
        <v>43725</v>
      </c>
      <c r="Q940" s="1">
        <v>31</v>
      </c>
      <c r="R940" t="s">
        <v>2974</v>
      </c>
      <c r="S940">
        <v>1099754421</v>
      </c>
    </row>
    <row r="941" spans="1:19" x14ac:dyDescent="0.2">
      <c r="A941" t="str">
        <f t="shared" si="137"/>
        <v>Adult Fiction</v>
      </c>
      <c r="B941" t="str">
        <f>"NEW F YAKHI"</f>
        <v>NEW F YAKHI</v>
      </c>
      <c r="C941" t="s">
        <v>2975</v>
      </c>
      <c r="D941">
        <v>405521</v>
      </c>
      <c r="E941" t="str">
        <f>"Yakhina, Guzel"</f>
        <v>Yakhina, Guzel</v>
      </c>
      <c r="H941" s="1">
        <v>19</v>
      </c>
      <c r="I941">
        <v>2019</v>
      </c>
      <c r="J941" t="str">
        <f t="shared" si="136"/>
        <v>2: Fiction</v>
      </c>
      <c r="L941" t="s">
        <v>2403</v>
      </c>
      <c r="M941" t="s">
        <v>28</v>
      </c>
      <c r="N941" t="s">
        <v>2404</v>
      </c>
      <c r="O941">
        <v>13</v>
      </c>
      <c r="P941" s="2">
        <v>43550</v>
      </c>
      <c r="Q941" s="1">
        <v>32</v>
      </c>
      <c r="R941" t="s">
        <v>2976</v>
      </c>
      <c r="S941">
        <v>1079357555</v>
      </c>
    </row>
    <row r="942" spans="1:19" x14ac:dyDescent="0.2">
      <c r="A942" t="str">
        <f t="shared" si="137"/>
        <v>Adult Fiction</v>
      </c>
      <c r="B942" t="str">
        <f>"NEW F ZACHA"</f>
        <v>NEW F ZACHA</v>
      </c>
      <c r="C942" t="str">
        <f>"Across the great lake"</f>
        <v>Across the great lake</v>
      </c>
      <c r="D942">
        <v>356722</v>
      </c>
      <c r="E942" t="str">
        <f>"Zacharias, Lee"</f>
        <v>Zacharias, Lee</v>
      </c>
      <c r="G942" t="str">
        <f>"236 pages, 23 cm"</f>
        <v>236 pages, 23 cm</v>
      </c>
      <c r="H942" s="1">
        <v>19</v>
      </c>
      <c r="I942">
        <v>2018</v>
      </c>
      <c r="J942" t="str">
        <f t="shared" si="136"/>
        <v>2: Fiction</v>
      </c>
      <c r="L942" t="s">
        <v>2395</v>
      </c>
      <c r="M942" t="s">
        <v>28</v>
      </c>
      <c r="N942" t="s">
        <v>2404</v>
      </c>
      <c r="O942">
        <v>7</v>
      </c>
      <c r="P942" s="2">
        <v>43683</v>
      </c>
      <c r="Q942" s="1">
        <v>29</v>
      </c>
      <c r="R942" t="s">
        <v>2977</v>
      </c>
      <c r="S942">
        <v>1029063684</v>
      </c>
    </row>
    <row r="943" spans="1:19" x14ac:dyDescent="0.2">
      <c r="A943" t="str">
        <f t="shared" si="137"/>
        <v>Adult Fiction</v>
      </c>
      <c r="B943" t="str">
        <f>"NEW F ZAHN"</f>
        <v>NEW F ZAHN</v>
      </c>
      <c r="C943" t="str">
        <f>"Thrawn: treason"</f>
        <v>Thrawn: treason</v>
      </c>
      <c r="D943">
        <v>356995</v>
      </c>
      <c r="E943" t="str">
        <f>"Zahn, Timothy"</f>
        <v>Zahn, Timothy</v>
      </c>
      <c r="G943" t="str">
        <f>"333 pages, 25 cm"</f>
        <v>333 pages, 25 cm</v>
      </c>
      <c r="H943" s="1">
        <v>19</v>
      </c>
      <c r="I943">
        <v>2019</v>
      </c>
      <c r="J943" t="str">
        <f t="shared" si="136"/>
        <v>2: Fiction</v>
      </c>
      <c r="L943" t="s">
        <v>2403</v>
      </c>
      <c r="M943" t="s">
        <v>28</v>
      </c>
      <c r="N943" t="s">
        <v>2404</v>
      </c>
      <c r="O943">
        <v>4</v>
      </c>
      <c r="P943" s="2">
        <v>43696</v>
      </c>
      <c r="Q943" s="1">
        <v>34</v>
      </c>
      <c r="R943" t="s">
        <v>2978</v>
      </c>
      <c r="S943">
        <v>1107797945</v>
      </c>
    </row>
    <row r="944" spans="1:19" x14ac:dyDescent="0.2">
      <c r="A944" t="str">
        <f t="shared" si="137"/>
        <v>Adult Fiction</v>
      </c>
      <c r="B944" t="str">
        <f>"NEW F ZENTN"</f>
        <v>NEW F ZENTN</v>
      </c>
      <c r="C944" t="s">
        <v>2979</v>
      </c>
      <c r="D944">
        <v>357278</v>
      </c>
      <c r="E944" t="str">
        <f>"Zentner, Alexi,"</f>
        <v>Zentner, Alexi,</v>
      </c>
      <c r="G944" t="str">
        <f>"350 pages, 24 cm"</f>
        <v>350 pages, 24 cm</v>
      </c>
      <c r="H944" s="1">
        <v>19</v>
      </c>
      <c r="I944">
        <v>2019</v>
      </c>
      <c r="J944" t="str">
        <f t="shared" si="136"/>
        <v>2: Fiction</v>
      </c>
      <c r="L944" t="s">
        <v>2395</v>
      </c>
      <c r="M944" t="s">
        <v>28</v>
      </c>
      <c r="N944" t="s">
        <v>2396</v>
      </c>
      <c r="O944">
        <v>2</v>
      </c>
      <c r="P944" s="2">
        <v>43711</v>
      </c>
      <c r="Q944" s="1">
        <v>31</v>
      </c>
      <c r="R944" t="s">
        <v>2980</v>
      </c>
      <c r="S944">
        <v>1076495376</v>
      </c>
    </row>
    <row r="945" spans="1:19" x14ac:dyDescent="0.2">
      <c r="A945" t="str">
        <f t="shared" si="137"/>
        <v>Adult Fiction</v>
      </c>
      <c r="B945" t="str">
        <f>"NEW F ZIGAL"</f>
        <v>NEW F ZIGAL</v>
      </c>
      <c r="C945" t="str">
        <f>"Outcry witness"</f>
        <v>Outcry witness</v>
      </c>
      <c r="D945">
        <v>355429</v>
      </c>
      <c r="E945" t="str">
        <f>"Zigal, Thomas"</f>
        <v>Zigal, Thomas</v>
      </c>
      <c r="G945" t="str">
        <f>"pages cm"</f>
        <v>pages cm</v>
      </c>
      <c r="H945" s="1">
        <v>19</v>
      </c>
      <c r="I945">
        <v>2019</v>
      </c>
      <c r="J945" t="str">
        <f t="shared" si="136"/>
        <v>2: Fiction</v>
      </c>
      <c r="L945" t="s">
        <v>2395</v>
      </c>
      <c r="M945" t="s">
        <v>28</v>
      </c>
      <c r="N945" t="s">
        <v>2404</v>
      </c>
      <c r="O945">
        <v>9</v>
      </c>
      <c r="P945" s="2">
        <v>43626</v>
      </c>
      <c r="Q945" s="1">
        <v>34</v>
      </c>
      <c r="R945" t="s">
        <v>2981</v>
      </c>
      <c r="S945">
        <v>1078879350</v>
      </c>
    </row>
    <row r="946" spans="1:19" x14ac:dyDescent="0.2">
      <c r="A946" t="str">
        <f t="shared" si="137"/>
        <v>Adult Fiction</v>
      </c>
      <c r="B946" t="str">
        <f>"NEW F ZINK"</f>
        <v>NEW F ZINK</v>
      </c>
      <c r="C946" t="str">
        <f>"Doxology: a novel"</f>
        <v>Doxology: a novel</v>
      </c>
      <c r="D946">
        <v>357335</v>
      </c>
      <c r="E946" t="str">
        <f>"Zink, Nell."</f>
        <v>Zink, Nell.</v>
      </c>
      <c r="G946" t="str">
        <f>"402 pages, 24 cm"</f>
        <v>402 pages, 24 cm</v>
      </c>
      <c r="H946" s="1">
        <v>19</v>
      </c>
      <c r="I946">
        <v>2019</v>
      </c>
      <c r="J946" t="str">
        <f t="shared" si="136"/>
        <v>2: Fiction</v>
      </c>
      <c r="L946" t="s">
        <v>2395</v>
      </c>
      <c r="M946" t="s">
        <v>28</v>
      </c>
      <c r="N946" t="s">
        <v>2396</v>
      </c>
      <c r="O946">
        <v>3</v>
      </c>
      <c r="P946" s="2">
        <v>43711</v>
      </c>
      <c r="Q946" s="1">
        <v>33</v>
      </c>
      <c r="R946" t="s">
        <v>2982</v>
      </c>
      <c r="S946">
        <v>1061867005</v>
      </c>
    </row>
    <row r="947" spans="1:19" x14ac:dyDescent="0.2">
      <c r="A947" t="str">
        <f t="shared" ref="A947:A974" si="144">"Adult Graphic Novels"</f>
        <v>Adult Graphic Novels</v>
      </c>
      <c r="B947" t="str">
        <f>"NEW ADULT GN AHMED"</f>
        <v>NEW ADULT GN AHMED</v>
      </c>
      <c r="C947" t="s">
        <v>2983</v>
      </c>
      <c r="D947">
        <v>351069</v>
      </c>
      <c r="E947" t="str">
        <f>"Ahmed, Saladin."</f>
        <v>Ahmed, Saladin.</v>
      </c>
      <c r="G947" t="s">
        <v>2152</v>
      </c>
      <c r="H947" s="1">
        <v>18</v>
      </c>
      <c r="I947">
        <v>2018</v>
      </c>
      <c r="J947" t="str">
        <f t="shared" ref="J947:J974" si="145">"67: Adult Graphic Novels"</f>
        <v>67: Adult Graphic Novels</v>
      </c>
      <c r="L947" t="s">
        <v>2395</v>
      </c>
      <c r="M947" t="s">
        <v>28</v>
      </c>
      <c r="N947" t="s">
        <v>2401</v>
      </c>
      <c r="O947">
        <v>1</v>
      </c>
      <c r="P947" s="2">
        <v>43406</v>
      </c>
      <c r="Q947" s="1">
        <v>23</v>
      </c>
      <c r="R947" t="s">
        <v>2984</v>
      </c>
      <c r="S947">
        <v>1023604247</v>
      </c>
    </row>
    <row r="948" spans="1:19" x14ac:dyDescent="0.2">
      <c r="A948" t="str">
        <f t="shared" si="144"/>
        <v>Adult Graphic Novels</v>
      </c>
      <c r="B948" t="str">
        <f>"NEW ADULT GN BRUBA"</f>
        <v>NEW ADULT GN BRUBA</v>
      </c>
      <c r="C948" t="str">
        <f>"Bad weekend: a Criminal novella"</f>
        <v>Bad weekend: a Criminal novella</v>
      </c>
      <c r="D948">
        <v>356856</v>
      </c>
      <c r="E948" t="str">
        <f>"Brubaker, Ed"</f>
        <v>Brubaker, Ed</v>
      </c>
      <c r="G948" t="str">
        <f>"1 volume (unpaged), 27 cm, color illustrations"</f>
        <v>1 volume (unpaged), 27 cm, color illustrations</v>
      </c>
      <c r="H948" s="1">
        <v>19</v>
      </c>
      <c r="I948">
        <v>2019</v>
      </c>
      <c r="J948" t="str">
        <f t="shared" si="145"/>
        <v>67: Adult Graphic Novels</v>
      </c>
      <c r="L948" t="s">
        <v>2395</v>
      </c>
      <c r="M948" t="s">
        <v>28</v>
      </c>
      <c r="N948" t="s">
        <v>2396</v>
      </c>
      <c r="O948">
        <v>2</v>
      </c>
      <c r="P948" s="2">
        <v>43691</v>
      </c>
      <c r="Q948" s="1">
        <v>22</v>
      </c>
      <c r="R948" t="s">
        <v>2985</v>
      </c>
      <c r="S948">
        <v>1098345019</v>
      </c>
    </row>
    <row r="949" spans="1:19" x14ac:dyDescent="0.2">
      <c r="A949" t="str">
        <f t="shared" si="144"/>
        <v>Adult Graphic Novels</v>
      </c>
      <c r="B949" t="str">
        <f>"NEW ADULT GN CONRA"</f>
        <v>NEW ADULT GN CONRA</v>
      </c>
      <c r="C949" t="str">
        <f>"Joseph Conrad's Heart of darkness"</f>
        <v>Joseph Conrad's Heart of darkness</v>
      </c>
      <c r="D949">
        <v>359023</v>
      </c>
      <c r="E949" t="str">
        <f>"Kuper, Peter,"</f>
        <v>Kuper, Peter,</v>
      </c>
      <c r="G949" t="str">
        <f>"1 volume (unpaged), 24 cm, chiefly illustrations"</f>
        <v>1 volume (unpaged), 24 cm, chiefly illustrations</v>
      </c>
      <c r="H949" s="1">
        <v>19</v>
      </c>
      <c r="I949">
        <v>2020</v>
      </c>
      <c r="J949" t="str">
        <f t="shared" si="145"/>
        <v>67: Adult Graphic Novels</v>
      </c>
      <c r="L949" t="s">
        <v>2395</v>
      </c>
      <c r="M949" t="s">
        <v>28</v>
      </c>
      <c r="N949" t="s">
        <v>2396</v>
      </c>
      <c r="O949">
        <v>1</v>
      </c>
      <c r="P949" s="2">
        <v>43776</v>
      </c>
      <c r="Q949" s="1">
        <v>27</v>
      </c>
      <c r="R949" t="s">
        <v>2986</v>
      </c>
      <c r="S949">
        <v>1098229676</v>
      </c>
    </row>
    <row r="950" spans="1:19" x14ac:dyDescent="0.2">
      <c r="A950" t="str">
        <f t="shared" si="144"/>
        <v>Adult Graphic Novels</v>
      </c>
      <c r="B950" t="str">
        <f>"NEW ADULT GN CRYAN"</f>
        <v>NEW ADULT GN CRYAN</v>
      </c>
      <c r="C950" t="str">
        <f>"Capitalism: a graphic guide"</f>
        <v>Capitalism: a graphic guide</v>
      </c>
      <c r="D950">
        <v>360425</v>
      </c>
      <c r="E950" t="str">
        <f>"Shatil, Sharron"</f>
        <v>Shatil, Sharron</v>
      </c>
      <c r="G950" t="str">
        <f>"201 p."</f>
        <v>201 p.</v>
      </c>
      <c r="H950" s="1">
        <v>20</v>
      </c>
      <c r="I950">
        <v>2019</v>
      </c>
      <c r="J950" t="str">
        <f t="shared" si="145"/>
        <v>67: Adult Graphic Novels</v>
      </c>
      <c r="L950" t="s">
        <v>2395</v>
      </c>
      <c r="M950" t="s">
        <v>28</v>
      </c>
      <c r="N950" t="s">
        <v>2495</v>
      </c>
      <c r="O950">
        <v>0</v>
      </c>
      <c r="P950" s="2">
        <v>43851</v>
      </c>
      <c r="Q950" s="1">
        <v>24</v>
      </c>
      <c r="R950" t="s">
        <v>2987</v>
      </c>
      <c r="S950">
        <v>1049780583</v>
      </c>
    </row>
    <row r="951" spans="1:19" x14ac:dyDescent="0.2">
      <c r="A951" t="str">
        <f t="shared" si="144"/>
        <v>Adult Graphic Novels</v>
      </c>
      <c r="B951" t="str">
        <f>"NEW ADULT GN DANDR"</f>
        <v>NEW ADULT GN DANDR</v>
      </c>
      <c r="C951" t="str">
        <f>"King of King Court"</f>
        <v>King of King Court</v>
      </c>
      <c r="D951">
        <v>357107</v>
      </c>
      <c r="E951" t="str">
        <f>"Dandro, Travis,"</f>
        <v>Dandro, Travis,</v>
      </c>
      <c r="G951" t="str">
        <f>"1 volume (unpaged), 23 cm, chiefly illustrations"</f>
        <v>1 volume (unpaged), 23 cm, chiefly illustrations</v>
      </c>
      <c r="H951" s="1">
        <v>19</v>
      </c>
      <c r="I951">
        <v>2019</v>
      </c>
      <c r="J951" t="str">
        <f t="shared" si="145"/>
        <v>67: Adult Graphic Novels</v>
      </c>
      <c r="L951" t="s">
        <v>2395</v>
      </c>
      <c r="M951" t="s">
        <v>28</v>
      </c>
      <c r="N951" t="s">
        <v>2396</v>
      </c>
      <c r="O951">
        <v>0</v>
      </c>
      <c r="P951" s="2">
        <v>43704</v>
      </c>
      <c r="Q951" s="1">
        <v>35</v>
      </c>
      <c r="R951" t="s">
        <v>2988</v>
      </c>
      <c r="S951">
        <v>1053484077</v>
      </c>
    </row>
    <row r="952" spans="1:19" x14ac:dyDescent="0.2">
      <c r="A952" t="str">
        <f t="shared" si="144"/>
        <v>Adult Graphic Novels</v>
      </c>
      <c r="B952" t="str">
        <f>"NEW ADULT GN DAVIS"</f>
        <v>NEW ADULT GN DAVIS</v>
      </c>
      <c r="C952" t="str">
        <f>"The hard tomorrow"</f>
        <v>The hard tomorrow</v>
      </c>
      <c r="D952">
        <v>358541</v>
      </c>
      <c r="E952" t="str">
        <f>"Davis, Eleanor,"</f>
        <v>Davis, Eleanor,</v>
      </c>
      <c r="G952" t="str">
        <f>"139 pages, 24 cm, chiefly black and white illustrations"</f>
        <v>139 pages, 24 cm, chiefly black and white illustrations</v>
      </c>
      <c r="H952" s="1">
        <v>19</v>
      </c>
      <c r="I952">
        <v>2019</v>
      </c>
      <c r="J952" t="str">
        <f t="shared" si="145"/>
        <v>67: Adult Graphic Novels</v>
      </c>
      <c r="L952" t="s">
        <v>2403</v>
      </c>
      <c r="M952" t="s">
        <v>28</v>
      </c>
      <c r="N952" t="s">
        <v>2396</v>
      </c>
      <c r="O952">
        <v>3</v>
      </c>
      <c r="P952" s="2">
        <v>43756</v>
      </c>
      <c r="Q952" s="1">
        <v>30</v>
      </c>
      <c r="R952" t="s">
        <v>2989</v>
      </c>
      <c r="S952">
        <v>1080276172</v>
      </c>
    </row>
    <row r="953" spans="1:19" x14ac:dyDescent="0.2">
      <c r="A953" t="str">
        <f t="shared" si="144"/>
        <v>Adult Graphic Novels</v>
      </c>
      <c r="B953" t="str">
        <f>"NEW ADULT GN DUNN"</f>
        <v>NEW ADULT GN DUNN</v>
      </c>
      <c r="C953" t="str">
        <f>"Bury the lede"</f>
        <v>Bury the lede</v>
      </c>
      <c r="D953">
        <v>359366</v>
      </c>
      <c r="E953" t="str">
        <f>"Dunn, Gaby"</f>
        <v>Dunn, Gaby</v>
      </c>
      <c r="G953" t="str">
        <f>"1 volume (unpaged), 26 cm, chiefly color illustrations"</f>
        <v>1 volume (unpaged), 26 cm, chiefly color illustrations</v>
      </c>
      <c r="H953" s="1">
        <v>19</v>
      </c>
      <c r="I953">
        <v>2019</v>
      </c>
      <c r="J953" t="str">
        <f t="shared" si="145"/>
        <v>67: Adult Graphic Novels</v>
      </c>
      <c r="L953" t="s">
        <v>2395</v>
      </c>
      <c r="M953" t="s">
        <v>28</v>
      </c>
      <c r="N953" t="s">
        <v>2396</v>
      </c>
      <c r="O953">
        <v>2</v>
      </c>
      <c r="P953" s="2">
        <v>43788</v>
      </c>
      <c r="Q953" s="1">
        <v>25</v>
      </c>
      <c r="R953" t="s">
        <v>2990</v>
      </c>
      <c r="S953">
        <v>1085777025</v>
      </c>
    </row>
    <row r="954" spans="1:19" x14ac:dyDescent="0.2">
      <c r="A954" t="str">
        <f t="shared" si="144"/>
        <v>Adult Graphic Novels</v>
      </c>
      <c r="B954" t="str">
        <f>"NEW ADULT GN ENNIS"</f>
        <v>NEW ADULT GN ENNIS</v>
      </c>
      <c r="C954" t="s">
        <v>2991</v>
      </c>
      <c r="D954">
        <v>408519</v>
      </c>
      <c r="E954" t="str">
        <f>"Ennis, Garth"</f>
        <v>Ennis, Garth</v>
      </c>
      <c r="G954" t="str">
        <f>"1 volume (unpaged), 29 cm, chiefly illustrations"</f>
        <v>1 volume (unpaged), 29 cm, chiefly illustrations</v>
      </c>
      <c r="H954" s="1">
        <v>19</v>
      </c>
      <c r="I954">
        <v>2018</v>
      </c>
      <c r="J954" t="str">
        <f t="shared" si="145"/>
        <v>67: Adult Graphic Novels</v>
      </c>
      <c r="L954" t="s">
        <v>2403</v>
      </c>
      <c r="M954" t="s">
        <v>28</v>
      </c>
      <c r="N954" t="s">
        <v>2396</v>
      </c>
      <c r="O954">
        <v>0</v>
      </c>
      <c r="P954" s="2">
        <v>43811</v>
      </c>
      <c r="Q954" s="1">
        <v>25</v>
      </c>
      <c r="R954" t="s">
        <v>2992</v>
      </c>
      <c r="S954">
        <v>1091988159</v>
      </c>
    </row>
    <row r="955" spans="1:19" x14ac:dyDescent="0.2">
      <c r="A955" t="str">
        <f t="shared" si="144"/>
        <v>Adult Graphic Novels</v>
      </c>
      <c r="B955" t="str">
        <f>"NEW ADULT GN FINCK"</f>
        <v>NEW ADULT GN FINCK</v>
      </c>
      <c r="C955" t="str">
        <f>"Excuse me: cartoons, complaints, and notes to self"</f>
        <v>Excuse me: cartoons, complaints, and notes to self</v>
      </c>
      <c r="D955">
        <v>358695</v>
      </c>
      <c r="E955" t="str">
        <f>"Finck, Liana."</f>
        <v>Finck, Liana.</v>
      </c>
      <c r="G955" t="str">
        <f>"399 p."</f>
        <v>399 p.</v>
      </c>
      <c r="H955" s="1">
        <v>19</v>
      </c>
      <c r="I955">
        <v>2019</v>
      </c>
      <c r="J955" t="str">
        <f t="shared" si="145"/>
        <v>67: Adult Graphic Novels</v>
      </c>
      <c r="L955" t="s">
        <v>2395</v>
      </c>
      <c r="M955" t="s">
        <v>28</v>
      </c>
      <c r="N955" t="s">
        <v>2396</v>
      </c>
      <c r="O955">
        <v>2</v>
      </c>
      <c r="P955" s="2">
        <v>43762</v>
      </c>
      <c r="Q955" s="1">
        <v>25</v>
      </c>
      <c r="R955" t="s">
        <v>2993</v>
      </c>
      <c r="S955">
        <v>1080587436</v>
      </c>
    </row>
    <row r="956" spans="1:19" x14ac:dyDescent="0.2">
      <c r="A956" t="str">
        <f t="shared" si="144"/>
        <v>Adult Graphic Novels</v>
      </c>
      <c r="B956" t="str">
        <f>"NEW ADULT GN GAIMA"</f>
        <v>NEW ADULT GN GAIMA</v>
      </c>
      <c r="C956" t="str">
        <f>"Snow, glass, apples"</f>
        <v>Snow, glass, apples</v>
      </c>
      <c r="D956">
        <v>357112</v>
      </c>
      <c r="E956" t="str">
        <f>"Gaiman, Neil"</f>
        <v>Gaiman, Neil</v>
      </c>
      <c r="G956" t="str">
        <f>"1 volume (unpaged), 27 am, illustrations"</f>
        <v>1 volume (unpaged), 27 am, illustrations</v>
      </c>
      <c r="H956" s="1">
        <v>19</v>
      </c>
      <c r="I956">
        <v>2019</v>
      </c>
      <c r="J956" t="str">
        <f t="shared" si="145"/>
        <v>67: Adult Graphic Novels</v>
      </c>
      <c r="L956" t="s">
        <v>2395</v>
      </c>
      <c r="M956" t="s">
        <v>28</v>
      </c>
      <c r="N956" t="s">
        <v>2404</v>
      </c>
      <c r="O956">
        <v>8</v>
      </c>
      <c r="P956" s="2">
        <v>43704</v>
      </c>
      <c r="Q956" s="1">
        <v>23</v>
      </c>
      <c r="R956" t="s">
        <v>2994</v>
      </c>
    </row>
    <row r="957" spans="1:19" x14ac:dyDescent="0.2">
      <c r="A957" t="str">
        <f t="shared" si="144"/>
        <v>Adult Graphic Novels</v>
      </c>
      <c r="B957" t="str">
        <f>"NEW ADULT GN GENDRY"</f>
        <v>NEW ADULT GN GENDRY</v>
      </c>
      <c r="C957" t="s">
        <v>2995</v>
      </c>
      <c r="D957">
        <v>357895</v>
      </c>
      <c r="E957" t="str">
        <f>"Gendry-Kim, Keum Suk"</f>
        <v>Gendry-Kim, Keum Suk</v>
      </c>
      <c r="G957" t="str">
        <f>"471 pages, 22 cm, chiefly illustrations, maps"</f>
        <v>471 pages, 22 cm, chiefly illustrations, maps</v>
      </c>
      <c r="H957" s="1">
        <v>19</v>
      </c>
      <c r="I957">
        <v>2019</v>
      </c>
      <c r="J957" t="str">
        <f t="shared" si="145"/>
        <v>67: Adult Graphic Novels</v>
      </c>
      <c r="L957" t="s">
        <v>2395</v>
      </c>
      <c r="M957" t="s">
        <v>28</v>
      </c>
      <c r="N957" t="s">
        <v>2396</v>
      </c>
      <c r="O957">
        <v>1</v>
      </c>
      <c r="P957" s="2">
        <v>43732</v>
      </c>
      <c r="Q957" s="1">
        <v>35</v>
      </c>
      <c r="R957" t="s">
        <v>2996</v>
      </c>
      <c r="S957">
        <v>1053577520</v>
      </c>
    </row>
    <row r="958" spans="1:19" x14ac:dyDescent="0.2">
      <c r="A958" t="str">
        <f t="shared" si="144"/>
        <v>Adult Graphic Novels</v>
      </c>
      <c r="B958" t="str">
        <f>"NEW ADULT GN HEATL"</f>
        <v>NEW ADULT GN HEATL</v>
      </c>
      <c r="C958" t="str">
        <f>"Qualification: a graphic memoir in twelve steps"</f>
        <v>Qualification: a graphic memoir in twelve steps</v>
      </c>
      <c r="D958">
        <v>358269</v>
      </c>
      <c r="E958" t="str">
        <f>"Heatley, David"</f>
        <v>Heatley, David</v>
      </c>
      <c r="G958" t="str">
        <f>"415 p."</f>
        <v>415 p.</v>
      </c>
      <c r="H958" s="1">
        <v>19</v>
      </c>
      <c r="I958">
        <v>2019</v>
      </c>
      <c r="J958" t="str">
        <f t="shared" si="145"/>
        <v>67: Adult Graphic Novels</v>
      </c>
      <c r="L958" t="s">
        <v>2395</v>
      </c>
      <c r="M958" t="s">
        <v>28</v>
      </c>
      <c r="N958" t="s">
        <v>2396</v>
      </c>
      <c r="O958">
        <v>1</v>
      </c>
      <c r="P958" s="2">
        <v>43745</v>
      </c>
      <c r="Q958" s="1">
        <v>32</v>
      </c>
      <c r="R958" t="s">
        <v>2997</v>
      </c>
      <c r="S958">
        <v>1081398056</v>
      </c>
    </row>
    <row r="959" spans="1:19" x14ac:dyDescent="0.2">
      <c r="A959" t="str">
        <f t="shared" si="144"/>
        <v>Adult Graphic Novels</v>
      </c>
      <c r="B959" t="str">
        <f>"NEW ADULT GN HERTZ"</f>
        <v>NEW ADULT GN HERTZ</v>
      </c>
      <c r="C959" t="str">
        <f>"The end of the world"</f>
        <v>The end of the world</v>
      </c>
      <c r="D959">
        <v>358107</v>
      </c>
      <c r="E959" t="str">
        <f>"Hertzfeldt, Don."</f>
        <v>Hertzfeldt, Don.</v>
      </c>
      <c r="G959" t="str">
        <f>"224 p."</f>
        <v>224 p.</v>
      </c>
      <c r="H959" s="1">
        <v>19</v>
      </c>
      <c r="I959">
        <v>2019</v>
      </c>
      <c r="J959" t="str">
        <f t="shared" si="145"/>
        <v>67: Adult Graphic Novels</v>
      </c>
      <c r="L959" t="s">
        <v>2395</v>
      </c>
      <c r="M959" t="s">
        <v>28</v>
      </c>
      <c r="N959" t="s">
        <v>2396</v>
      </c>
      <c r="O959">
        <v>1</v>
      </c>
      <c r="P959" s="2">
        <v>43740</v>
      </c>
      <c r="Q959" s="1">
        <v>41</v>
      </c>
      <c r="R959" t="s">
        <v>2998</v>
      </c>
      <c r="S959">
        <v>1122727086</v>
      </c>
    </row>
    <row r="960" spans="1:19" x14ac:dyDescent="0.2">
      <c r="A960" t="str">
        <f t="shared" si="144"/>
        <v>Adult Graphic Novels</v>
      </c>
      <c r="B960" t="str">
        <f>"NEW ADULT GN JENSE"</f>
        <v>NEW ADULT GN JENSE</v>
      </c>
      <c r="C960" t="str">
        <f>"Two dead"</f>
        <v>Two dead</v>
      </c>
      <c r="D960">
        <v>359689</v>
      </c>
      <c r="E960" t="str">
        <f>"Jensen, Van"</f>
        <v>Jensen, Van</v>
      </c>
      <c r="H960" s="1">
        <v>19</v>
      </c>
      <c r="I960">
        <v>2019</v>
      </c>
      <c r="J960" t="str">
        <f t="shared" si="145"/>
        <v>67: Adult Graphic Novels</v>
      </c>
      <c r="L960" t="s">
        <v>2403</v>
      </c>
      <c r="M960" t="s">
        <v>28</v>
      </c>
      <c r="N960" t="s">
        <v>2404</v>
      </c>
      <c r="O960">
        <v>2</v>
      </c>
      <c r="P960" s="2">
        <v>43804</v>
      </c>
      <c r="Q960" s="1">
        <v>25</v>
      </c>
      <c r="R960" t="s">
        <v>2999</v>
      </c>
      <c r="S960">
        <v>1128198585</v>
      </c>
    </row>
    <row r="961" spans="1:19" x14ac:dyDescent="0.2">
      <c r="A961" t="str">
        <f t="shared" si="144"/>
        <v>Adult Graphic Novels</v>
      </c>
      <c r="B961" t="str">
        <f>"NEW ADULT GN MARTI"</f>
        <v>NEW ADULT GN MARTI</v>
      </c>
      <c r="C961" t="str">
        <f>"A clash of kings: graphic novel"</f>
        <v>A clash of kings: graphic novel</v>
      </c>
      <c r="D961">
        <v>358101</v>
      </c>
      <c r="E961" t="str">
        <f>"Martin, George R. R."</f>
        <v>Martin, George R. R.</v>
      </c>
      <c r="F961" t="str">
        <f>"Game of Thrones Graphic Novel series (2)"</f>
        <v>Game of Thrones Graphic Novel series (2)</v>
      </c>
      <c r="G961" t="str">
        <f>"192 p."</f>
        <v>192 p.</v>
      </c>
      <c r="H961" s="1">
        <v>19</v>
      </c>
      <c r="I961">
        <v>2019</v>
      </c>
      <c r="J961" t="str">
        <f t="shared" si="145"/>
        <v>67: Adult Graphic Novels</v>
      </c>
      <c r="L961" t="s">
        <v>2395</v>
      </c>
      <c r="M961" t="s">
        <v>28</v>
      </c>
      <c r="N961" t="s">
        <v>2396</v>
      </c>
      <c r="O961">
        <v>2</v>
      </c>
      <c r="P961" s="2">
        <v>43740</v>
      </c>
      <c r="Q961" s="1">
        <v>33</v>
      </c>
      <c r="R961" t="s">
        <v>3000</v>
      </c>
      <c r="S961">
        <v>1117561608</v>
      </c>
    </row>
    <row r="962" spans="1:19" x14ac:dyDescent="0.2">
      <c r="A962" t="str">
        <f t="shared" si="144"/>
        <v>Adult Graphic Novels</v>
      </c>
      <c r="B962" t="str">
        <f>"NEW ADULT GN MASTE"</f>
        <v>NEW ADULT GN MASTE</v>
      </c>
      <c r="C962" t="str">
        <f>"The Kitchen"</f>
        <v>The Kitchen</v>
      </c>
      <c r="D962">
        <v>356813</v>
      </c>
      <c r="E962" t="str">
        <f>"Masters, Ollie"</f>
        <v>Masters, Ollie</v>
      </c>
      <c r="G962" t="s">
        <v>2152</v>
      </c>
      <c r="H962" s="1">
        <v>19</v>
      </c>
      <c r="I962">
        <v>2019</v>
      </c>
      <c r="J962" t="str">
        <f t="shared" si="145"/>
        <v>67: Adult Graphic Novels</v>
      </c>
      <c r="L962" t="s">
        <v>2395</v>
      </c>
      <c r="M962" t="s">
        <v>28</v>
      </c>
      <c r="N962" t="s">
        <v>2396</v>
      </c>
      <c r="O962">
        <v>3</v>
      </c>
      <c r="P962" s="2">
        <v>43690</v>
      </c>
      <c r="Q962" s="1">
        <v>18</v>
      </c>
      <c r="R962" t="s">
        <v>3001</v>
      </c>
    </row>
    <row r="963" spans="1:19" x14ac:dyDescent="0.2">
      <c r="A963" t="str">
        <f t="shared" si="144"/>
        <v>Adult Graphic Novels</v>
      </c>
      <c r="B963" t="str">
        <f>"NEW ADULT GN MCELR"</f>
        <v>NEW ADULT GN MCELR</v>
      </c>
      <c r="C963" t="str">
        <f>"The adventure zone, v.2: murder on the Rockport Limited!"</f>
        <v>The adventure zone, v.2: murder on the Rockport Limited!</v>
      </c>
      <c r="D963">
        <v>356643</v>
      </c>
      <c r="E963" t="str">
        <f>"McElroy, Clint"</f>
        <v>McElroy, Clint</v>
      </c>
      <c r="G963" t="str">
        <f>"213 pages, 24 cm, color illustrations"</f>
        <v>213 pages, 24 cm, color illustrations</v>
      </c>
      <c r="H963" s="1">
        <v>19</v>
      </c>
      <c r="I963">
        <v>2019</v>
      </c>
      <c r="J963" t="str">
        <f t="shared" si="145"/>
        <v>67: Adult Graphic Novels</v>
      </c>
      <c r="L963" t="s">
        <v>2403</v>
      </c>
      <c r="M963" t="s">
        <v>28</v>
      </c>
      <c r="N963" t="s">
        <v>2396</v>
      </c>
      <c r="O963">
        <v>2</v>
      </c>
      <c r="P963" s="2">
        <v>43689</v>
      </c>
      <c r="Q963" s="1">
        <v>25</v>
      </c>
      <c r="R963" t="s">
        <v>3002</v>
      </c>
      <c r="S963">
        <v>1103967610</v>
      </c>
    </row>
    <row r="964" spans="1:19" x14ac:dyDescent="0.2">
      <c r="A964" t="str">
        <f t="shared" si="144"/>
        <v>Adult Graphic Novels</v>
      </c>
      <c r="B964" t="str">
        <f>"NEW ADULT GN MCELR"</f>
        <v>NEW ADULT GN MCELR</v>
      </c>
      <c r="C964" t="str">
        <f>"The adventure zone: here there be gerblins"</f>
        <v>The adventure zone: here there be gerblins</v>
      </c>
      <c r="D964">
        <v>356642</v>
      </c>
      <c r="E964" t="str">
        <f>"McElroy, Clint"</f>
        <v>McElroy, Clint</v>
      </c>
      <c r="G964" t="str">
        <f>"238 pages, 23 cm, color illustrations"</f>
        <v>238 pages, 23 cm, color illustrations</v>
      </c>
      <c r="H964" s="1">
        <v>19</v>
      </c>
      <c r="I964">
        <v>2018</v>
      </c>
      <c r="J964" t="str">
        <f t="shared" si="145"/>
        <v>67: Adult Graphic Novels</v>
      </c>
      <c r="L964" t="s">
        <v>2395</v>
      </c>
      <c r="M964" t="s">
        <v>28</v>
      </c>
      <c r="N964" t="s">
        <v>2404</v>
      </c>
      <c r="O964">
        <v>4</v>
      </c>
      <c r="P964" s="2">
        <v>43689</v>
      </c>
      <c r="Q964" s="1">
        <v>25</v>
      </c>
      <c r="R964" t="s">
        <v>3003</v>
      </c>
      <c r="S964">
        <v>993691179</v>
      </c>
    </row>
    <row r="965" spans="1:19" x14ac:dyDescent="0.2">
      <c r="A965" t="str">
        <f t="shared" si="144"/>
        <v>Adult Graphic Novels</v>
      </c>
      <c r="B965" t="str">
        <f>"NEW ADULT GN MON"</f>
        <v>NEW ADULT GN MON</v>
      </c>
      <c r="C965" t="str">
        <f>"Monet: itinerant of light"</f>
        <v>Monet: itinerant of light</v>
      </c>
      <c r="D965">
        <v>352431</v>
      </c>
      <c r="E965" t="str">
        <f>"Rubio, Salva,"</f>
        <v>Rubio, Salva,</v>
      </c>
      <c r="G965" t="str">
        <f>"111 p., 32 cm, chiefly color illustrations"</f>
        <v>111 p., 32 cm, chiefly color illustrations</v>
      </c>
      <c r="H965" s="1">
        <v>19</v>
      </c>
      <c r="I965">
        <v>2017</v>
      </c>
      <c r="J965" t="str">
        <f t="shared" si="145"/>
        <v>67: Adult Graphic Novels</v>
      </c>
      <c r="L965" t="s">
        <v>2395</v>
      </c>
      <c r="M965" t="s">
        <v>28</v>
      </c>
      <c r="N965" t="s">
        <v>2495</v>
      </c>
      <c r="O965">
        <v>0</v>
      </c>
      <c r="P965" s="2">
        <v>43493</v>
      </c>
      <c r="Q965" s="1">
        <v>30</v>
      </c>
      <c r="R965" t="s">
        <v>3004</v>
      </c>
      <c r="S965">
        <v>981953470</v>
      </c>
    </row>
    <row r="966" spans="1:19" x14ac:dyDescent="0.2">
      <c r="A966" t="str">
        <f t="shared" si="144"/>
        <v>Adult Graphic Novels</v>
      </c>
      <c r="B966" t="str">
        <f>"NEW ADULT GN MUELL"</f>
        <v>NEW ADULT GN MUELL</v>
      </c>
      <c r="C966" t="str">
        <f>"The Mueller Report illustrated: the obstruction investigation"</f>
        <v>The Mueller Report illustrated: the obstruction investigation</v>
      </c>
      <c r="D966">
        <v>359872</v>
      </c>
      <c r="E966" t="str">
        <f>"The Washington Post, ."</f>
        <v>The Washington Post, .</v>
      </c>
      <c r="G966" t="str">
        <f>"203 p."</f>
        <v>203 p.</v>
      </c>
      <c r="H966" s="1">
        <v>19</v>
      </c>
      <c r="I966">
        <v>2019</v>
      </c>
      <c r="J966" t="str">
        <f t="shared" si="145"/>
        <v>67: Adult Graphic Novels</v>
      </c>
      <c r="L966" t="s">
        <v>2395</v>
      </c>
      <c r="M966" t="s">
        <v>28</v>
      </c>
      <c r="N966" t="s">
        <v>2396</v>
      </c>
      <c r="O966">
        <v>1</v>
      </c>
      <c r="P966" s="2">
        <v>43815</v>
      </c>
      <c r="Q966" s="1">
        <v>25</v>
      </c>
      <c r="R966" t="s">
        <v>3005</v>
      </c>
      <c r="S966">
        <v>1128368639</v>
      </c>
    </row>
    <row r="967" spans="1:19" x14ac:dyDescent="0.2">
      <c r="A967" t="str">
        <f t="shared" si="144"/>
        <v>Adult Graphic Novels</v>
      </c>
      <c r="B967" t="str">
        <f>"NEW ADULT GN NURY"</f>
        <v>NEW ADULT GN NURY</v>
      </c>
      <c r="C967" t="str">
        <f>"Once upon a time in France"</f>
        <v>Once upon a time in France</v>
      </c>
      <c r="D967">
        <v>357863</v>
      </c>
      <c r="E967" t="str">
        <f>"Nury, Fabien"</f>
        <v>Nury, Fabien</v>
      </c>
      <c r="G967" t="str">
        <f>"359 p."</f>
        <v>359 p.</v>
      </c>
      <c r="H967" s="1">
        <v>19</v>
      </c>
      <c r="I967">
        <v>2019</v>
      </c>
      <c r="J967" t="str">
        <f t="shared" si="145"/>
        <v>67: Adult Graphic Novels</v>
      </c>
      <c r="L967" t="s">
        <v>2395</v>
      </c>
      <c r="M967" t="s">
        <v>28</v>
      </c>
      <c r="N967" t="s">
        <v>2396</v>
      </c>
      <c r="O967">
        <v>2</v>
      </c>
      <c r="P967" s="2">
        <v>43731</v>
      </c>
      <c r="Q967" s="1">
        <v>35</v>
      </c>
      <c r="R967" t="s">
        <v>3006</v>
      </c>
    </row>
    <row r="968" spans="1:19" x14ac:dyDescent="0.2">
      <c r="A968" t="str">
        <f t="shared" si="144"/>
        <v>Adult Graphic Novels</v>
      </c>
      <c r="B968" t="str">
        <f>"NEW ADULT GN PARIS"</f>
        <v>NEW ADULT GN PARIS</v>
      </c>
      <c r="C968" t="str">
        <f>"Basquiat: a graphic novel"</f>
        <v>Basquiat: a graphic novel</v>
      </c>
      <c r="D968">
        <v>407106</v>
      </c>
      <c r="E968" t="str">
        <f>"Parisi, Paolo,"</f>
        <v>Parisi, Paolo,</v>
      </c>
      <c r="G968" t="str">
        <f>"123 pages, 25 cm, chiefly colour illustrations"</f>
        <v>123 pages, 25 cm, chiefly colour illustrations</v>
      </c>
      <c r="H968" s="1">
        <v>19</v>
      </c>
      <c r="I968">
        <v>2019</v>
      </c>
      <c r="J968" t="str">
        <f t="shared" si="145"/>
        <v>67: Adult Graphic Novels</v>
      </c>
      <c r="L968" t="s">
        <v>2403</v>
      </c>
      <c r="M968" t="s">
        <v>28</v>
      </c>
      <c r="N968" t="s">
        <v>2404</v>
      </c>
      <c r="O968">
        <v>3</v>
      </c>
      <c r="P968" s="2">
        <v>43670</v>
      </c>
      <c r="Q968" s="1">
        <v>0</v>
      </c>
      <c r="R968" t="s">
        <v>3007</v>
      </c>
      <c r="S968">
        <v>1090434206</v>
      </c>
    </row>
    <row r="969" spans="1:19" x14ac:dyDescent="0.2">
      <c r="A969" t="str">
        <f t="shared" si="144"/>
        <v>Adult Graphic Novels</v>
      </c>
      <c r="B969" t="str">
        <f>"NEW ADULT GN ROY"</f>
        <v>NEW ADULT GN ROY</v>
      </c>
      <c r="C969" t="str">
        <f>"Hedy Lamarr: an incredible life"</f>
        <v>Hedy Lamarr: an incredible life</v>
      </c>
      <c r="D969">
        <v>352795</v>
      </c>
      <c r="E969" t="str">
        <f>"Roy, William,"</f>
        <v>Roy, William,</v>
      </c>
      <c r="G969" t="str">
        <f>"176 pages, 27 cm, color illustrations"</f>
        <v>176 pages, 27 cm, color illustrations</v>
      </c>
      <c r="H969" s="1">
        <v>19</v>
      </c>
      <c r="I969">
        <v>2018</v>
      </c>
      <c r="J969" t="str">
        <f t="shared" si="145"/>
        <v>67: Adult Graphic Novels</v>
      </c>
      <c r="L969" t="s">
        <v>2395</v>
      </c>
      <c r="M969" t="s">
        <v>28</v>
      </c>
      <c r="N969" t="s">
        <v>2396</v>
      </c>
      <c r="O969">
        <v>3</v>
      </c>
      <c r="P969" s="2">
        <v>43507</v>
      </c>
      <c r="Q969" s="1">
        <v>25</v>
      </c>
      <c r="R969" t="s">
        <v>3008</v>
      </c>
      <c r="S969">
        <v>1033529867</v>
      </c>
    </row>
    <row r="970" spans="1:19" x14ac:dyDescent="0.2">
      <c r="A970" t="str">
        <f t="shared" si="144"/>
        <v>Adult Graphic Novels</v>
      </c>
      <c r="B970" t="str">
        <f>"NEW ADULT GN SATTO"</f>
        <v>NEW ADULT GN SATTO</v>
      </c>
      <c r="C970" t="str">
        <f>"The Arab of the future 4: a graphic memoir : a childhood in the Middle East (1987-1992)"</f>
        <v>The Arab of the future 4: a graphic memoir : a childhood in the Middle East (1987-1992)</v>
      </c>
      <c r="D970">
        <v>359175</v>
      </c>
      <c r="E970" t="str">
        <f>"Sattouf, Riad"</f>
        <v>Sattouf, Riad</v>
      </c>
      <c r="G970" t="str">
        <f>"282 pages, 24 cm, chiefly illustrations (some color)"</f>
        <v>282 pages, 24 cm, chiefly illustrations (some color)</v>
      </c>
      <c r="H970" s="1">
        <v>19</v>
      </c>
      <c r="I970">
        <v>2019</v>
      </c>
      <c r="J970" t="str">
        <f t="shared" si="145"/>
        <v>67: Adult Graphic Novels</v>
      </c>
      <c r="L970" t="s">
        <v>2395</v>
      </c>
      <c r="M970" t="s">
        <v>28</v>
      </c>
      <c r="N970" t="s">
        <v>2396</v>
      </c>
      <c r="O970">
        <v>1</v>
      </c>
      <c r="P970" s="2">
        <v>43782</v>
      </c>
      <c r="Q970" s="1">
        <v>35</v>
      </c>
      <c r="R970" t="s">
        <v>3009</v>
      </c>
      <c r="S970">
        <v>1082542822</v>
      </c>
    </row>
    <row r="971" spans="1:19" x14ac:dyDescent="0.2">
      <c r="A971" t="str">
        <f t="shared" si="144"/>
        <v>Adult Graphic Novels</v>
      </c>
      <c r="B971" t="str">
        <f>"NEW ADULT GN SHADM"</f>
        <v>NEW ADULT GN SHADM</v>
      </c>
      <c r="C971" t="str">
        <f>"The twilight man: Rod Sterling and the birth of television"</f>
        <v>The twilight man: Rod Sterling and the birth of television</v>
      </c>
      <c r="D971">
        <v>358354</v>
      </c>
      <c r="E971" t="str">
        <f>"Shadmi, Koren."</f>
        <v>Shadmi, Koren.</v>
      </c>
      <c r="H971" s="1">
        <v>19</v>
      </c>
      <c r="I971">
        <v>2019</v>
      </c>
      <c r="J971" t="str">
        <f t="shared" si="145"/>
        <v>67: Adult Graphic Novels</v>
      </c>
      <c r="L971" t="s">
        <v>2403</v>
      </c>
      <c r="M971" t="s">
        <v>28</v>
      </c>
      <c r="N971" t="s">
        <v>2396</v>
      </c>
      <c r="O971">
        <v>4</v>
      </c>
      <c r="P971" s="2">
        <v>43749</v>
      </c>
      <c r="Q971" s="1">
        <v>28</v>
      </c>
      <c r="R971" t="s">
        <v>3010</v>
      </c>
      <c r="S971">
        <v>1124444517</v>
      </c>
    </row>
    <row r="972" spans="1:19" x14ac:dyDescent="0.2">
      <c r="A972" t="str">
        <f t="shared" si="144"/>
        <v>Adult Graphic Novels</v>
      </c>
      <c r="B972" t="str">
        <f>"NEW ADULT GN TAKEI"</f>
        <v>NEW ADULT GN TAKEI</v>
      </c>
      <c r="C972" t="str">
        <f>"They called us enemy"</f>
        <v>They called us enemy</v>
      </c>
      <c r="D972">
        <v>356303</v>
      </c>
      <c r="E972" t="str">
        <f>"Takei, George"</f>
        <v>Takei, George</v>
      </c>
      <c r="G972" t="str">
        <f>"204 p."</f>
        <v>204 p.</v>
      </c>
      <c r="H972" s="1">
        <v>19</v>
      </c>
      <c r="I972">
        <v>2019</v>
      </c>
      <c r="J972" t="str">
        <f t="shared" si="145"/>
        <v>67: Adult Graphic Novels</v>
      </c>
      <c r="L972" t="s">
        <v>2395</v>
      </c>
      <c r="M972" t="s">
        <v>28</v>
      </c>
      <c r="N972" t="s">
        <v>2396</v>
      </c>
      <c r="O972">
        <v>7</v>
      </c>
      <c r="P972" s="2">
        <v>43668</v>
      </c>
      <c r="Q972" s="1">
        <v>25</v>
      </c>
      <c r="R972" t="s">
        <v>3011</v>
      </c>
      <c r="S972">
        <v>1057852913</v>
      </c>
    </row>
    <row r="973" spans="1:19" x14ac:dyDescent="0.2">
      <c r="A973" t="str">
        <f t="shared" si="144"/>
        <v>Adult Graphic Novels</v>
      </c>
      <c r="B973" t="str">
        <f>"NEW ADULT GN WARE"</f>
        <v>NEW ADULT GN WARE</v>
      </c>
      <c r="C973" t="str">
        <f>"Rusty Brown"</f>
        <v>Rusty Brown</v>
      </c>
      <c r="D973">
        <v>357934</v>
      </c>
      <c r="E973" t="str">
        <f>"Ware, Chris,"</f>
        <v>Ware, Chris,</v>
      </c>
      <c r="H973" s="1">
        <v>19</v>
      </c>
      <c r="I973">
        <v>2019</v>
      </c>
      <c r="J973" t="str">
        <f t="shared" si="145"/>
        <v>67: Adult Graphic Novels</v>
      </c>
      <c r="L973" t="s">
        <v>2403</v>
      </c>
      <c r="M973" t="s">
        <v>28</v>
      </c>
      <c r="N973" t="s">
        <v>2396</v>
      </c>
      <c r="O973">
        <v>3</v>
      </c>
      <c r="P973" s="2">
        <v>43739</v>
      </c>
      <c r="Q973" s="1">
        <v>40</v>
      </c>
      <c r="R973" t="s">
        <v>3012</v>
      </c>
      <c r="S973">
        <v>1080588667</v>
      </c>
    </row>
    <row r="974" spans="1:19" x14ac:dyDescent="0.2">
      <c r="A974" t="str">
        <f t="shared" si="144"/>
        <v>Adult Graphic Novels</v>
      </c>
      <c r="B974" t="str">
        <f>"NEW ADULT GN WILLI"</f>
        <v>NEW ADULT GN WILLI</v>
      </c>
      <c r="C974" t="str">
        <f>"Commute: an illustrated memoir of female shame"</f>
        <v>Commute: an illustrated memoir of female shame</v>
      </c>
      <c r="D974">
        <v>359012</v>
      </c>
      <c r="E974" t="str">
        <f>"Williams, Erin"</f>
        <v>Williams, Erin</v>
      </c>
      <c r="G974" t="str">
        <f>"295 pages, 21 cm, chiefly illustrations (some color)"</f>
        <v>295 pages, 21 cm, chiefly illustrations (some color)</v>
      </c>
      <c r="H974" s="1">
        <v>19</v>
      </c>
      <c r="I974">
        <v>2019</v>
      </c>
      <c r="J974" t="str">
        <f t="shared" si="145"/>
        <v>67: Adult Graphic Novels</v>
      </c>
      <c r="L974" t="s">
        <v>2395</v>
      </c>
      <c r="M974" t="s">
        <v>28</v>
      </c>
      <c r="N974" t="s">
        <v>2396</v>
      </c>
      <c r="O974">
        <v>1</v>
      </c>
      <c r="P974" s="2">
        <v>43776</v>
      </c>
      <c r="Q974" s="1">
        <v>30</v>
      </c>
      <c r="R974" t="s">
        <v>3013</v>
      </c>
      <c r="S974">
        <v>1086084244</v>
      </c>
    </row>
    <row r="975" spans="1:19" x14ac:dyDescent="0.2">
      <c r="A975" t="str">
        <f t="shared" ref="A975:A1038" si="146">"Adult Nonfiction"</f>
        <v>Adult Nonfiction</v>
      </c>
      <c r="B975" t="str">
        <f>"NEW 001.9 PAS"</f>
        <v>NEW 001.9 PAS</v>
      </c>
      <c r="C975" t="str">
        <f>"American cosmic: UFOs, religion, techonology"</f>
        <v>American cosmic: UFOs, religion, techonology</v>
      </c>
      <c r="D975">
        <v>357877</v>
      </c>
      <c r="E975" t="str">
        <f>"Pasulka, Diana Walsh"</f>
        <v>Pasulka, Diana Walsh</v>
      </c>
      <c r="G975" t="str">
        <f>"xvi, 269 pages, 22 cm, illustrations"</f>
        <v>xvi, 269 pages, 22 cm, illustrations</v>
      </c>
      <c r="H975" s="1">
        <v>19</v>
      </c>
      <c r="I975">
        <v>2019</v>
      </c>
      <c r="J975" t="str">
        <f t="shared" ref="J975:J1038" si="147">"7: 000 - 199"</f>
        <v>7: 000 - 199</v>
      </c>
      <c r="L975" t="s">
        <v>2403</v>
      </c>
      <c r="M975" t="s">
        <v>28</v>
      </c>
      <c r="N975" t="s">
        <v>2396</v>
      </c>
      <c r="O975">
        <v>0</v>
      </c>
      <c r="P975" s="2">
        <v>43733</v>
      </c>
      <c r="Q975" s="1">
        <v>30</v>
      </c>
      <c r="R975" t="s">
        <v>3014</v>
      </c>
      <c r="S975">
        <v>1055569358</v>
      </c>
    </row>
    <row r="976" spans="1:19" x14ac:dyDescent="0.2">
      <c r="A976" t="str">
        <f t="shared" si="146"/>
        <v>Adult Nonfiction</v>
      </c>
      <c r="B976" t="str">
        <f>"NEW 005.1 MAE"</f>
        <v>NEW 005.1 MAE</v>
      </c>
      <c r="C976" t="str">
        <f>"How to speak machine: computational thinking for the rest of us"</f>
        <v>How to speak machine: computational thinking for the rest of us</v>
      </c>
      <c r="D976">
        <v>359863</v>
      </c>
      <c r="E976" t="str">
        <f>"Maeda, John"</f>
        <v>Maeda, John</v>
      </c>
      <c r="G976" t="str">
        <f>"xv, 224 pages, 22 cm, illustrations"</f>
        <v>xv, 224 pages, 22 cm, illustrations</v>
      </c>
      <c r="H976" s="1">
        <v>19</v>
      </c>
      <c r="I976">
        <v>2019</v>
      </c>
      <c r="J976" t="str">
        <f t="shared" si="147"/>
        <v>7: 000 - 199</v>
      </c>
      <c r="L976" t="s">
        <v>2395</v>
      </c>
      <c r="M976" t="s">
        <v>28</v>
      </c>
      <c r="N976" t="s">
        <v>2404</v>
      </c>
      <c r="O976">
        <v>2</v>
      </c>
      <c r="P976" s="2">
        <v>43815</v>
      </c>
      <c r="Q976" s="1">
        <v>31</v>
      </c>
      <c r="R976" t="s">
        <v>3015</v>
      </c>
      <c r="S976">
        <v>1120198200</v>
      </c>
    </row>
    <row r="977" spans="1:19" x14ac:dyDescent="0.2">
      <c r="A977" t="str">
        <f t="shared" si="146"/>
        <v>Adult Nonfiction</v>
      </c>
      <c r="B977" t="str">
        <f>"NEW 006.3 SHA"</f>
        <v>NEW 006.3 SHA</v>
      </c>
      <c r="C977" t="str">
        <f>"You look like a thing and I love you: how artifical intelligence works and why it's making the world a weirder place"</f>
        <v>You look like a thing and I love you: how artifical intelligence works and why it's making the world a weirder place</v>
      </c>
      <c r="D977">
        <v>359403</v>
      </c>
      <c r="E977" t="str">
        <f>"Shane, Janelle,"</f>
        <v>Shane, Janelle,</v>
      </c>
      <c r="G977" t="str">
        <f>"259 p., 22 cm, illustrations"</f>
        <v>259 p., 22 cm, illustrations</v>
      </c>
      <c r="H977" s="1">
        <v>19</v>
      </c>
      <c r="I977">
        <v>2019</v>
      </c>
      <c r="J977" t="str">
        <f t="shared" si="147"/>
        <v>7: 000 - 199</v>
      </c>
      <c r="L977" t="s">
        <v>2403</v>
      </c>
      <c r="M977" t="s">
        <v>28</v>
      </c>
      <c r="N977" t="s">
        <v>2396</v>
      </c>
      <c r="O977">
        <v>0</v>
      </c>
      <c r="P977" s="2">
        <v>43788</v>
      </c>
      <c r="Q977" s="1">
        <v>33</v>
      </c>
      <c r="R977" t="s">
        <v>3016</v>
      </c>
      <c r="S977">
        <v>1089492362</v>
      </c>
    </row>
    <row r="978" spans="1:19" x14ac:dyDescent="0.2">
      <c r="A978" t="str">
        <f t="shared" si="146"/>
        <v>Adult Nonfiction</v>
      </c>
      <c r="B978" t="str">
        <f>"NEW 006.3 WEB"</f>
        <v>NEW 006.3 WEB</v>
      </c>
      <c r="C978" t="str">
        <f>"The Big Nine: how the tech titans and their thinking machines could warp humanity"</f>
        <v>The Big Nine: how the tech titans and their thinking machines could warp humanity</v>
      </c>
      <c r="D978">
        <v>357272</v>
      </c>
      <c r="E978" t="str">
        <f>"Webb, Amy,"</f>
        <v>Webb, Amy,</v>
      </c>
      <c r="G978" t="str">
        <f>"320 pages, 25 cm"</f>
        <v>320 pages, 25 cm</v>
      </c>
      <c r="H978" s="1">
        <v>19</v>
      </c>
      <c r="I978">
        <v>2019</v>
      </c>
      <c r="J978" t="str">
        <f t="shared" si="147"/>
        <v>7: 000 - 199</v>
      </c>
      <c r="L978" t="s">
        <v>2395</v>
      </c>
      <c r="M978" t="s">
        <v>28</v>
      </c>
      <c r="N978" t="s">
        <v>2404</v>
      </c>
      <c r="O978">
        <v>8</v>
      </c>
      <c r="P978" s="2">
        <v>43711</v>
      </c>
      <c r="Q978" s="1">
        <v>32</v>
      </c>
      <c r="R978" t="s">
        <v>3017</v>
      </c>
      <c r="S978">
        <v>1060183461</v>
      </c>
    </row>
    <row r="979" spans="1:19" x14ac:dyDescent="0.2">
      <c r="A979" t="str">
        <f t="shared" si="146"/>
        <v>Adult Nonfiction</v>
      </c>
      <c r="B979" t="str">
        <f>"NEW 028.5 MOU"</f>
        <v>NEW 028.5 MOU</v>
      </c>
      <c r="C979" t="str">
        <f>"Bibliophile: an illustrated miscellany"</f>
        <v>Bibliophile: an illustrated miscellany</v>
      </c>
      <c r="D979">
        <v>360423</v>
      </c>
      <c r="E979" t="str">
        <f>"Mount, Jane"</f>
        <v>Mount, Jane</v>
      </c>
      <c r="G979" t="str">
        <f>"224 pages, 24 cm, illustrations (chiefly color)"</f>
        <v>224 pages, 24 cm, illustrations (chiefly color)</v>
      </c>
      <c r="H979" s="1">
        <v>20</v>
      </c>
      <c r="I979">
        <v>2018</v>
      </c>
      <c r="J979" t="str">
        <f t="shared" si="147"/>
        <v>7: 000 - 199</v>
      </c>
      <c r="L979" t="s">
        <v>2395</v>
      </c>
      <c r="M979" t="s">
        <v>28</v>
      </c>
      <c r="N979" t="s">
        <v>2495</v>
      </c>
      <c r="O979">
        <v>0</v>
      </c>
      <c r="P979" s="2">
        <v>43851</v>
      </c>
      <c r="Q979" s="1">
        <v>30</v>
      </c>
      <c r="R979" t="s">
        <v>3018</v>
      </c>
      <c r="S979">
        <v>1048027692</v>
      </c>
    </row>
    <row r="980" spans="1:19" x14ac:dyDescent="0.2">
      <c r="A980" t="str">
        <f t="shared" si="146"/>
        <v>Adult Nonfiction</v>
      </c>
      <c r="B980" t="str">
        <f>"NEW 070.4 BOM"</f>
        <v>NEW 070.4 BOM</v>
      </c>
      <c r="C980" t="str">
        <f>"After the fact: the erosion of truth and the inevitable rise of Donald Trump"</f>
        <v>After the fact: the erosion of truth and the inevitable rise of Donald Trump</v>
      </c>
      <c r="D980">
        <v>357334</v>
      </c>
      <c r="E980" t="str">
        <f>"Bomey, Nathan,"</f>
        <v>Bomey, Nathan,</v>
      </c>
      <c r="G980" t="str">
        <f>"270 p., 24 cm"</f>
        <v>270 p., 24 cm</v>
      </c>
      <c r="H980" s="1">
        <v>19</v>
      </c>
      <c r="I980">
        <v>2018</v>
      </c>
      <c r="J980" t="str">
        <f t="shared" si="147"/>
        <v>7: 000 - 199</v>
      </c>
      <c r="L980" t="s">
        <v>2403</v>
      </c>
      <c r="M980" t="s">
        <v>28</v>
      </c>
      <c r="N980" t="s">
        <v>2396</v>
      </c>
      <c r="O980">
        <v>1</v>
      </c>
      <c r="P980" s="2">
        <v>43711</v>
      </c>
      <c r="Q980" s="1">
        <v>30</v>
      </c>
      <c r="R980" t="s">
        <v>3019</v>
      </c>
      <c r="S980">
        <v>1001305544</v>
      </c>
    </row>
    <row r="981" spans="1:19" x14ac:dyDescent="0.2">
      <c r="A981" t="str">
        <f t="shared" si="146"/>
        <v>Adult Nonfiction</v>
      </c>
      <c r="B981" t="str">
        <f>"NEW 128 HOL"</f>
        <v>NEW 128 HOL</v>
      </c>
      <c r="C981" t="str">
        <f>"Stillness is the key"</f>
        <v>Stillness is the key</v>
      </c>
      <c r="D981">
        <v>359686</v>
      </c>
      <c r="E981" t="str">
        <f>"Holiday, Ryan."</f>
        <v>Holiday, Ryan.</v>
      </c>
      <c r="G981" t="str">
        <f>"xvi, 264 pages, 19 cm"</f>
        <v>xvi, 264 pages, 19 cm</v>
      </c>
      <c r="H981" s="1">
        <v>19</v>
      </c>
      <c r="I981">
        <v>2019</v>
      </c>
      <c r="J981" t="str">
        <f t="shared" si="147"/>
        <v>7: 000 - 199</v>
      </c>
      <c r="L981" t="s">
        <v>2395</v>
      </c>
      <c r="M981" t="s">
        <v>28</v>
      </c>
      <c r="N981" t="s">
        <v>2404</v>
      </c>
      <c r="O981">
        <v>4</v>
      </c>
      <c r="P981" s="2">
        <v>43804</v>
      </c>
      <c r="Q981" s="1">
        <v>30</v>
      </c>
      <c r="R981" t="s">
        <v>3020</v>
      </c>
      <c r="S981">
        <v>1081350727</v>
      </c>
    </row>
    <row r="982" spans="1:19" x14ac:dyDescent="0.2">
      <c r="A982" t="str">
        <f t="shared" si="146"/>
        <v>Adult Nonfiction</v>
      </c>
      <c r="B982" t="str">
        <f>"NEW 152.3 WOO"</f>
        <v>NEW 152.3 WOO</v>
      </c>
      <c r="C982" t="str">
        <f>"Good habits, bad habits: the science of making positive changes that stick"</f>
        <v>Good habits, bad habits: the science of making positive changes that stick</v>
      </c>
      <c r="D982">
        <v>359858</v>
      </c>
      <c r="E982" t="str">
        <f>"Wood, Wendy,"</f>
        <v>Wood, Wendy,</v>
      </c>
      <c r="G982" t="str">
        <f>"viii, 303 pages, 24 cm, illustrations, map"</f>
        <v>viii, 303 pages, 24 cm, illustrations, map</v>
      </c>
      <c r="H982" s="1">
        <v>19</v>
      </c>
      <c r="I982">
        <v>2019</v>
      </c>
      <c r="J982" t="str">
        <f t="shared" si="147"/>
        <v>7: 000 - 199</v>
      </c>
      <c r="L982" t="s">
        <v>2395</v>
      </c>
      <c r="M982" t="s">
        <v>28</v>
      </c>
      <c r="N982" t="s">
        <v>2404</v>
      </c>
      <c r="O982">
        <v>2</v>
      </c>
      <c r="P982" s="2">
        <v>43815</v>
      </c>
      <c r="Q982" s="1">
        <v>33</v>
      </c>
      <c r="R982" t="s">
        <v>3021</v>
      </c>
      <c r="S982">
        <v>1082550628</v>
      </c>
    </row>
    <row r="983" spans="1:19" x14ac:dyDescent="0.2">
      <c r="A983" t="str">
        <f t="shared" si="146"/>
        <v>Adult Nonfiction</v>
      </c>
      <c r="B983" t="str">
        <f>"NEW 152.4 BRA"</f>
        <v>NEW 152.4 BRA</v>
      </c>
      <c r="C983" t="str">
        <f>"Permission to feel: unlocking the power of emotions to help our kids, ourselves, and our society thrive"</f>
        <v>Permission to feel: unlocking the power of emotions to help our kids, ourselves, and our society thrive</v>
      </c>
      <c r="D983">
        <v>357911</v>
      </c>
      <c r="E983" t="str">
        <f>"Brackett, Marc A."</f>
        <v>Brackett, Marc A.</v>
      </c>
      <c r="G983" t="str">
        <f>"292 pages, 25 cm"</f>
        <v>292 pages, 25 cm</v>
      </c>
      <c r="H983" s="1">
        <v>19</v>
      </c>
      <c r="I983">
        <v>2019</v>
      </c>
      <c r="J983" t="str">
        <f t="shared" si="147"/>
        <v>7: 000 - 199</v>
      </c>
      <c r="L983" t="s">
        <v>2395</v>
      </c>
      <c r="M983" t="s">
        <v>28</v>
      </c>
      <c r="N983" t="s">
        <v>2404</v>
      </c>
      <c r="O983">
        <v>6</v>
      </c>
      <c r="P983" s="2">
        <v>43733</v>
      </c>
      <c r="Q983" s="1">
        <v>33</v>
      </c>
      <c r="R983" t="s">
        <v>3022</v>
      </c>
      <c r="S983">
        <v>1114266865</v>
      </c>
    </row>
    <row r="984" spans="1:19" x14ac:dyDescent="0.2">
      <c r="A984" t="str">
        <f t="shared" si="146"/>
        <v>Adult Nonfiction</v>
      </c>
      <c r="B984" t="str">
        <f>"NEW 152.4 KOH"</f>
        <v>NEW 152.4 KOH</v>
      </c>
      <c r="C984" t="str">
        <f>"The opposite of hate: a field guide to repairing our humanity"</f>
        <v>The opposite of hate: a field guide to repairing our humanity</v>
      </c>
      <c r="D984">
        <v>357979</v>
      </c>
      <c r="E984" t="str">
        <f>"Kohn, Sally"</f>
        <v>Kohn, Sally</v>
      </c>
      <c r="G984" t="str">
        <f>"262 pages, 22 cm"</f>
        <v>262 pages, 22 cm</v>
      </c>
      <c r="H984" s="1">
        <v>19</v>
      </c>
      <c r="I984">
        <v>2018</v>
      </c>
      <c r="J984" t="str">
        <f t="shared" si="147"/>
        <v>7: 000 - 199</v>
      </c>
      <c r="L984" t="s">
        <v>2403</v>
      </c>
      <c r="M984" t="s">
        <v>28</v>
      </c>
      <c r="N984" t="s">
        <v>2404</v>
      </c>
      <c r="O984">
        <v>4</v>
      </c>
      <c r="P984" s="2">
        <v>43739</v>
      </c>
      <c r="Q984" s="1">
        <v>33</v>
      </c>
      <c r="R984" t="s">
        <v>3023</v>
      </c>
      <c r="S984">
        <v>1002129840</v>
      </c>
    </row>
    <row r="985" spans="1:19" x14ac:dyDescent="0.2">
      <c r="A985" t="str">
        <f t="shared" si="146"/>
        <v>Adult Nonfiction</v>
      </c>
      <c r="B985" t="str">
        <f>"NEW 152.4 POU"</f>
        <v>NEW 152.4 POU</v>
      </c>
      <c r="C985" t="str">
        <f>"The shame factor: heal your deepest fears and set yourself free"</f>
        <v>The shame factor: heal your deepest fears and set yourself free</v>
      </c>
      <c r="D985">
        <v>360177</v>
      </c>
      <c r="E985" t="str">
        <f>"Poulter, Stephan"</f>
        <v>Poulter, Stephan</v>
      </c>
      <c r="G985" t="str">
        <f>"pages cm"</f>
        <v>pages cm</v>
      </c>
      <c r="H985" s="1">
        <v>19</v>
      </c>
      <c r="I985">
        <v>2019</v>
      </c>
      <c r="J985" t="str">
        <f t="shared" si="147"/>
        <v>7: 000 - 199</v>
      </c>
      <c r="L985" t="s">
        <v>2395</v>
      </c>
      <c r="M985" t="s">
        <v>28</v>
      </c>
      <c r="N985" t="s">
        <v>2396</v>
      </c>
      <c r="O985">
        <v>0</v>
      </c>
      <c r="P985" s="2">
        <v>43833</v>
      </c>
      <c r="Q985" s="1">
        <v>23</v>
      </c>
      <c r="R985" t="s">
        <v>3024</v>
      </c>
      <c r="S985">
        <v>1052460703</v>
      </c>
    </row>
    <row r="986" spans="1:19" x14ac:dyDescent="0.2">
      <c r="A986" t="str">
        <f t="shared" si="146"/>
        <v>Adult Nonfiction</v>
      </c>
      <c r="B986" t="str">
        <f>"NEW 152.4 RUS"</f>
        <v>NEW 152.4 RUS</v>
      </c>
      <c r="C986" t="str">
        <f>"The atlas of happiness: the global secrets of how to be happy"</f>
        <v>The atlas of happiness: the global secrets of how to be happy</v>
      </c>
      <c r="D986">
        <v>360421</v>
      </c>
      <c r="E986" t="str">
        <f>"Russell, Helen"</f>
        <v>Russell, Helen</v>
      </c>
      <c r="G986" t="str">
        <f>"277 pages, 21 cm, color illustrations, color maps"</f>
        <v>277 pages, 21 cm, color illustrations, color maps</v>
      </c>
      <c r="H986" s="1">
        <v>20</v>
      </c>
      <c r="I986">
        <v>2019</v>
      </c>
      <c r="J986" t="str">
        <f t="shared" si="147"/>
        <v>7: 000 - 199</v>
      </c>
      <c r="L986" t="s">
        <v>2395</v>
      </c>
      <c r="M986" t="s">
        <v>28</v>
      </c>
      <c r="N986" t="s">
        <v>2495</v>
      </c>
      <c r="O986">
        <v>0</v>
      </c>
      <c r="P986" s="2">
        <v>43851</v>
      </c>
      <c r="Q986" s="1">
        <v>27</v>
      </c>
      <c r="R986" t="s">
        <v>3025</v>
      </c>
      <c r="S986">
        <v>1090804426</v>
      </c>
    </row>
    <row r="987" spans="1:19" x14ac:dyDescent="0.2">
      <c r="A987" t="str">
        <f t="shared" si="146"/>
        <v>Adult Nonfiction</v>
      </c>
      <c r="B987" t="str">
        <f>"NEW 152.4 WAT"</f>
        <v>NEW 152.4 WAT</v>
      </c>
      <c r="C987" t="str">
        <f>"Schadenfreude: the joy of another's misfortune"</f>
        <v>Schadenfreude: the joy of another's misfortune</v>
      </c>
      <c r="D987">
        <v>352556</v>
      </c>
      <c r="E987" t="str">
        <f>"Watt Smith, Tiffany."</f>
        <v>Watt Smith, Tiffany.</v>
      </c>
      <c r="G987" t="str">
        <f>"143 p."</f>
        <v>143 p.</v>
      </c>
      <c r="H987" s="1">
        <v>19</v>
      </c>
      <c r="I987">
        <v>2018</v>
      </c>
      <c r="J987" t="str">
        <f t="shared" si="147"/>
        <v>7: 000 - 199</v>
      </c>
      <c r="L987" t="s">
        <v>2403</v>
      </c>
      <c r="M987" t="s">
        <v>28</v>
      </c>
      <c r="N987" t="s">
        <v>2401</v>
      </c>
      <c r="O987">
        <v>8</v>
      </c>
      <c r="P987" s="2">
        <v>43493</v>
      </c>
      <c r="Q987" s="1">
        <v>20</v>
      </c>
      <c r="R987" t="s">
        <v>3026</v>
      </c>
    </row>
    <row r="988" spans="1:19" x14ac:dyDescent="0.2">
      <c r="A988" t="str">
        <f t="shared" si="146"/>
        <v>Adult Nonfiction</v>
      </c>
      <c r="B988" t="str">
        <f>"NEW 153 HAR"</f>
        <v>NEW 153 HAR</v>
      </c>
      <c r="C988" t="s">
        <v>3027</v>
      </c>
      <c r="D988">
        <v>355558</v>
      </c>
      <c r="E988" t="str">
        <f>"Harris, Annaka"</f>
        <v>Harris, Annaka</v>
      </c>
      <c r="G988" t="str">
        <f>"130 pages, 20 cm"</f>
        <v>130 pages, 20 cm</v>
      </c>
      <c r="H988" s="1">
        <v>19</v>
      </c>
      <c r="I988">
        <v>2019</v>
      </c>
      <c r="J988" t="str">
        <f t="shared" si="147"/>
        <v>7: 000 - 199</v>
      </c>
      <c r="L988" t="s">
        <v>2395</v>
      </c>
      <c r="M988" t="s">
        <v>28</v>
      </c>
      <c r="N988" t="s">
        <v>2404</v>
      </c>
      <c r="O988">
        <v>6</v>
      </c>
      <c r="P988" s="2">
        <v>43633</v>
      </c>
      <c r="Q988" s="1">
        <v>28</v>
      </c>
      <c r="R988" t="s">
        <v>3028</v>
      </c>
      <c r="S988">
        <v>1091142844</v>
      </c>
    </row>
    <row r="989" spans="1:19" x14ac:dyDescent="0.2">
      <c r="A989" t="str">
        <f t="shared" si="146"/>
        <v>Adult Nonfiction</v>
      </c>
      <c r="B989" t="str">
        <f>"NEW 153 PAR"</f>
        <v>NEW 153 PAR</v>
      </c>
      <c r="C989" t="str">
        <f>"Out of my head: on the trail of consciousness"</f>
        <v>Out of my head: on the trail of consciousness</v>
      </c>
      <c r="D989">
        <v>359206</v>
      </c>
      <c r="E989" t="str">
        <f>"Parks, Tim"</f>
        <v>Parks, Tim</v>
      </c>
      <c r="G989" t="str">
        <f>"311 pages, 22 cm, illustrations"</f>
        <v>311 pages, 22 cm, illustrations</v>
      </c>
      <c r="H989" s="1">
        <v>19</v>
      </c>
      <c r="I989">
        <v>2018</v>
      </c>
      <c r="J989" t="str">
        <f t="shared" si="147"/>
        <v>7: 000 - 199</v>
      </c>
      <c r="L989" t="s">
        <v>2395</v>
      </c>
      <c r="M989" t="s">
        <v>28</v>
      </c>
      <c r="N989" t="s">
        <v>2404</v>
      </c>
      <c r="O989">
        <v>2</v>
      </c>
      <c r="P989" s="2">
        <v>43782</v>
      </c>
      <c r="Q989" s="1">
        <v>24</v>
      </c>
      <c r="R989" t="s">
        <v>3029</v>
      </c>
      <c r="S989">
        <v>1083707963</v>
      </c>
    </row>
    <row r="990" spans="1:19" x14ac:dyDescent="0.2">
      <c r="A990" t="str">
        <f t="shared" si="146"/>
        <v>Adult Nonfiction</v>
      </c>
      <c r="B990" t="str">
        <f>"NEW 153.1 HYD"</f>
        <v>NEW 153.1 HYD</v>
      </c>
      <c r="C990" t="str">
        <f>"A primer for forgetting: getting past the past"</f>
        <v>A primer for forgetting: getting past the past</v>
      </c>
      <c r="D990">
        <v>360171</v>
      </c>
      <c r="E990" t="str">
        <f>"Hyde, Lewis,"</f>
        <v>Hyde, Lewis,</v>
      </c>
      <c r="G990" t="str">
        <f>"372 pages, 22 cm, illustrations"</f>
        <v>372 pages, 22 cm, illustrations</v>
      </c>
      <c r="H990" s="1">
        <v>19</v>
      </c>
      <c r="I990">
        <v>2019</v>
      </c>
      <c r="J990" t="str">
        <f t="shared" si="147"/>
        <v>7: 000 - 199</v>
      </c>
      <c r="L990" t="s">
        <v>2395</v>
      </c>
      <c r="M990" t="s">
        <v>28</v>
      </c>
      <c r="N990" t="s">
        <v>2396</v>
      </c>
      <c r="O990">
        <v>1</v>
      </c>
      <c r="P990" s="2">
        <v>43833</v>
      </c>
      <c r="Q990" s="1">
        <v>33</v>
      </c>
      <c r="R990" t="s">
        <v>3030</v>
      </c>
      <c r="S990">
        <v>1053487922</v>
      </c>
    </row>
    <row r="991" spans="1:19" x14ac:dyDescent="0.2">
      <c r="A991" t="str">
        <f t="shared" si="146"/>
        <v>Adult Nonfiction</v>
      </c>
      <c r="B991" t="str">
        <f>"NEW 153.1 WIK"</f>
        <v>NEW 153.1 WIK</v>
      </c>
      <c r="C991" t="str">
        <f>"The art of making memories: how to create and remember happy moments"</f>
        <v>The art of making memories: how to create and remember happy moments</v>
      </c>
      <c r="D991">
        <v>360419</v>
      </c>
      <c r="E991" t="str">
        <f>"Wiking, Meik"</f>
        <v>Wiking, Meik</v>
      </c>
      <c r="G991" t="str">
        <f>"288 pages, 19 cm, illustrations (chiefly color)"</f>
        <v>288 pages, 19 cm, illustrations (chiefly color)</v>
      </c>
      <c r="H991" s="1">
        <v>20</v>
      </c>
      <c r="I991">
        <v>2019</v>
      </c>
      <c r="J991" t="str">
        <f t="shared" si="147"/>
        <v>7: 000 - 199</v>
      </c>
      <c r="L991" t="s">
        <v>2403</v>
      </c>
      <c r="M991" t="s">
        <v>28</v>
      </c>
      <c r="N991" t="s">
        <v>2495</v>
      </c>
      <c r="O991">
        <v>0</v>
      </c>
      <c r="P991" s="2">
        <v>43851</v>
      </c>
      <c r="Q991" s="1">
        <v>25</v>
      </c>
      <c r="R991" t="s">
        <v>3031</v>
      </c>
      <c r="S991">
        <v>1120125901</v>
      </c>
    </row>
    <row r="992" spans="1:19" x14ac:dyDescent="0.2">
      <c r="A992" t="str">
        <f t="shared" si="146"/>
        <v>Adult Nonfiction</v>
      </c>
      <c r="B992" t="str">
        <f>"NEW 153.3 CON"</f>
        <v>NEW 153.3 CON</v>
      </c>
      <c r="C992" t="str">
        <f>"Find your artistic voice: the essential guide to working your creative magic"</f>
        <v>Find your artistic voice: the essential guide to working your creative magic</v>
      </c>
      <c r="D992">
        <v>358272</v>
      </c>
      <c r="E992" t="str">
        <f>"Congdon, Lisa"</f>
        <v>Congdon, Lisa</v>
      </c>
      <c r="G992" t="str">
        <f>"121 pages, 21 cm, illustrations (chiefly color)"</f>
        <v>121 pages, 21 cm, illustrations (chiefly color)</v>
      </c>
      <c r="H992" s="1">
        <v>19</v>
      </c>
      <c r="I992">
        <v>2019</v>
      </c>
      <c r="J992" t="str">
        <f t="shared" si="147"/>
        <v>7: 000 - 199</v>
      </c>
      <c r="L992" t="s">
        <v>2395</v>
      </c>
      <c r="M992" t="s">
        <v>28</v>
      </c>
      <c r="N992" t="s">
        <v>2396</v>
      </c>
      <c r="O992">
        <v>1</v>
      </c>
      <c r="P992" s="2">
        <v>43745</v>
      </c>
      <c r="Q992" s="1">
        <v>24</v>
      </c>
      <c r="R992" t="s">
        <v>3032</v>
      </c>
      <c r="S992">
        <v>1080426540</v>
      </c>
    </row>
    <row r="993" spans="1:19" x14ac:dyDescent="0.2">
      <c r="A993" t="str">
        <f t="shared" si="146"/>
        <v>Adult Nonfiction</v>
      </c>
      <c r="B993" t="str">
        <f>"NEW 153.3 ROB"</f>
        <v>NEW 153.3 ROB</v>
      </c>
      <c r="C993" t="str">
        <f>"The new smart: how nurturing creativity will help children thrive"</f>
        <v>The new smart: how nurturing creativity will help children thrive</v>
      </c>
      <c r="D993">
        <v>359836</v>
      </c>
      <c r="E993" t="str">
        <f>"Roberts, Terry."</f>
        <v>Roberts, Terry.</v>
      </c>
      <c r="G993" t="str">
        <f>"157 p."</f>
        <v>157 p.</v>
      </c>
      <c r="H993" s="1">
        <v>19</v>
      </c>
      <c r="I993">
        <v>2019</v>
      </c>
      <c r="J993" t="str">
        <f t="shared" si="147"/>
        <v>7: 000 - 199</v>
      </c>
      <c r="L993" t="s">
        <v>2395</v>
      </c>
      <c r="M993" t="s">
        <v>28</v>
      </c>
      <c r="N993" t="s">
        <v>2404</v>
      </c>
      <c r="O993">
        <v>1</v>
      </c>
      <c r="P993" s="2">
        <v>43815</v>
      </c>
      <c r="Q993" s="1">
        <v>32</v>
      </c>
      <c r="R993" t="s">
        <v>3033</v>
      </c>
      <c r="S993">
        <v>1129132771</v>
      </c>
    </row>
    <row r="994" spans="1:19" x14ac:dyDescent="0.2">
      <c r="A994" t="str">
        <f t="shared" si="146"/>
        <v>Adult Nonfiction</v>
      </c>
      <c r="B994" t="str">
        <f>"NEW 153.6 MUR"</f>
        <v>NEW 153.6 MUR</v>
      </c>
      <c r="C994" t="str">
        <f>"You're not listening: what you're missing and why it matters"</f>
        <v>You're not listening: what you're missing and why it matters</v>
      </c>
      <c r="D994">
        <v>360260</v>
      </c>
      <c r="E994" t="str">
        <f>"Murphy, Kate"</f>
        <v>Murphy, Kate</v>
      </c>
      <c r="G994" t="str">
        <f>"viii, 278 pages, 22 cm"</f>
        <v>viii, 278 pages, 22 cm</v>
      </c>
      <c r="H994" s="1">
        <v>19</v>
      </c>
      <c r="I994">
        <v>2020</v>
      </c>
      <c r="J994" t="str">
        <f t="shared" si="147"/>
        <v>7: 000 - 199</v>
      </c>
      <c r="L994" t="s">
        <v>2395</v>
      </c>
      <c r="M994" t="s">
        <v>28</v>
      </c>
      <c r="N994" t="s">
        <v>2404</v>
      </c>
      <c r="O994">
        <v>1</v>
      </c>
      <c r="P994" s="2">
        <v>43844</v>
      </c>
      <c r="Q994" s="1">
        <v>31</v>
      </c>
      <c r="R994" t="s">
        <v>3034</v>
      </c>
      <c r="S994">
        <v>1102185179</v>
      </c>
    </row>
    <row r="995" spans="1:19" x14ac:dyDescent="0.2">
      <c r="A995" t="str">
        <f t="shared" si="146"/>
        <v>Adult Nonfiction</v>
      </c>
      <c r="B995" t="str">
        <f>"NEW 153.7 EYA"</f>
        <v>NEW 153.7 EYA</v>
      </c>
      <c r="C995" t="str">
        <f>"Indistractable: how to control your attention and choose your life"</f>
        <v>Indistractable: how to control your attention and choose your life</v>
      </c>
      <c r="D995">
        <v>357670</v>
      </c>
      <c r="E995" t="str">
        <f>"Eyal, Nir."</f>
        <v>Eyal, Nir.</v>
      </c>
      <c r="G995" t="str">
        <f>"235 p."</f>
        <v>235 p.</v>
      </c>
      <c r="H995" s="1">
        <v>19</v>
      </c>
      <c r="I995">
        <v>2019</v>
      </c>
      <c r="J995" t="str">
        <f t="shared" si="147"/>
        <v>7: 000 - 199</v>
      </c>
      <c r="L995" t="s">
        <v>2395</v>
      </c>
      <c r="M995" t="s">
        <v>28</v>
      </c>
      <c r="N995" t="s">
        <v>2404</v>
      </c>
      <c r="O995">
        <v>5</v>
      </c>
      <c r="P995" s="2">
        <v>43725</v>
      </c>
      <c r="Q995" s="1">
        <v>32</v>
      </c>
      <c r="R995" t="s">
        <v>3035</v>
      </c>
    </row>
    <row r="996" spans="1:19" x14ac:dyDescent="0.2">
      <c r="A996" t="str">
        <f t="shared" si="146"/>
        <v>Adult Nonfiction</v>
      </c>
      <c r="B996" t="str">
        <f>"NEW 153.8 VEN"</f>
        <v>NEW 153.8 VEN</v>
      </c>
      <c r="C996" t="str">
        <f>"The optimist's telescope: thinking ahead in a reckless age"</f>
        <v>The optimist's telescope: thinking ahead in a reckless age</v>
      </c>
      <c r="D996">
        <v>359044</v>
      </c>
      <c r="E996" t="str">
        <f>"Venkataraman, Bina,"</f>
        <v>Venkataraman, Bina,</v>
      </c>
      <c r="G996" t="str">
        <f>"xvi, 318 p., 24 cm"</f>
        <v>xvi, 318 p., 24 cm</v>
      </c>
      <c r="H996" s="1">
        <v>19</v>
      </c>
      <c r="I996">
        <v>2019</v>
      </c>
      <c r="J996" t="str">
        <f t="shared" si="147"/>
        <v>7: 000 - 199</v>
      </c>
      <c r="L996" t="s">
        <v>2403</v>
      </c>
      <c r="M996" t="s">
        <v>28</v>
      </c>
      <c r="N996" t="s">
        <v>2404</v>
      </c>
      <c r="O996">
        <v>3</v>
      </c>
      <c r="P996" s="2">
        <v>43776</v>
      </c>
      <c r="Q996" s="1">
        <v>33</v>
      </c>
      <c r="R996" t="s">
        <v>3036</v>
      </c>
      <c r="S996">
        <v>1055569904</v>
      </c>
    </row>
    <row r="997" spans="1:19" x14ac:dyDescent="0.2">
      <c r="A997" t="str">
        <f t="shared" si="146"/>
        <v>Adult Nonfiction</v>
      </c>
      <c r="B997" t="str">
        <f>"NEW 153.9 EPS"</f>
        <v>NEW 153.9 EPS</v>
      </c>
      <c r="C997" t="str">
        <f>"Range: why generalists triumph in a specialized world"</f>
        <v>Range: why generalists triumph in a specialized world</v>
      </c>
      <c r="D997">
        <v>355075</v>
      </c>
      <c r="E997" t="str">
        <f>"Epstein, David J.,"</f>
        <v>Epstein, David J.,</v>
      </c>
      <c r="G997" t="str">
        <f>"339 pages, 24 cm, illustrations"</f>
        <v>339 pages, 24 cm, illustrations</v>
      </c>
      <c r="H997" s="1">
        <v>19</v>
      </c>
      <c r="I997">
        <v>2019</v>
      </c>
      <c r="J997" t="str">
        <f t="shared" si="147"/>
        <v>7: 000 - 199</v>
      </c>
      <c r="L997" t="s">
        <v>2395</v>
      </c>
      <c r="M997" t="s">
        <v>28</v>
      </c>
      <c r="N997" t="s">
        <v>2404</v>
      </c>
      <c r="O997">
        <v>13</v>
      </c>
      <c r="P997" s="2">
        <v>43613</v>
      </c>
      <c r="Q997" s="1">
        <v>33</v>
      </c>
      <c r="R997" t="s">
        <v>3037</v>
      </c>
      <c r="S997">
        <v>1050962413</v>
      </c>
    </row>
    <row r="998" spans="1:19" x14ac:dyDescent="0.2">
      <c r="A998" t="str">
        <f t="shared" si="146"/>
        <v>Adult Nonfiction</v>
      </c>
      <c r="B998" t="str">
        <f>"NEW 153.9 ROB"</f>
        <v>NEW 153.9 ROB</v>
      </c>
      <c r="C998" t="str">
        <f>"The intelligence trap: why smart people make dumb mistakes"</f>
        <v>The intelligence trap: why smart people make dumb mistakes</v>
      </c>
      <c r="D998">
        <v>358117</v>
      </c>
      <c r="E998" t="str">
        <f>"Robson, David G."</f>
        <v>Robson, David G.</v>
      </c>
      <c r="G998" t="str">
        <f>"viii, 323 pages, 25 cm, illustrations"</f>
        <v>viii, 323 pages, 25 cm, illustrations</v>
      </c>
      <c r="H998" s="1">
        <v>19</v>
      </c>
      <c r="I998">
        <v>2019</v>
      </c>
      <c r="J998" t="str">
        <f t="shared" si="147"/>
        <v>7: 000 - 199</v>
      </c>
      <c r="L998" t="s">
        <v>2395</v>
      </c>
      <c r="M998" t="s">
        <v>28</v>
      </c>
      <c r="N998" t="s">
        <v>2404</v>
      </c>
      <c r="O998">
        <v>3</v>
      </c>
      <c r="P998" s="2">
        <v>43740</v>
      </c>
      <c r="Q998" s="1">
        <v>33</v>
      </c>
      <c r="R998" t="s">
        <v>3038</v>
      </c>
      <c r="S998">
        <v>1109843852</v>
      </c>
    </row>
    <row r="999" spans="1:19" x14ac:dyDescent="0.2">
      <c r="A999" t="str">
        <f t="shared" si="146"/>
        <v>Adult Nonfiction</v>
      </c>
      <c r="B999" t="str">
        <f>"NEW 155.3 PLA"</f>
        <v>NEW 155.3 PLA</v>
      </c>
      <c r="C999" t="str">
        <f>"For the love of men: a new vision for mindful masculinity"</f>
        <v>For the love of men: a new vision for mindful masculinity</v>
      </c>
      <c r="D999">
        <v>357681</v>
      </c>
      <c r="E999" t="str">
        <f>"Plank, Liz"</f>
        <v>Plank, Liz</v>
      </c>
      <c r="G999" t="str">
        <f>"pages cm"</f>
        <v>pages cm</v>
      </c>
      <c r="H999" s="1">
        <v>19</v>
      </c>
      <c r="I999">
        <v>2019</v>
      </c>
      <c r="J999" t="str">
        <f t="shared" si="147"/>
        <v>7: 000 - 199</v>
      </c>
      <c r="L999" t="s">
        <v>2403</v>
      </c>
      <c r="M999" t="s">
        <v>28</v>
      </c>
      <c r="N999" t="s">
        <v>2396</v>
      </c>
      <c r="O999">
        <v>4</v>
      </c>
      <c r="P999" s="2">
        <v>43725</v>
      </c>
      <c r="Q999" s="1">
        <v>33</v>
      </c>
      <c r="R999" t="s">
        <v>3039</v>
      </c>
      <c r="S999">
        <v>1079866062</v>
      </c>
    </row>
    <row r="1000" spans="1:19" x14ac:dyDescent="0.2">
      <c r="A1000" t="str">
        <f t="shared" si="146"/>
        <v>Adult Nonfiction</v>
      </c>
      <c r="B1000" t="str">
        <f>"NEW 155.4 MAG"</f>
        <v>NEW 155.4 MAG</v>
      </c>
      <c r="C1000" t="str">
        <f>"Why will no one play with me?: the play better plan to help kids make friends and thrive"</f>
        <v>Why will no one play with me?: the play better plan to help kids make friends and thrive</v>
      </c>
      <c r="D1000">
        <v>357943</v>
      </c>
      <c r="E1000" t="str">
        <f>"Maguire, Caroline"</f>
        <v>Maguire, Caroline</v>
      </c>
      <c r="G1000" t="str">
        <f>"354 p."</f>
        <v>354 p.</v>
      </c>
      <c r="H1000" s="1">
        <v>19</v>
      </c>
      <c r="I1000">
        <v>2019</v>
      </c>
      <c r="J1000" t="str">
        <f t="shared" si="147"/>
        <v>7: 000 - 199</v>
      </c>
      <c r="L1000" t="s">
        <v>2403</v>
      </c>
      <c r="M1000" t="s">
        <v>28</v>
      </c>
      <c r="N1000" t="s">
        <v>2404</v>
      </c>
      <c r="O1000">
        <v>2</v>
      </c>
      <c r="P1000" s="2">
        <v>43733</v>
      </c>
      <c r="Q1000" s="1">
        <v>33</v>
      </c>
      <c r="R1000" t="s">
        <v>3040</v>
      </c>
      <c r="S1000">
        <v>1082191496</v>
      </c>
    </row>
    <row r="1001" spans="1:19" x14ac:dyDescent="0.2">
      <c r="A1001" t="str">
        <f t="shared" si="146"/>
        <v>Adult Nonfiction</v>
      </c>
      <c r="B1001" t="str">
        <f>"NEW 155.6 MCC"</f>
        <v>NEW 155.6 MCC</v>
      </c>
      <c r="C1001" t="str">
        <f>"Failure to launch: why your twentysomething hasn't grown up ... and what to do about it"</f>
        <v>Failure to launch: why your twentysomething hasn't grown up ... and what to do about it</v>
      </c>
      <c r="D1001">
        <v>360217</v>
      </c>
      <c r="E1001" t="str">
        <f>"McConville, Mark"</f>
        <v>McConville, Mark</v>
      </c>
      <c r="G1001" t="str">
        <f>"xi, 306 pages, 24 cm"</f>
        <v>xi, 306 pages, 24 cm</v>
      </c>
      <c r="H1001" s="1">
        <v>19</v>
      </c>
      <c r="I1001">
        <v>2020</v>
      </c>
      <c r="J1001" t="str">
        <f t="shared" si="147"/>
        <v>7: 000 - 199</v>
      </c>
      <c r="L1001" t="s">
        <v>2395</v>
      </c>
      <c r="M1001" t="s">
        <v>28</v>
      </c>
      <c r="N1001" t="s">
        <v>2404</v>
      </c>
      <c r="O1001">
        <v>1</v>
      </c>
      <c r="P1001" s="2">
        <v>43844</v>
      </c>
      <c r="Q1001" s="1">
        <v>32</v>
      </c>
      <c r="R1001" t="s">
        <v>3041</v>
      </c>
      <c r="S1001">
        <v>1096291423</v>
      </c>
    </row>
    <row r="1002" spans="1:19" x14ac:dyDescent="0.2">
      <c r="A1002" t="str">
        <f t="shared" si="146"/>
        <v>Adult Nonfiction</v>
      </c>
      <c r="B1002" t="str">
        <f>"NEW 155.9 BON"</f>
        <v>NEW 155.9 BON</v>
      </c>
      <c r="C1002" t="str">
        <f>"The other side of sadness: what the new science of bereavement tells us about life after loss"</f>
        <v>The other side of sadness: what the new science of bereavement tells us about life after loss</v>
      </c>
      <c r="D1002">
        <v>359205</v>
      </c>
      <c r="E1002" t="str">
        <f>"Bonanno, George A.,"</f>
        <v>Bonanno, George A.,</v>
      </c>
      <c r="G1002" t="str">
        <f>"356 pages"</f>
        <v>356 pages</v>
      </c>
      <c r="H1002" s="1">
        <v>19</v>
      </c>
      <c r="I1002">
        <v>2019</v>
      </c>
      <c r="J1002" t="str">
        <f t="shared" si="147"/>
        <v>7: 000 - 199</v>
      </c>
      <c r="L1002" t="s">
        <v>2395</v>
      </c>
      <c r="M1002" t="s">
        <v>28</v>
      </c>
      <c r="N1002" t="s">
        <v>2396</v>
      </c>
      <c r="O1002">
        <v>2</v>
      </c>
      <c r="P1002" s="2">
        <v>43782</v>
      </c>
      <c r="Q1002" s="1">
        <v>23</v>
      </c>
      <c r="R1002" t="s">
        <v>3042</v>
      </c>
      <c r="S1002">
        <v>1088600420</v>
      </c>
    </row>
    <row r="1003" spans="1:19" x14ac:dyDescent="0.2">
      <c r="A1003" t="str">
        <f t="shared" si="146"/>
        <v>Adult Nonfiction</v>
      </c>
      <c r="B1003" t="str">
        <f>"NEW 155.9 KES"</f>
        <v>NEW 155.9 KES</v>
      </c>
      <c r="C1003" t="str">
        <f>"Finding meaning: the sixth stage of grief"</f>
        <v>Finding meaning: the sixth stage of grief</v>
      </c>
      <c r="D1003">
        <v>359371</v>
      </c>
      <c r="E1003" t="str">
        <f>"Kessler, David"</f>
        <v>Kessler, David</v>
      </c>
      <c r="G1003" t="str">
        <f>"ix, 256 pages, 22 cm"</f>
        <v>ix, 256 pages, 22 cm</v>
      </c>
      <c r="H1003" s="1">
        <v>19</v>
      </c>
      <c r="I1003">
        <v>2019</v>
      </c>
      <c r="J1003" t="str">
        <f t="shared" si="147"/>
        <v>7: 000 - 199</v>
      </c>
      <c r="L1003" t="s">
        <v>2403</v>
      </c>
      <c r="M1003" t="s">
        <v>28</v>
      </c>
      <c r="N1003" t="s">
        <v>2396</v>
      </c>
      <c r="O1003">
        <v>2</v>
      </c>
      <c r="P1003" s="2">
        <v>43788</v>
      </c>
      <c r="Q1003" s="1">
        <v>31</v>
      </c>
      <c r="R1003" t="s">
        <v>3043</v>
      </c>
      <c r="S1003">
        <v>1085203144</v>
      </c>
    </row>
    <row r="1004" spans="1:19" x14ac:dyDescent="0.2">
      <c r="A1004" t="str">
        <f t="shared" si="146"/>
        <v>Adult Nonfiction</v>
      </c>
      <c r="B1004" t="str">
        <f>"NEW 155.9 WOL"</f>
        <v>NEW 155.9 WOL</v>
      </c>
      <c r="C1004" t="str">
        <f>"It didn't start with you: how inherited family trauma shapes who we are and how to end the cycle"</f>
        <v>It didn't start with you: how inherited family trauma shapes who we are and how to end the cycle</v>
      </c>
      <c r="D1004">
        <v>357510</v>
      </c>
      <c r="E1004" t="str">
        <f>"Wolynn, Mark,"</f>
        <v>Wolynn, Mark,</v>
      </c>
      <c r="G1004" t="str">
        <f>"viii, 246 p., 22 cm, illustrations"</f>
        <v>viii, 246 p., 22 cm, illustrations</v>
      </c>
      <c r="H1004" s="1">
        <v>19</v>
      </c>
      <c r="I1004">
        <v>2017</v>
      </c>
      <c r="J1004" t="str">
        <f t="shared" si="147"/>
        <v>7: 000 - 199</v>
      </c>
      <c r="L1004" t="s">
        <v>2403</v>
      </c>
      <c r="M1004" t="s">
        <v>28</v>
      </c>
      <c r="N1004" t="s">
        <v>2396</v>
      </c>
      <c r="O1004">
        <v>0</v>
      </c>
      <c r="P1004" s="2">
        <v>43719</v>
      </c>
      <c r="Q1004" s="1">
        <v>22</v>
      </c>
      <c r="R1004" t="s">
        <v>3044</v>
      </c>
      <c r="S1004">
        <v>957138786</v>
      </c>
    </row>
    <row r="1005" spans="1:19" x14ac:dyDescent="0.2">
      <c r="A1005" t="str">
        <f t="shared" si="146"/>
        <v>Adult Nonfiction</v>
      </c>
      <c r="B1005" t="str">
        <f>"NEW 158 EAS"</f>
        <v>NEW 158 EAS</v>
      </c>
      <c r="C1005" t="str">
        <f>"There's no plan B for your A-game: be the best in the world at what you do"</f>
        <v>There's no plan B for your A-game: be the best in the world at what you do</v>
      </c>
      <c r="D1005">
        <v>357933</v>
      </c>
      <c r="E1005" t="str">
        <f>"Eason, Bo"</f>
        <v>Eason, Bo</v>
      </c>
      <c r="G1005" t="str">
        <f>"x, 258 pages, 22 cm"</f>
        <v>x, 258 pages, 22 cm</v>
      </c>
      <c r="H1005" s="1">
        <v>19</v>
      </c>
      <c r="I1005">
        <v>2019</v>
      </c>
      <c r="J1005" t="str">
        <f t="shared" si="147"/>
        <v>7: 000 - 199</v>
      </c>
      <c r="L1005" t="s">
        <v>2395</v>
      </c>
      <c r="M1005" t="s">
        <v>28</v>
      </c>
      <c r="N1005" t="s">
        <v>2396</v>
      </c>
      <c r="O1005">
        <v>2</v>
      </c>
      <c r="P1005" s="2">
        <v>43733</v>
      </c>
      <c r="Q1005" s="1">
        <v>32</v>
      </c>
      <c r="R1005" t="s">
        <v>3045</v>
      </c>
      <c r="S1005">
        <v>1099538736</v>
      </c>
    </row>
    <row r="1006" spans="1:19" x14ac:dyDescent="0.2">
      <c r="A1006" t="str">
        <f t="shared" si="146"/>
        <v>Adult Nonfiction</v>
      </c>
      <c r="B1006" t="str">
        <f>"NEW 158 FOG"</f>
        <v>NEW 158 FOG</v>
      </c>
      <c r="C1006" t="str">
        <f>"Tiny habits: the small changes that change everything"</f>
        <v>Tiny habits: the small changes that change everything</v>
      </c>
      <c r="D1006">
        <v>360252</v>
      </c>
      <c r="E1006" t="str">
        <f>"Fogg, BJ"</f>
        <v>Fogg, BJ</v>
      </c>
      <c r="G1006" t="str">
        <f>"306 pages, 24 cm, illustrations"</f>
        <v>306 pages, 24 cm, illustrations</v>
      </c>
      <c r="H1006" s="1">
        <v>19</v>
      </c>
      <c r="I1006">
        <v>2020</v>
      </c>
      <c r="J1006" t="str">
        <f t="shared" si="147"/>
        <v>7: 000 - 199</v>
      </c>
      <c r="L1006" t="s">
        <v>2395</v>
      </c>
      <c r="M1006" t="s">
        <v>28</v>
      </c>
      <c r="N1006" t="s">
        <v>2404</v>
      </c>
      <c r="O1006">
        <v>1</v>
      </c>
      <c r="P1006" s="2">
        <v>43844</v>
      </c>
      <c r="Q1006" s="1">
        <v>33</v>
      </c>
      <c r="R1006" t="s">
        <v>3046</v>
      </c>
      <c r="S1006">
        <v>1130627073</v>
      </c>
    </row>
    <row r="1007" spans="1:19" x14ac:dyDescent="0.2">
      <c r="A1007" t="str">
        <f t="shared" si="146"/>
        <v>Adult Nonfiction</v>
      </c>
      <c r="B1007" t="str">
        <f>"NEW 158 HOL"</f>
        <v>NEW 158 HOL</v>
      </c>
      <c r="C1007" t="str">
        <f>"Dare to inspire: sustain the fire of inspiration in work and life"</f>
        <v>Dare to inspire: sustain the fire of inspiration in work and life</v>
      </c>
      <c r="D1007">
        <v>360153</v>
      </c>
      <c r="E1007" t="str">
        <f>"Holzer, Allison"</f>
        <v>Holzer, Allison</v>
      </c>
      <c r="G1007" t="str">
        <f>"viii, 294 pages, 24 cm, illustrations"</f>
        <v>viii, 294 pages, 24 cm, illustrations</v>
      </c>
      <c r="H1007" s="1">
        <v>19</v>
      </c>
      <c r="I1007">
        <v>2019</v>
      </c>
      <c r="J1007" t="str">
        <f t="shared" si="147"/>
        <v>7: 000 - 199</v>
      </c>
      <c r="L1007" t="s">
        <v>2403</v>
      </c>
      <c r="M1007" t="s">
        <v>28</v>
      </c>
      <c r="N1007" t="s">
        <v>2404</v>
      </c>
      <c r="O1007">
        <v>1</v>
      </c>
      <c r="P1007" s="2">
        <v>43833</v>
      </c>
      <c r="Q1007" s="1">
        <v>33</v>
      </c>
      <c r="R1007" t="s">
        <v>3047</v>
      </c>
      <c r="S1007">
        <v>1126278824</v>
      </c>
    </row>
    <row r="1008" spans="1:19" x14ac:dyDescent="0.2">
      <c r="A1008" t="str">
        <f t="shared" si="146"/>
        <v>Adult Nonfiction</v>
      </c>
      <c r="B1008" t="str">
        <f>"NEW 158 KIS"</f>
        <v>NEW 158 KIS</v>
      </c>
      <c r="C1008" t="str">
        <f>"The courage to be happy: discover the power of positive psychology and choose happiness every day"</f>
        <v>The courage to be happy: discover the power of positive psychology and choose happiness every day</v>
      </c>
      <c r="D1008">
        <v>408408</v>
      </c>
      <c r="E1008" t="str">
        <f>"Kishimi, Ichirō,"</f>
        <v>Kishimi, Ichirō,</v>
      </c>
      <c r="G1008" t="str">
        <f>"252 p."</f>
        <v>252 p.</v>
      </c>
      <c r="H1008" s="1">
        <v>19</v>
      </c>
      <c r="I1008">
        <v>2019</v>
      </c>
      <c r="J1008" t="str">
        <f t="shared" si="147"/>
        <v>7: 000 - 199</v>
      </c>
      <c r="L1008" t="s">
        <v>2403</v>
      </c>
      <c r="M1008" t="s">
        <v>28</v>
      </c>
      <c r="N1008" t="s">
        <v>2404</v>
      </c>
      <c r="O1008">
        <v>3</v>
      </c>
      <c r="P1008" s="2">
        <v>43787</v>
      </c>
      <c r="Q1008" s="1">
        <v>19</v>
      </c>
      <c r="R1008" t="s">
        <v>3048</v>
      </c>
    </row>
    <row r="1009" spans="1:19" x14ac:dyDescent="0.2">
      <c r="A1009" t="str">
        <f t="shared" si="146"/>
        <v>Adult Nonfiction</v>
      </c>
      <c r="B1009" t="str">
        <f>"NEW 158 SAG"</f>
        <v>NEW 158 SAG</v>
      </c>
      <c r="C1009" t="str">
        <f>"For small creatures such as we: rituals for finding meaning in our unlikely world"</f>
        <v>For small creatures such as we: rituals for finding meaning in our unlikely world</v>
      </c>
      <c r="D1009">
        <v>358733</v>
      </c>
      <c r="E1009" t="str">
        <f>"Sagan, Sasha"</f>
        <v>Sagan, Sasha</v>
      </c>
      <c r="G1009" t="str">
        <f>"266 p."</f>
        <v>266 p.</v>
      </c>
      <c r="H1009" s="1">
        <v>19</v>
      </c>
      <c r="I1009">
        <v>2019</v>
      </c>
      <c r="J1009" t="str">
        <f t="shared" si="147"/>
        <v>7: 000 - 199</v>
      </c>
      <c r="L1009" t="s">
        <v>2395</v>
      </c>
      <c r="M1009" t="s">
        <v>28</v>
      </c>
      <c r="N1009" t="s">
        <v>2396</v>
      </c>
      <c r="O1009">
        <v>3</v>
      </c>
      <c r="P1009" s="2">
        <v>43762</v>
      </c>
      <c r="Q1009" s="1">
        <v>31</v>
      </c>
      <c r="R1009" t="s">
        <v>3049</v>
      </c>
    </row>
    <row r="1010" spans="1:19" x14ac:dyDescent="0.2">
      <c r="A1010" t="str">
        <f t="shared" si="146"/>
        <v>Adult Nonfiction</v>
      </c>
      <c r="B1010" t="str">
        <f>"NEW 158.1 ASP"</f>
        <v>NEW 158.1 ASP</v>
      </c>
      <c r="C1010" t="str">
        <f>"Game changers: what leaders, innovators, and mavericks do to win at life"</f>
        <v>Game changers: what leaders, innovators, and mavericks do to win at life</v>
      </c>
      <c r="D1010">
        <v>356122</v>
      </c>
      <c r="E1010" t="str">
        <f>"Asprey, Dave"</f>
        <v>Asprey, Dave</v>
      </c>
      <c r="G1010" t="str">
        <f>"xvii, 331 pages, 24 cm, illustrations"</f>
        <v>xvii, 331 pages, 24 cm, illustrations</v>
      </c>
      <c r="H1010" s="1">
        <v>19</v>
      </c>
      <c r="I1010">
        <v>2018</v>
      </c>
      <c r="J1010" t="str">
        <f t="shared" si="147"/>
        <v>7: 000 - 199</v>
      </c>
      <c r="L1010" t="s">
        <v>2403</v>
      </c>
      <c r="M1010" t="s">
        <v>28</v>
      </c>
      <c r="N1010" t="s">
        <v>2404</v>
      </c>
      <c r="O1010">
        <v>6</v>
      </c>
      <c r="P1010" s="2">
        <v>43655</v>
      </c>
      <c r="Q1010" s="1">
        <v>34</v>
      </c>
      <c r="R1010" t="s">
        <v>3050</v>
      </c>
      <c r="S1010">
        <v>1076540973</v>
      </c>
    </row>
    <row r="1011" spans="1:19" x14ac:dyDescent="0.2">
      <c r="A1011" t="str">
        <f t="shared" si="146"/>
        <v>Adult Nonfiction</v>
      </c>
      <c r="B1011" t="str">
        <f>"NEW 158.1 BER"</f>
        <v>NEW 158.1 BER</v>
      </c>
      <c r="C1011" t="str">
        <f>"Super attractor: methods for manifesting a life beyond your wildest dreams"</f>
        <v>Super attractor: methods for manifesting a life beyond your wildest dreams</v>
      </c>
      <c r="D1011">
        <v>358351</v>
      </c>
      <c r="E1011" t="str">
        <f>"Bernstein, Gabrielle."</f>
        <v>Bernstein, Gabrielle.</v>
      </c>
      <c r="G1011" t="str">
        <f>"xxv, 213 pages, 23 cm"</f>
        <v>xxv, 213 pages, 23 cm</v>
      </c>
      <c r="H1011" s="1">
        <v>19</v>
      </c>
      <c r="I1011">
        <v>2019</v>
      </c>
      <c r="J1011" t="str">
        <f t="shared" si="147"/>
        <v>7: 000 - 199</v>
      </c>
      <c r="L1011" t="s">
        <v>2395</v>
      </c>
      <c r="M1011" t="s">
        <v>28</v>
      </c>
      <c r="N1011" t="s">
        <v>2404</v>
      </c>
      <c r="O1011">
        <v>3</v>
      </c>
      <c r="P1011" s="2">
        <v>43749</v>
      </c>
      <c r="Q1011" s="1">
        <v>31</v>
      </c>
      <c r="R1011" t="s">
        <v>3051</v>
      </c>
      <c r="S1011">
        <v>1098217734</v>
      </c>
    </row>
    <row r="1012" spans="1:19" x14ac:dyDescent="0.2">
      <c r="A1012" t="str">
        <f t="shared" si="146"/>
        <v>Adult Nonfiction</v>
      </c>
      <c r="B1012" t="str">
        <f>"NEW 158.1 BRA"</f>
        <v>NEW 158.1 BRA</v>
      </c>
      <c r="C1012" t="str">
        <f>"Radical compassion: learning to love yourself and your world with the practice of RAIN"</f>
        <v>Radical compassion: learning to love yourself and your world with the practice of RAIN</v>
      </c>
      <c r="D1012">
        <v>360242</v>
      </c>
      <c r="E1012" t="str">
        <f>"Brach, Tara."</f>
        <v>Brach, Tara.</v>
      </c>
      <c r="G1012" t="str">
        <f>"xxiii, 257 pages, 22 cm"</f>
        <v>xxiii, 257 pages, 22 cm</v>
      </c>
      <c r="H1012" s="1">
        <v>19</v>
      </c>
      <c r="I1012">
        <v>2019</v>
      </c>
      <c r="J1012" t="str">
        <f t="shared" si="147"/>
        <v>7: 000 - 199</v>
      </c>
      <c r="L1012" t="s">
        <v>2395</v>
      </c>
      <c r="M1012" t="s">
        <v>28</v>
      </c>
      <c r="N1012" t="str">
        <f>"Reserve Cart"</f>
        <v>Reserve Cart</v>
      </c>
      <c r="O1012">
        <v>0</v>
      </c>
      <c r="P1012" s="2">
        <v>43844</v>
      </c>
      <c r="Q1012" s="1">
        <v>33</v>
      </c>
      <c r="R1012" t="s">
        <v>3052</v>
      </c>
      <c r="S1012">
        <v>1096214070</v>
      </c>
    </row>
    <row r="1013" spans="1:19" x14ac:dyDescent="0.2">
      <c r="A1013" t="str">
        <f t="shared" si="146"/>
        <v>Adult Nonfiction</v>
      </c>
      <c r="B1013" t="str">
        <f>"NEW 158.1 CEA"</f>
        <v>NEW 158.1 CEA</v>
      </c>
      <c r="C1013" t="str">
        <f>"The illusion of money: why chasing money is stopping you from receiving it"</f>
        <v>The illusion of money: why chasing money is stopping you from receiving it</v>
      </c>
      <c r="D1013">
        <v>357545</v>
      </c>
      <c r="E1013" t="str">
        <f>"Cease, Kyle"</f>
        <v>Cease, Kyle</v>
      </c>
      <c r="G1013" t="str">
        <f>"xviii, 169 pages, 23 cm"</f>
        <v>xviii, 169 pages, 23 cm</v>
      </c>
      <c r="H1013" s="1">
        <v>19</v>
      </c>
      <c r="I1013">
        <v>2019</v>
      </c>
      <c r="J1013" t="str">
        <f t="shared" si="147"/>
        <v>7: 000 - 199</v>
      </c>
      <c r="L1013" t="s">
        <v>2395</v>
      </c>
      <c r="M1013" t="s">
        <v>28</v>
      </c>
      <c r="N1013" t="s">
        <v>2404</v>
      </c>
      <c r="O1013">
        <v>4</v>
      </c>
      <c r="P1013" s="2">
        <v>43719</v>
      </c>
      <c r="Q1013" s="1">
        <v>25</v>
      </c>
      <c r="R1013" t="s">
        <v>3053</v>
      </c>
      <c r="S1013">
        <v>1107808282</v>
      </c>
    </row>
    <row r="1014" spans="1:19" x14ac:dyDescent="0.2">
      <c r="A1014" t="str">
        <f t="shared" si="146"/>
        <v>Adult Nonfiction</v>
      </c>
      <c r="B1014" t="str">
        <f>"NEW 158.1 CRI"</f>
        <v>NEW 158.1 CRI</v>
      </c>
      <c r="C1014" t="str">
        <f>"Big dreams, daily joys: set goals, get things done, make space for what matters, achieve your dreams"</f>
        <v>Big dreams, daily joys: set goals, get things done, make space for what matters, achieve your dreams</v>
      </c>
      <c r="D1014">
        <v>359579</v>
      </c>
      <c r="E1014" t="str">
        <f>"Cripe, Elise Blaha"</f>
        <v>Cripe, Elise Blaha</v>
      </c>
      <c r="G1014" t="str">
        <f>"175 pages, 21 cm, illustrations (some color)"</f>
        <v>175 pages, 21 cm, illustrations (some color)</v>
      </c>
      <c r="H1014" s="1">
        <v>19</v>
      </c>
      <c r="I1014">
        <v>2019</v>
      </c>
      <c r="J1014" t="str">
        <f t="shared" si="147"/>
        <v>7: 000 - 199</v>
      </c>
      <c r="L1014" t="s">
        <v>2395</v>
      </c>
      <c r="M1014" t="s">
        <v>28</v>
      </c>
      <c r="N1014" t="s">
        <v>2404</v>
      </c>
      <c r="O1014">
        <v>3</v>
      </c>
      <c r="P1014" s="2">
        <v>43802</v>
      </c>
      <c r="Q1014" s="1">
        <v>28</v>
      </c>
      <c r="R1014" t="s">
        <v>3054</v>
      </c>
      <c r="S1014">
        <v>1128195827</v>
      </c>
    </row>
    <row r="1015" spans="1:19" x14ac:dyDescent="0.2">
      <c r="A1015" t="str">
        <f t="shared" si="146"/>
        <v>Adult Nonfiction</v>
      </c>
      <c r="B1015" t="str">
        <f>"NEW 158.1 DAL"</f>
        <v>NEW 158.1 DAL</v>
      </c>
      <c r="C1015" t="str">
        <f>"The joy of missing out: live more by doing less"</f>
        <v>The joy of missing out: live more by doing less</v>
      </c>
      <c r="D1015">
        <v>408278</v>
      </c>
      <c r="E1015" t="str">
        <f>"Dalton, Tonya"</f>
        <v>Dalton, Tonya</v>
      </c>
      <c r="G1015" t="str">
        <f>"xx, 214 pages, 24 cm, illustrations"</f>
        <v>xx, 214 pages, 24 cm, illustrations</v>
      </c>
      <c r="H1015" s="1">
        <v>19</v>
      </c>
      <c r="I1015">
        <v>2019</v>
      </c>
      <c r="J1015" t="str">
        <f t="shared" si="147"/>
        <v>7: 000 - 199</v>
      </c>
      <c r="L1015" t="s">
        <v>2395</v>
      </c>
      <c r="M1015" t="s">
        <v>28</v>
      </c>
      <c r="N1015" t="s">
        <v>2404</v>
      </c>
      <c r="O1015">
        <v>3</v>
      </c>
      <c r="P1015" s="2">
        <v>43764</v>
      </c>
      <c r="Q1015" s="1">
        <v>30</v>
      </c>
      <c r="R1015" t="s">
        <v>3055</v>
      </c>
      <c r="S1015">
        <v>1096221646</v>
      </c>
    </row>
    <row r="1016" spans="1:19" x14ac:dyDescent="0.2">
      <c r="A1016" t="str">
        <f t="shared" si="146"/>
        <v>Adult Nonfiction</v>
      </c>
      <c r="B1016" t="str">
        <f>"NEW 158.1 DAY"</f>
        <v>NEW 158.1 DAY</v>
      </c>
      <c r="C1016" t="str">
        <f>"Embrace your weird: a guided journal for facing your fears and unleashing creativity"</f>
        <v>Embrace your weird: a guided journal for facing your fears and unleashing creativity</v>
      </c>
      <c r="D1016">
        <v>359152</v>
      </c>
      <c r="E1016" t="str">
        <f>"Day, Felicia."</f>
        <v>Day, Felicia.</v>
      </c>
      <c r="G1016" t="str">
        <f>"252 p."</f>
        <v>252 p.</v>
      </c>
      <c r="H1016" s="1">
        <v>19</v>
      </c>
      <c r="I1016">
        <v>2019</v>
      </c>
      <c r="J1016" t="str">
        <f t="shared" si="147"/>
        <v>7: 000 - 199</v>
      </c>
      <c r="L1016" t="s">
        <v>2395</v>
      </c>
      <c r="M1016" t="s">
        <v>28</v>
      </c>
      <c r="N1016" t="s">
        <v>2404</v>
      </c>
      <c r="O1016">
        <v>1</v>
      </c>
      <c r="P1016" s="2">
        <v>43781</v>
      </c>
      <c r="Q1016" s="1">
        <v>22</v>
      </c>
      <c r="R1016" t="s">
        <v>3056</v>
      </c>
      <c r="S1016">
        <v>1121420408</v>
      </c>
    </row>
    <row r="1017" spans="1:19" x14ac:dyDescent="0.2">
      <c r="A1017" t="str">
        <f t="shared" si="146"/>
        <v>Adult Nonfiction</v>
      </c>
      <c r="B1017" t="str">
        <f>"NEW 158.1 DUN"</f>
        <v>NEW 158.1 DUN</v>
      </c>
      <c r="C1017" t="str">
        <f>"Good mornings: morning rituals for wellness, peace and purpose"</f>
        <v>Good mornings: morning rituals for wellness, peace and purpose</v>
      </c>
      <c r="D1017">
        <v>408678</v>
      </c>
      <c r="E1017" t="str">
        <f>"Dunne, Linnea"</f>
        <v>Dunne, Linnea</v>
      </c>
      <c r="G1017" t="str">
        <f>"192 pages, 22 cm, illustrations (chiefly color)"</f>
        <v>192 pages, 22 cm, illustrations (chiefly color)</v>
      </c>
      <c r="H1017" s="1">
        <v>19</v>
      </c>
      <c r="I1017">
        <v>2019</v>
      </c>
      <c r="J1017" t="str">
        <f t="shared" si="147"/>
        <v>7: 000 - 199</v>
      </c>
      <c r="L1017" t="s">
        <v>2395</v>
      </c>
      <c r="M1017" t="s">
        <v>28</v>
      </c>
      <c r="N1017" t="s">
        <v>2404</v>
      </c>
      <c r="O1017">
        <v>1</v>
      </c>
      <c r="P1017" s="2">
        <v>43844</v>
      </c>
      <c r="Q1017" s="1">
        <v>22</v>
      </c>
      <c r="R1017" t="s">
        <v>3057</v>
      </c>
      <c r="S1017">
        <v>1105987210</v>
      </c>
    </row>
    <row r="1018" spans="1:19" x14ac:dyDescent="0.2">
      <c r="A1018" t="str">
        <f t="shared" si="146"/>
        <v>Adult Nonfiction</v>
      </c>
      <c r="B1018" t="str">
        <f>"NEW 158.1 FOR"</f>
        <v>NEW 158.1 FOR</v>
      </c>
      <c r="C1018" t="str">
        <f>"Everything is figureoutable"</f>
        <v>Everything is figureoutable</v>
      </c>
      <c r="D1018">
        <v>357454</v>
      </c>
      <c r="E1018" t="str">
        <f>"Forleo, Marie"</f>
        <v>Forleo, Marie</v>
      </c>
      <c r="G1018" t="str">
        <f>"277 p."</f>
        <v>277 p.</v>
      </c>
      <c r="H1018" s="1">
        <v>19</v>
      </c>
      <c r="I1018">
        <v>2019</v>
      </c>
      <c r="J1018" t="str">
        <f t="shared" si="147"/>
        <v>7: 000 - 199</v>
      </c>
      <c r="L1018" t="s">
        <v>2403</v>
      </c>
      <c r="M1018" t="s">
        <v>28</v>
      </c>
      <c r="N1018" t="s">
        <v>2404</v>
      </c>
      <c r="O1018">
        <v>5</v>
      </c>
      <c r="P1018" s="2">
        <v>43718</v>
      </c>
      <c r="Q1018" s="1">
        <v>30</v>
      </c>
      <c r="R1018" t="s">
        <v>3058</v>
      </c>
    </row>
    <row r="1019" spans="1:19" x14ac:dyDescent="0.2">
      <c r="A1019" t="str">
        <f t="shared" si="146"/>
        <v>Adult Nonfiction</v>
      </c>
      <c r="B1019" t="str">
        <f>"NEW 158.1 HAY"</f>
        <v>NEW 158.1 HAY</v>
      </c>
      <c r="C1019" t="str">
        <f>"A liberated mind: how to pivot toward what matters"</f>
        <v>A liberated mind: how to pivot toward what matters</v>
      </c>
      <c r="D1019">
        <v>358707</v>
      </c>
      <c r="E1019" t="str">
        <f>"Hayes, Steven C."</f>
        <v>Hayes, Steven C.</v>
      </c>
      <c r="G1019" t="str">
        <f>"xvi, 428 pages, 24 cm"</f>
        <v>xvi, 428 pages, 24 cm</v>
      </c>
      <c r="H1019" s="1">
        <v>19</v>
      </c>
      <c r="I1019">
        <v>2019</v>
      </c>
      <c r="J1019" t="str">
        <f t="shared" si="147"/>
        <v>7: 000 - 199</v>
      </c>
      <c r="L1019" t="s">
        <v>2403</v>
      </c>
      <c r="M1019" t="s">
        <v>28</v>
      </c>
      <c r="N1019" t="s">
        <v>2404</v>
      </c>
      <c r="O1019">
        <v>2</v>
      </c>
      <c r="P1019" s="2">
        <v>43762</v>
      </c>
      <c r="Q1019" s="1">
        <v>32</v>
      </c>
      <c r="R1019" t="s">
        <v>3059</v>
      </c>
      <c r="S1019">
        <v>1079843731</v>
      </c>
    </row>
    <row r="1020" spans="1:19" x14ac:dyDescent="0.2">
      <c r="A1020" t="str">
        <f t="shared" si="146"/>
        <v>Adult Nonfiction</v>
      </c>
      <c r="B1020" t="str">
        <f>"NEW 158.1 IRV"</f>
        <v>NEW 158.1 IRV</v>
      </c>
      <c r="C1020" t="str">
        <f>"The stoic challenge: a philosopher's guide to becoming tougher, calmer, and more resilient"</f>
        <v>The stoic challenge: a philosopher's guide to becoming tougher, calmer, and more resilient</v>
      </c>
      <c r="D1020">
        <v>359055</v>
      </c>
      <c r="E1020" t="str">
        <f>"Irvine, William Braxton,"</f>
        <v>Irvine, William Braxton,</v>
      </c>
      <c r="G1020" t="str">
        <f>"192 pages, 22 cm"</f>
        <v>192 pages, 22 cm</v>
      </c>
      <c r="H1020" s="1">
        <v>19</v>
      </c>
      <c r="I1020">
        <v>2019</v>
      </c>
      <c r="J1020" t="str">
        <f t="shared" si="147"/>
        <v>7: 000 - 199</v>
      </c>
      <c r="L1020" t="s">
        <v>2395</v>
      </c>
      <c r="M1020" t="s">
        <v>28</v>
      </c>
      <c r="N1020" t="s">
        <v>2396</v>
      </c>
      <c r="O1020">
        <v>1</v>
      </c>
      <c r="P1020" s="2">
        <v>43776</v>
      </c>
      <c r="Q1020" s="1">
        <v>31</v>
      </c>
      <c r="R1020" t="s">
        <v>3060</v>
      </c>
      <c r="S1020">
        <v>1084332316</v>
      </c>
    </row>
    <row r="1021" spans="1:19" x14ac:dyDescent="0.2">
      <c r="A1021" t="str">
        <f t="shared" si="146"/>
        <v>Adult Nonfiction</v>
      </c>
      <c r="B1021" t="str">
        <f>"NEW 158.1 JOH"</f>
        <v>NEW 158.1 JOH</v>
      </c>
      <c r="C1021" t="str">
        <f>"Out of the maze: an a-mazing way to get unstuck"</f>
        <v>Out of the maze: an a-mazing way to get unstuck</v>
      </c>
      <c r="D1021">
        <v>358333</v>
      </c>
      <c r="E1021" t="str">
        <f>"Johnson, Spencer"</f>
        <v>Johnson, Spencer</v>
      </c>
      <c r="G1021" t="str">
        <f>"xii, 84 pages, 22 cm"</f>
        <v>xii, 84 pages, 22 cm</v>
      </c>
      <c r="H1021" s="1">
        <v>19</v>
      </c>
      <c r="I1021">
        <v>2018</v>
      </c>
      <c r="J1021" t="str">
        <f t="shared" si="147"/>
        <v>7: 000 - 199</v>
      </c>
      <c r="L1021" t="s">
        <v>2403</v>
      </c>
      <c r="M1021" t="s">
        <v>28</v>
      </c>
      <c r="N1021" t="s">
        <v>2396</v>
      </c>
      <c r="O1021">
        <v>1</v>
      </c>
      <c r="P1021" s="2">
        <v>43749</v>
      </c>
      <c r="Q1021" s="1">
        <v>27</v>
      </c>
      <c r="R1021" t="s">
        <v>3061</v>
      </c>
      <c r="S1021">
        <v>1057730737</v>
      </c>
    </row>
    <row r="1022" spans="1:19" x14ac:dyDescent="0.2">
      <c r="A1022" t="str">
        <f t="shared" si="146"/>
        <v>Adult Nonfiction</v>
      </c>
      <c r="B1022" t="str">
        <f>"NEW 158.1 KAR"</f>
        <v>NEW 158.1 KAR</v>
      </c>
      <c r="C1022" t="str">
        <f>"Late bloomers: the power of patience in a world obsessed with early achievement"</f>
        <v>Late bloomers: the power of patience in a world obsessed with early achievement</v>
      </c>
      <c r="D1022">
        <v>357295</v>
      </c>
      <c r="E1022" t="str">
        <f>"Karlgaard, Richard"</f>
        <v>Karlgaard, Richard</v>
      </c>
      <c r="G1022" t="str">
        <f>"294 pages, 25 cm, illustrations"</f>
        <v>294 pages, 25 cm, illustrations</v>
      </c>
      <c r="H1022" s="1">
        <v>19</v>
      </c>
      <c r="I1022">
        <v>2019</v>
      </c>
      <c r="J1022" t="str">
        <f t="shared" si="147"/>
        <v>7: 000 - 199</v>
      </c>
      <c r="L1022" t="s">
        <v>2403</v>
      </c>
      <c r="M1022" t="s">
        <v>28</v>
      </c>
      <c r="N1022" t="s">
        <v>2404</v>
      </c>
      <c r="O1022">
        <v>3</v>
      </c>
      <c r="P1022" s="2">
        <v>43711</v>
      </c>
      <c r="Q1022" s="1">
        <v>33</v>
      </c>
      <c r="R1022" t="s">
        <v>3062</v>
      </c>
      <c r="S1022">
        <v>1121658257</v>
      </c>
    </row>
    <row r="1023" spans="1:19" x14ac:dyDescent="0.2">
      <c r="A1023" t="str">
        <f t="shared" si="146"/>
        <v>Adult Nonfiction</v>
      </c>
      <c r="B1023" t="str">
        <f>"NEW 158.1 KHO"</f>
        <v>NEW 158.1 KHO</v>
      </c>
      <c r="C1023" t="str">
        <f>"The thank-you project: cultivating happiness one letter of gratitude at a time"</f>
        <v>The thank-you project: cultivating happiness one letter of gratitude at a time</v>
      </c>
      <c r="D1023">
        <v>360250</v>
      </c>
      <c r="E1023" t="str">
        <f>"Kho, Nancy Davis"</f>
        <v>Kho, Nancy Davis</v>
      </c>
      <c r="G1023" t="str">
        <f>"xviii, 188 pages, 21 cm, illustrations (some color)"</f>
        <v>xviii, 188 pages, 21 cm, illustrations (some color)</v>
      </c>
      <c r="H1023" s="1">
        <v>19</v>
      </c>
      <c r="I1023">
        <v>2019</v>
      </c>
      <c r="J1023" t="str">
        <f t="shared" si="147"/>
        <v>7: 000 - 199</v>
      </c>
      <c r="L1023" t="s">
        <v>2395</v>
      </c>
      <c r="M1023" t="s">
        <v>28</v>
      </c>
      <c r="N1023" t="s">
        <v>2495</v>
      </c>
      <c r="O1023">
        <v>0</v>
      </c>
      <c r="P1023" s="2">
        <v>43844</v>
      </c>
      <c r="Q1023" s="1">
        <v>27</v>
      </c>
      <c r="R1023" t="s">
        <v>3063</v>
      </c>
      <c r="S1023">
        <v>1096489892</v>
      </c>
    </row>
    <row r="1024" spans="1:19" x14ac:dyDescent="0.2">
      <c r="A1024" t="str">
        <f t="shared" si="146"/>
        <v>Adult Nonfiction</v>
      </c>
      <c r="B1024" t="str">
        <f>"NEW 158.1 NAG"</f>
        <v>NEW 158.1 NAG</v>
      </c>
      <c r="C1024" t="str">
        <f>"Burnout: the secret to unlocking the stress cycle"</f>
        <v>Burnout: the secret to unlocking the stress cycle</v>
      </c>
      <c r="D1024">
        <v>357496</v>
      </c>
      <c r="E1024" t="str">
        <f>"Nagoski, Emily."</f>
        <v>Nagoski, Emily.</v>
      </c>
      <c r="G1024" t="str">
        <f>"xx, 273 p., 25 cm, illustrations"</f>
        <v>xx, 273 p., 25 cm, illustrations</v>
      </c>
      <c r="H1024" s="1">
        <v>19</v>
      </c>
      <c r="I1024">
        <v>2019</v>
      </c>
      <c r="J1024" t="str">
        <f t="shared" si="147"/>
        <v>7: 000 - 199</v>
      </c>
      <c r="L1024" t="s">
        <v>2403</v>
      </c>
      <c r="M1024" t="s">
        <v>28</v>
      </c>
      <c r="N1024" t="s">
        <v>2404</v>
      </c>
      <c r="O1024">
        <v>6</v>
      </c>
      <c r="P1024" s="2">
        <v>43719</v>
      </c>
      <c r="Q1024" s="1">
        <v>32</v>
      </c>
      <c r="R1024" t="s">
        <v>3064</v>
      </c>
      <c r="S1024">
        <v>1065547756</v>
      </c>
    </row>
    <row r="1025" spans="1:19" x14ac:dyDescent="0.2">
      <c r="A1025" t="str">
        <f t="shared" si="146"/>
        <v>Adult Nonfiction</v>
      </c>
      <c r="B1025" t="str">
        <f>"NEW 158.1 OWE"</f>
        <v>NEW 158.1 OWE</v>
      </c>
      <c r="C1025" t="str">
        <f>"The art of flaneuring: how to wander with intention and discover a better life"</f>
        <v>The art of flaneuring: how to wander with intention and discover a better life</v>
      </c>
      <c r="D1025">
        <v>360148</v>
      </c>
      <c r="E1025" t="str">
        <f>"Owen, Erika"</f>
        <v>Owen, Erika</v>
      </c>
      <c r="G1025" t="str">
        <f>"178 pages, 20 cm, illustrations"</f>
        <v>178 pages, 20 cm, illustrations</v>
      </c>
      <c r="H1025" s="1">
        <v>19</v>
      </c>
      <c r="I1025">
        <v>2019</v>
      </c>
      <c r="J1025" t="str">
        <f t="shared" si="147"/>
        <v>7: 000 - 199</v>
      </c>
      <c r="L1025" t="s">
        <v>2395</v>
      </c>
      <c r="M1025" t="s">
        <v>28</v>
      </c>
      <c r="N1025" t="s">
        <v>2404</v>
      </c>
      <c r="O1025">
        <v>1</v>
      </c>
      <c r="P1025" s="2">
        <v>43833</v>
      </c>
      <c r="Q1025" s="1">
        <v>24</v>
      </c>
      <c r="R1025" t="s">
        <v>3065</v>
      </c>
      <c r="S1025">
        <v>1122867979</v>
      </c>
    </row>
    <row r="1026" spans="1:19" x14ac:dyDescent="0.2">
      <c r="A1026" t="str">
        <f t="shared" si="146"/>
        <v>Adult Nonfiction</v>
      </c>
      <c r="B1026" t="str">
        <f>"NEW 158.1 PAS"</f>
        <v>NEW 158.1 PAS</v>
      </c>
      <c r="C1026" t="str">
        <f>"You are awesome: how to navigate change, wrestle with failure, and live an intentional life"</f>
        <v>You are awesome: how to navigate change, wrestle with failure, and live an intentional life</v>
      </c>
      <c r="D1026">
        <v>359692</v>
      </c>
      <c r="E1026" t="str">
        <f>"Pasricha, Neil."</f>
        <v>Pasricha, Neil.</v>
      </c>
      <c r="G1026" t="str">
        <f>"xx, 265 pages, 22 cm, illustrations"</f>
        <v>xx, 265 pages, 22 cm, illustrations</v>
      </c>
      <c r="H1026" s="1">
        <v>19</v>
      </c>
      <c r="I1026">
        <v>2019</v>
      </c>
      <c r="J1026" t="str">
        <f t="shared" si="147"/>
        <v>7: 000 - 199</v>
      </c>
      <c r="L1026" t="s">
        <v>2395</v>
      </c>
      <c r="M1026" t="s">
        <v>28</v>
      </c>
      <c r="N1026" t="s">
        <v>2396</v>
      </c>
      <c r="O1026">
        <v>2</v>
      </c>
      <c r="P1026" s="2">
        <v>43804</v>
      </c>
      <c r="Q1026" s="1">
        <v>30</v>
      </c>
      <c r="R1026" t="s">
        <v>3066</v>
      </c>
      <c r="S1026">
        <v>1125152346</v>
      </c>
    </row>
    <row r="1027" spans="1:19" x14ac:dyDescent="0.2">
      <c r="A1027" t="str">
        <f t="shared" si="146"/>
        <v>Adult Nonfiction</v>
      </c>
      <c r="B1027" t="str">
        <f>"NEW 158.1 ROS"</f>
        <v>NEW 158.1 ROS</v>
      </c>
      <c r="C1027" t="str">
        <f>"Dark horse: achieving excellence through the pursuit of fulfillment"</f>
        <v>Dark horse: achieving excellence through the pursuit of fulfillment</v>
      </c>
      <c r="D1027">
        <v>358530</v>
      </c>
      <c r="E1027" t="str">
        <f>"Rose, Todd"</f>
        <v>Rose, Todd</v>
      </c>
      <c r="G1027" t="str">
        <f>"x, 291 pages, 24 cm, illustrations"</f>
        <v>x, 291 pages, 24 cm, illustrations</v>
      </c>
      <c r="H1027" s="1">
        <v>19</v>
      </c>
      <c r="I1027">
        <v>2018</v>
      </c>
      <c r="J1027" t="str">
        <f t="shared" si="147"/>
        <v>7: 000 - 199</v>
      </c>
      <c r="L1027" t="s">
        <v>2395</v>
      </c>
      <c r="M1027" t="s">
        <v>28</v>
      </c>
      <c r="N1027" t="s">
        <v>2404</v>
      </c>
      <c r="O1027">
        <v>4</v>
      </c>
      <c r="P1027" s="2">
        <v>43756</v>
      </c>
      <c r="Q1027" s="1">
        <v>34</v>
      </c>
      <c r="R1027" t="s">
        <v>3067</v>
      </c>
      <c r="S1027">
        <v>1031052642</v>
      </c>
    </row>
    <row r="1028" spans="1:19" x14ac:dyDescent="0.2">
      <c r="A1028" t="str">
        <f t="shared" si="146"/>
        <v>Adult Nonfiction</v>
      </c>
      <c r="B1028" t="str">
        <f>"NEW 158.1 WAD"</f>
        <v>NEW 158.1 WAD</v>
      </c>
      <c r="C1028" t="str">
        <f>"Where to begin: a small book about your power to create big change in our world"</f>
        <v>Where to begin: a small book about your power to create big change in our world</v>
      </c>
      <c r="D1028">
        <v>358363</v>
      </c>
      <c r="E1028" t="str">
        <f>"Wade, Cleo"</f>
        <v>Wade, Cleo</v>
      </c>
      <c r="G1028" t="str">
        <f>"155 p."</f>
        <v>155 p.</v>
      </c>
      <c r="H1028" s="1">
        <v>19</v>
      </c>
      <c r="I1028">
        <v>2019</v>
      </c>
      <c r="J1028" t="str">
        <f t="shared" si="147"/>
        <v>7: 000 - 199</v>
      </c>
      <c r="L1028" t="s">
        <v>2403</v>
      </c>
      <c r="M1028" t="s">
        <v>28</v>
      </c>
      <c r="N1028" t="s">
        <v>2396</v>
      </c>
      <c r="O1028">
        <v>4</v>
      </c>
      <c r="P1028" s="2">
        <v>43749</v>
      </c>
      <c r="Q1028" s="1">
        <v>29</v>
      </c>
      <c r="R1028" t="s">
        <v>3068</v>
      </c>
      <c r="S1028">
        <v>1121341901</v>
      </c>
    </row>
    <row r="1029" spans="1:19" x14ac:dyDescent="0.2">
      <c r="A1029" t="str">
        <f t="shared" si="146"/>
        <v>Adult Nonfiction</v>
      </c>
      <c r="B1029" t="str">
        <f>"NEW 158.1 WEI"</f>
        <v>NEW 158.1 WEI</v>
      </c>
      <c r="C1029" t="str">
        <f>"Cosy: the British art of comfort"</f>
        <v>Cosy: the British art of comfort</v>
      </c>
      <c r="D1029">
        <v>360476</v>
      </c>
      <c r="E1029" t="str">
        <f>"Weir, Laura"</f>
        <v>Weir, Laura</v>
      </c>
      <c r="G1029" t="str">
        <f>"161 pages, 19 cm, illustrations"</f>
        <v>161 pages, 19 cm, illustrations</v>
      </c>
      <c r="H1029" s="1">
        <v>20</v>
      </c>
      <c r="I1029">
        <v>2019</v>
      </c>
      <c r="J1029" t="str">
        <f t="shared" si="147"/>
        <v>7: 000 - 199</v>
      </c>
      <c r="L1029" t="s">
        <v>2395</v>
      </c>
      <c r="M1029" t="s">
        <v>28</v>
      </c>
      <c r="N1029" t="s">
        <v>2495</v>
      </c>
      <c r="O1029">
        <v>0</v>
      </c>
      <c r="P1029" s="2">
        <v>43851</v>
      </c>
      <c r="Q1029" s="1">
        <v>25</v>
      </c>
      <c r="R1029" t="s">
        <v>3069</v>
      </c>
      <c r="S1029">
        <v>1085162506</v>
      </c>
    </row>
    <row r="1030" spans="1:19" x14ac:dyDescent="0.2">
      <c r="A1030" t="str">
        <f t="shared" si="146"/>
        <v>Adult Nonfiction</v>
      </c>
      <c r="B1030" t="str">
        <f>"NEW 158.1 WIN"</f>
        <v>NEW 158.1 WIN</v>
      </c>
      <c r="C1030" t="str">
        <f>"The path made clear: discovering your life's direction and purpose"</f>
        <v>The path made clear: discovering your life's direction and purpose</v>
      </c>
      <c r="D1030">
        <v>356407</v>
      </c>
      <c r="E1030" t="str">
        <f>"Winfrey, Oprah"</f>
        <v>Winfrey, Oprah</v>
      </c>
      <c r="G1030" t="str">
        <f>"189 p."</f>
        <v>189 p.</v>
      </c>
      <c r="H1030" s="1">
        <v>19</v>
      </c>
      <c r="I1030">
        <v>2019</v>
      </c>
      <c r="J1030" t="str">
        <f t="shared" si="147"/>
        <v>7: 000 - 199</v>
      </c>
      <c r="L1030" t="s">
        <v>2403</v>
      </c>
      <c r="M1030" t="s">
        <v>28</v>
      </c>
      <c r="N1030" t="s">
        <v>2404</v>
      </c>
      <c r="O1030">
        <v>6</v>
      </c>
      <c r="P1030" s="2">
        <v>43671</v>
      </c>
      <c r="Q1030" s="1">
        <v>33</v>
      </c>
      <c r="R1030" t="s">
        <v>3070</v>
      </c>
    </row>
    <row r="1031" spans="1:19" x14ac:dyDescent="0.2">
      <c r="A1031" t="str">
        <f t="shared" si="146"/>
        <v>Adult Nonfiction</v>
      </c>
      <c r="B1031" t="str">
        <f>"NEW 158.2 BEN"</f>
        <v>NEW 158.2 BEN</v>
      </c>
      <c r="C1031" t="str">
        <f>"Why are we yelling?: the art of productive disagreement"</f>
        <v>Why are we yelling?: the art of productive disagreement</v>
      </c>
      <c r="D1031">
        <v>360457</v>
      </c>
      <c r="E1031" t="str">
        <f>"Benson, Buster"</f>
        <v>Benson, Buster</v>
      </c>
      <c r="G1031" t="str">
        <f>"277 pages, 22 cm, illustrations"</f>
        <v>277 pages, 22 cm, illustrations</v>
      </c>
      <c r="H1031" s="1">
        <v>20</v>
      </c>
      <c r="I1031">
        <v>2019</v>
      </c>
      <c r="J1031" t="str">
        <f t="shared" si="147"/>
        <v>7: 000 - 199</v>
      </c>
      <c r="L1031" t="s">
        <v>2403</v>
      </c>
      <c r="M1031" t="s">
        <v>28</v>
      </c>
      <c r="N1031" t="s">
        <v>2415</v>
      </c>
      <c r="O1031">
        <v>0</v>
      </c>
      <c r="P1031" s="2">
        <v>43851</v>
      </c>
      <c r="Q1031" s="1">
        <v>32</v>
      </c>
      <c r="R1031" t="s">
        <v>3071</v>
      </c>
      <c r="S1031">
        <v>1088636991</v>
      </c>
    </row>
    <row r="1032" spans="1:19" x14ac:dyDescent="0.2">
      <c r="A1032" t="str">
        <f t="shared" si="146"/>
        <v>Adult Nonfiction</v>
      </c>
      <c r="B1032" t="str">
        <f>"NEW 158.2 GRA"</f>
        <v>NEW 158.2 GRA</v>
      </c>
      <c r="C1032" t="str">
        <f>"Face to face: the art of human connection"</f>
        <v>Face to face: the art of human connection</v>
      </c>
      <c r="D1032">
        <v>357891</v>
      </c>
      <c r="E1032" t="str">
        <f>"Grazer, Brian,"</f>
        <v>Grazer, Brian,</v>
      </c>
      <c r="G1032" t="str">
        <f>"198 pages, 22 cm"</f>
        <v>198 pages, 22 cm</v>
      </c>
      <c r="H1032" s="1">
        <v>19</v>
      </c>
      <c r="I1032">
        <v>2019</v>
      </c>
      <c r="J1032" t="str">
        <f t="shared" si="147"/>
        <v>7: 000 - 199</v>
      </c>
      <c r="L1032" t="s">
        <v>2395</v>
      </c>
      <c r="M1032" t="s">
        <v>28</v>
      </c>
      <c r="N1032" t="s">
        <v>2404</v>
      </c>
      <c r="O1032">
        <v>4</v>
      </c>
      <c r="P1032" s="2">
        <v>43733</v>
      </c>
      <c r="Q1032" s="1">
        <v>30</v>
      </c>
      <c r="R1032" t="s">
        <v>3072</v>
      </c>
      <c r="S1032">
        <v>1099545481</v>
      </c>
    </row>
    <row r="1033" spans="1:19" x14ac:dyDescent="0.2">
      <c r="A1033" t="str">
        <f t="shared" si="146"/>
        <v>Adult Nonfiction</v>
      </c>
      <c r="B1033" t="str">
        <f>"NEW 158.2 SAF"</f>
        <v>NEW 158.2 SAF</v>
      </c>
      <c r="C1033" t="str">
        <f>"I love you, but I hate your politics: how to protect your intimate relationships in a poisonous partisan world"</f>
        <v>I love you, but I hate your politics: how to protect your intimate relationships in a poisonous partisan world</v>
      </c>
      <c r="D1033">
        <v>355416</v>
      </c>
      <c r="E1033" t="str">
        <f>"Safer, Jeanne"</f>
        <v>Safer, Jeanne</v>
      </c>
      <c r="G1033" t="str">
        <f>"ix, 228 pages, 22 cm"</f>
        <v>ix, 228 pages, 22 cm</v>
      </c>
      <c r="H1033" s="1">
        <v>19</v>
      </c>
      <c r="I1033">
        <v>2019</v>
      </c>
      <c r="J1033" t="str">
        <f t="shared" si="147"/>
        <v>7: 000 - 199</v>
      </c>
      <c r="L1033" t="s">
        <v>2395</v>
      </c>
      <c r="M1033" t="s">
        <v>28</v>
      </c>
      <c r="N1033" t="s">
        <v>2401</v>
      </c>
      <c r="O1033">
        <v>3</v>
      </c>
      <c r="P1033" s="2">
        <v>43626</v>
      </c>
      <c r="Q1033" s="1">
        <v>33</v>
      </c>
      <c r="R1033" t="s">
        <v>3073</v>
      </c>
      <c r="S1033">
        <v>1048943815</v>
      </c>
    </row>
    <row r="1034" spans="1:19" x14ac:dyDescent="0.2">
      <c r="A1034" t="str">
        <f t="shared" si="146"/>
        <v>Adult Nonfiction</v>
      </c>
      <c r="B1034" t="str">
        <f>"NEW 158.4 COL"</f>
        <v>NEW 158.4 COL</v>
      </c>
      <c r="C1034" t="str">
        <f>"Reboot: leadership and the art of growing up"</f>
        <v>Reboot: leadership and the art of growing up</v>
      </c>
      <c r="D1034">
        <v>356834</v>
      </c>
      <c r="E1034" t="str">
        <f>"Colonna, Jerry,"</f>
        <v>Colonna, Jerry,</v>
      </c>
      <c r="G1034" t="str">
        <f>"xiii, 265 pages, 22 cm"</f>
        <v>xiii, 265 pages, 22 cm</v>
      </c>
      <c r="H1034" s="1">
        <v>19</v>
      </c>
      <c r="I1034">
        <v>2019</v>
      </c>
      <c r="J1034" t="str">
        <f t="shared" si="147"/>
        <v>7: 000 - 199</v>
      </c>
      <c r="L1034" t="s">
        <v>2395</v>
      </c>
      <c r="M1034" t="s">
        <v>28</v>
      </c>
      <c r="N1034" t="s">
        <v>2396</v>
      </c>
      <c r="O1034">
        <v>7</v>
      </c>
      <c r="P1034" s="2">
        <v>43691</v>
      </c>
      <c r="Q1034" s="1">
        <v>35</v>
      </c>
      <c r="R1034" t="s">
        <v>3074</v>
      </c>
      <c r="S1034">
        <v>1053862455</v>
      </c>
    </row>
    <row r="1035" spans="1:19" x14ac:dyDescent="0.2">
      <c r="A1035" t="str">
        <f t="shared" si="146"/>
        <v>Adult Nonfiction</v>
      </c>
      <c r="B1035" t="str">
        <f>"NEW 170.4 HAN"</f>
        <v>NEW 170.4 HAN</v>
      </c>
      <c r="C1035" t="str">
        <f>"Our great purpose: Adam Smith on living a better life"</f>
        <v>Our great purpose: Adam Smith on living a better life</v>
      </c>
      <c r="D1035">
        <v>358831</v>
      </c>
      <c r="E1035" t="str">
        <f>"Hanley, Ryan Patrick,"</f>
        <v>Hanley, Ryan Patrick,</v>
      </c>
      <c r="G1035" t="str">
        <f>"138 p."</f>
        <v>138 p.</v>
      </c>
      <c r="H1035" s="1">
        <v>19</v>
      </c>
      <c r="I1035">
        <v>2019</v>
      </c>
      <c r="J1035" t="str">
        <f t="shared" si="147"/>
        <v>7: 000 - 199</v>
      </c>
      <c r="L1035" t="s">
        <v>2403</v>
      </c>
      <c r="M1035" t="s">
        <v>28</v>
      </c>
      <c r="N1035" t="s">
        <v>2404</v>
      </c>
      <c r="O1035">
        <v>7</v>
      </c>
      <c r="P1035" s="2">
        <v>43766</v>
      </c>
      <c r="Q1035" s="1">
        <v>23</v>
      </c>
      <c r="R1035" t="s">
        <v>3075</v>
      </c>
    </row>
    <row r="1036" spans="1:19" x14ac:dyDescent="0.2">
      <c r="A1036" t="str">
        <f t="shared" si="146"/>
        <v>Adult Nonfiction</v>
      </c>
      <c r="B1036" t="str">
        <f>"NEW 177.7 ROU"</f>
        <v>NEW 177.7 ROU</v>
      </c>
      <c r="C1036" t="str">
        <f>"Amour: how the French talk about love"</f>
        <v>Amour: how the French talk about love</v>
      </c>
      <c r="D1036">
        <v>360588</v>
      </c>
      <c r="E1036" t="str">
        <f>"Rousselle, Stefania"</f>
        <v>Rousselle, Stefania</v>
      </c>
      <c r="G1036" t="str">
        <f>"233 pages, 19 x 21 cm, color illustrations"</f>
        <v>233 pages, 19 x 21 cm, color illustrations</v>
      </c>
      <c r="H1036" s="1">
        <v>20</v>
      </c>
      <c r="I1036">
        <v>2020</v>
      </c>
      <c r="J1036" t="str">
        <f t="shared" si="147"/>
        <v>7: 000 - 199</v>
      </c>
      <c r="L1036" t="s">
        <v>2395</v>
      </c>
      <c r="M1036" t="s">
        <v>28</v>
      </c>
      <c r="N1036" t="s">
        <v>2495</v>
      </c>
      <c r="O1036">
        <v>0</v>
      </c>
      <c r="P1036" s="2">
        <v>43859</v>
      </c>
      <c r="Q1036" s="1">
        <v>30</v>
      </c>
      <c r="R1036" t="s">
        <v>3076</v>
      </c>
      <c r="S1036">
        <v>1107442537</v>
      </c>
    </row>
    <row r="1037" spans="1:19" x14ac:dyDescent="0.2">
      <c r="A1037" t="str">
        <f t="shared" si="146"/>
        <v>Adult Nonfiction</v>
      </c>
      <c r="B1037" t="str">
        <f>"NEW 187 WIL"</f>
        <v>NEW 187 WIL</v>
      </c>
      <c r="C1037" t="str">
        <f>"How to be an epicurean: the ancient art of living well"</f>
        <v>How to be an epicurean: the ancient art of living well</v>
      </c>
      <c r="D1037">
        <v>359025</v>
      </c>
      <c r="E1037" t="str">
        <f>"Wilson, Catherine,"</f>
        <v>Wilson, Catherine,</v>
      </c>
      <c r="G1037" t="str">
        <f>"293 pages, 25 cm"</f>
        <v>293 pages, 25 cm</v>
      </c>
      <c r="H1037" s="1">
        <v>19</v>
      </c>
      <c r="I1037">
        <v>2019</v>
      </c>
      <c r="J1037" t="str">
        <f t="shared" si="147"/>
        <v>7: 000 - 199</v>
      </c>
      <c r="L1037" t="s">
        <v>2403</v>
      </c>
      <c r="M1037" t="s">
        <v>28</v>
      </c>
      <c r="N1037" t="s">
        <v>2404</v>
      </c>
      <c r="O1037">
        <v>3</v>
      </c>
      <c r="P1037" s="2">
        <v>43776</v>
      </c>
      <c r="Q1037" s="1">
        <v>35</v>
      </c>
      <c r="R1037" t="s">
        <v>3077</v>
      </c>
      <c r="S1037">
        <v>1119721498</v>
      </c>
    </row>
    <row r="1038" spans="1:19" x14ac:dyDescent="0.2">
      <c r="A1038" t="str">
        <f t="shared" si="146"/>
        <v>Adult Nonfiction</v>
      </c>
      <c r="B1038" t="str">
        <f>"NEW 190 ROB"</f>
        <v>NEW 190 ROB</v>
      </c>
      <c r="C1038" t="str">
        <f>"When you Kant figure it out, ask a philosopher: timeless wisdom for modern dilemmas"</f>
        <v>When you Kant figure it out, ask a philosopher: timeless wisdom for modern dilemmas</v>
      </c>
      <c r="D1038">
        <v>360185</v>
      </c>
      <c r="E1038" t="str">
        <f>"Robert, Marie"</f>
        <v>Robert, Marie</v>
      </c>
      <c r="G1038" t="str">
        <f>"ix, 166 pages, 19 cm, illustrations"</f>
        <v>ix, 166 pages, 19 cm, illustrations</v>
      </c>
      <c r="H1038" s="1">
        <v>19</v>
      </c>
      <c r="I1038">
        <v>2019</v>
      </c>
      <c r="J1038" t="str">
        <f t="shared" si="147"/>
        <v>7: 000 - 199</v>
      </c>
      <c r="L1038" t="s">
        <v>2395</v>
      </c>
      <c r="M1038" t="s">
        <v>28</v>
      </c>
      <c r="N1038" t="s">
        <v>2404</v>
      </c>
      <c r="O1038">
        <v>1</v>
      </c>
      <c r="P1038" s="2">
        <v>43833</v>
      </c>
      <c r="Q1038" s="1">
        <v>25</v>
      </c>
      <c r="R1038" t="s">
        <v>3078</v>
      </c>
      <c r="S1038">
        <v>1089560223</v>
      </c>
    </row>
    <row r="1039" spans="1:19" x14ac:dyDescent="0.2">
      <c r="A1039" t="str">
        <f t="shared" ref="A1039:A1102" si="148">"Adult Nonfiction"</f>
        <v>Adult Nonfiction</v>
      </c>
      <c r="B1039" t="str">
        <f>"NEW 234 WIL"</f>
        <v>NEW 234 WIL</v>
      </c>
      <c r="C1039" t="str">
        <f>"Stay curious: how questions and doubts can save your faith"</f>
        <v>Stay curious: how questions and doubts can save your faith</v>
      </c>
      <c r="D1039">
        <v>358896</v>
      </c>
      <c r="E1039" t="str">
        <f>"Williams O'brien, Stephanie."</f>
        <v>Williams O'brien, Stephanie.</v>
      </c>
      <c r="G1039" t="str">
        <f>"284 p."</f>
        <v>284 p.</v>
      </c>
      <c r="H1039" s="1">
        <v>19</v>
      </c>
      <c r="I1039">
        <v>2019</v>
      </c>
      <c r="J1039" t="str">
        <f t="shared" ref="J1039:J1064" si="149">"8: 200 - 299"</f>
        <v>8: 200 - 299</v>
      </c>
      <c r="L1039" t="s">
        <v>2395</v>
      </c>
      <c r="M1039" t="s">
        <v>28</v>
      </c>
      <c r="N1039" t="s">
        <v>2396</v>
      </c>
      <c r="O1039">
        <v>0</v>
      </c>
      <c r="P1039" s="2">
        <v>43769</v>
      </c>
      <c r="Q1039" s="1">
        <v>31</v>
      </c>
      <c r="R1039" t="s">
        <v>3079</v>
      </c>
      <c r="S1039">
        <v>1088310120</v>
      </c>
    </row>
    <row r="1040" spans="1:19" x14ac:dyDescent="0.2">
      <c r="A1040" t="str">
        <f t="shared" si="148"/>
        <v>Adult Nonfiction</v>
      </c>
      <c r="B1040" t="str">
        <f>"NEW 241.4 WIL"</f>
        <v>NEW 241.4 WIL</v>
      </c>
      <c r="C1040" t="str">
        <f>"Character carved in stone: the 12 core virtues of West Point that build leaders and produce success"</f>
        <v>Character carved in stone: the 12 core virtues of West Point that build leaders and produce success</v>
      </c>
      <c r="D1040">
        <v>358301</v>
      </c>
      <c r="E1040" t="str">
        <f>"Williams, Patricia"</f>
        <v>Williams, Patricia</v>
      </c>
      <c r="G1040" t="str">
        <f>"214 pages, 23 cm, illustration"</f>
        <v>214 pages, 23 cm, illustration</v>
      </c>
      <c r="H1040" s="1">
        <v>19</v>
      </c>
      <c r="I1040">
        <v>2019</v>
      </c>
      <c r="J1040" t="str">
        <f t="shared" si="149"/>
        <v>8: 200 - 299</v>
      </c>
      <c r="L1040" t="s">
        <v>2395</v>
      </c>
      <c r="M1040" t="s">
        <v>28</v>
      </c>
      <c r="N1040" t="s">
        <v>2396</v>
      </c>
      <c r="O1040">
        <v>4</v>
      </c>
      <c r="P1040" s="2">
        <v>43749</v>
      </c>
      <c r="Q1040" s="1">
        <v>23</v>
      </c>
      <c r="R1040" t="s">
        <v>3080</v>
      </c>
      <c r="S1040">
        <v>1050453879</v>
      </c>
    </row>
    <row r="1041" spans="1:19" x14ac:dyDescent="0.2">
      <c r="A1041" t="str">
        <f t="shared" si="148"/>
        <v>Adult Nonfiction</v>
      </c>
      <c r="B1041" t="str">
        <f>"NEW 248 NIC"</f>
        <v>NEW 248 NIC</v>
      </c>
      <c r="C1041" t="str">
        <f>"All along you were blooming: thoughts for boundless living"</f>
        <v>All along you were blooming: thoughts for boundless living</v>
      </c>
      <c r="D1041">
        <v>360562</v>
      </c>
      <c r="E1041" t="str">
        <f>"Nichols, Morgan Harper."</f>
        <v>Nichols, Morgan Harper.</v>
      </c>
      <c r="G1041" t="str">
        <f>"192 p."</f>
        <v>192 p.</v>
      </c>
      <c r="H1041" s="1">
        <v>20</v>
      </c>
      <c r="I1041">
        <v>2020</v>
      </c>
      <c r="J1041" t="str">
        <f t="shared" si="149"/>
        <v>8: 200 - 299</v>
      </c>
      <c r="L1041" t="s">
        <v>2395</v>
      </c>
      <c r="M1041" t="s">
        <v>28</v>
      </c>
      <c r="N1041" t="s">
        <v>2495</v>
      </c>
      <c r="O1041">
        <v>0</v>
      </c>
      <c r="P1041" s="2">
        <v>43858</v>
      </c>
      <c r="Q1041" s="1">
        <v>22</v>
      </c>
      <c r="R1041" t="s">
        <v>3081</v>
      </c>
    </row>
    <row r="1042" spans="1:19" x14ac:dyDescent="0.2">
      <c r="A1042" t="str">
        <f t="shared" si="148"/>
        <v>Adult Nonfiction</v>
      </c>
      <c r="B1042" t="str">
        <f>"NEW 248.3 SIM"</f>
        <v>NEW 248.3 SIM</v>
      </c>
      <c r="C1042" t="s">
        <v>3082</v>
      </c>
      <c r="D1042">
        <v>359665</v>
      </c>
      <c r="E1042" t="str">
        <f>"Simons, Ruth Chou"</f>
        <v>Simons, Ruth Chou</v>
      </c>
      <c r="G1042" t="str">
        <f>"224 pages, 24 cm, color illustrations,"</f>
        <v>224 pages, 24 cm, color illustrations,</v>
      </c>
      <c r="H1042" s="1">
        <v>19</v>
      </c>
      <c r="I1042">
        <v>2017</v>
      </c>
      <c r="J1042" t="str">
        <f t="shared" si="149"/>
        <v>8: 200 - 299</v>
      </c>
      <c r="L1042" t="s">
        <v>2395</v>
      </c>
      <c r="M1042" t="s">
        <v>28</v>
      </c>
      <c r="N1042" t="s">
        <v>2396</v>
      </c>
      <c r="O1042">
        <v>1</v>
      </c>
      <c r="P1042" s="2">
        <v>43804</v>
      </c>
      <c r="Q1042" s="1">
        <v>35</v>
      </c>
      <c r="R1042" t="s">
        <v>3083</v>
      </c>
      <c r="S1042">
        <v>1012678708</v>
      </c>
    </row>
    <row r="1043" spans="1:19" x14ac:dyDescent="0.2">
      <c r="A1043" t="str">
        <f t="shared" si="148"/>
        <v>Adult Nonfiction</v>
      </c>
      <c r="B1043" t="str">
        <f>"NEW 248.4 BOW"</f>
        <v>NEW 248.4 BOW</v>
      </c>
      <c r="C1043" t="str">
        <f>"Spiritual rebel: a positively addictive guide to finding deeper perspective &amp; higher purpose"</f>
        <v>Spiritual rebel: a positively addictive guide to finding deeper perspective &amp; higher purpose</v>
      </c>
      <c r="D1043">
        <v>356417</v>
      </c>
      <c r="E1043" t="str">
        <f>"Bowen, Sarah"</f>
        <v>Bowen, Sarah</v>
      </c>
      <c r="G1043" t="str">
        <f>"225 pages, 22 cm"</f>
        <v>225 pages, 22 cm</v>
      </c>
      <c r="H1043" s="1">
        <v>19</v>
      </c>
      <c r="I1043">
        <v>2019</v>
      </c>
      <c r="J1043" t="str">
        <f t="shared" si="149"/>
        <v>8: 200 - 299</v>
      </c>
      <c r="L1043" t="s">
        <v>2395</v>
      </c>
      <c r="M1043" t="s">
        <v>28</v>
      </c>
      <c r="N1043" t="s">
        <v>2404</v>
      </c>
      <c r="O1043">
        <v>5</v>
      </c>
      <c r="P1043" s="2">
        <v>43671</v>
      </c>
      <c r="Q1043" s="1">
        <v>22</v>
      </c>
      <c r="R1043" t="s">
        <v>3084</v>
      </c>
      <c r="S1043">
        <v>1050955557</v>
      </c>
    </row>
    <row r="1044" spans="1:19" x14ac:dyDescent="0.2">
      <c r="A1044" t="str">
        <f t="shared" si="148"/>
        <v>Adult Nonfiction</v>
      </c>
      <c r="B1044" t="str">
        <f>"NEW 248.4 CAS"</f>
        <v>NEW 248.4 CAS</v>
      </c>
      <c r="C1044" t="str">
        <f>"The way of simplelLove: inspiring words from Therese of Lisieux"</f>
        <v>The way of simplelLove: inspiring words from Therese of Lisieux</v>
      </c>
      <c r="D1044">
        <v>358161</v>
      </c>
      <c r="E1044" t="str">
        <f>"Caster, Gary."</f>
        <v>Caster, Gary.</v>
      </c>
      <c r="G1044" t="str">
        <f>"181 p."</f>
        <v>181 p.</v>
      </c>
      <c r="H1044" s="1">
        <v>19</v>
      </c>
      <c r="I1044">
        <v>2019</v>
      </c>
      <c r="J1044" t="str">
        <f t="shared" si="149"/>
        <v>8: 200 - 299</v>
      </c>
      <c r="L1044" t="s">
        <v>2403</v>
      </c>
      <c r="M1044" t="s">
        <v>28</v>
      </c>
      <c r="N1044" t="s">
        <v>2404</v>
      </c>
      <c r="O1044">
        <v>2</v>
      </c>
      <c r="P1044" s="2">
        <v>43740</v>
      </c>
      <c r="Q1044" s="1">
        <v>22</v>
      </c>
      <c r="R1044" t="s">
        <v>3085</v>
      </c>
      <c r="S1044">
        <v>1096287530</v>
      </c>
    </row>
    <row r="1045" spans="1:19" x14ac:dyDescent="0.2">
      <c r="A1045" t="str">
        <f t="shared" si="148"/>
        <v>Adult Nonfiction</v>
      </c>
      <c r="B1045" t="str">
        <f>"NEW 248.4 EGA"</f>
        <v>NEW 248.4 EGA</v>
      </c>
      <c r="C1045" t="str">
        <f>"A pilgrimage to eternity: from Canterbury to Rome in search of a faith"</f>
        <v>A pilgrimage to eternity: from Canterbury to Rome in search of a faith</v>
      </c>
      <c r="D1045">
        <v>358888</v>
      </c>
      <c r="E1045" t="str">
        <f>"Egan, Timothy"</f>
        <v>Egan, Timothy</v>
      </c>
      <c r="G1045" t="str">
        <f>"367 p., 24 cm, maps"</f>
        <v>367 p., 24 cm, maps</v>
      </c>
      <c r="H1045" s="1">
        <v>19</v>
      </c>
      <c r="I1045">
        <v>2019</v>
      </c>
      <c r="J1045" t="str">
        <f t="shared" si="149"/>
        <v>8: 200 - 299</v>
      </c>
      <c r="L1045" t="s">
        <v>2403</v>
      </c>
      <c r="M1045" t="s">
        <v>28</v>
      </c>
      <c r="N1045" t="s">
        <v>2396</v>
      </c>
      <c r="O1045">
        <v>1</v>
      </c>
      <c r="P1045" s="2">
        <v>43769</v>
      </c>
      <c r="Q1045" s="1">
        <v>33</v>
      </c>
      <c r="R1045" t="s">
        <v>3086</v>
      </c>
      <c r="S1045">
        <v>1085579008</v>
      </c>
    </row>
    <row r="1046" spans="1:19" x14ac:dyDescent="0.2">
      <c r="A1046" t="str">
        <f t="shared" si="148"/>
        <v>Adult Nonfiction</v>
      </c>
      <c r="B1046" t="str">
        <f>"NEW 248.4 MOR"</f>
        <v>NEW 248.4 MOR</v>
      </c>
      <c r="C1046" t="str">
        <f>"Take the day off: receiving God's gift of rest"</f>
        <v>Take the day off: receiving God's gift of rest</v>
      </c>
      <c r="D1046">
        <v>360179</v>
      </c>
      <c r="E1046" t="str">
        <f>"Morris, Robert"</f>
        <v>Morris, Robert</v>
      </c>
      <c r="G1046" t="str">
        <f>"xxii, 216 pages, 24 cm"</f>
        <v>xxii, 216 pages, 24 cm</v>
      </c>
      <c r="H1046" s="1">
        <v>19</v>
      </c>
      <c r="I1046">
        <v>2019</v>
      </c>
      <c r="J1046" t="str">
        <f t="shared" si="149"/>
        <v>8: 200 - 299</v>
      </c>
      <c r="L1046" t="s">
        <v>2395</v>
      </c>
      <c r="M1046" t="s">
        <v>28</v>
      </c>
      <c r="N1046" t="s">
        <v>2396</v>
      </c>
      <c r="O1046">
        <v>0</v>
      </c>
      <c r="P1046" s="2">
        <v>43833</v>
      </c>
      <c r="Q1046" s="1">
        <v>27</v>
      </c>
      <c r="R1046" t="s">
        <v>3087</v>
      </c>
      <c r="S1046">
        <v>1090913492</v>
      </c>
    </row>
    <row r="1047" spans="1:19" x14ac:dyDescent="0.2">
      <c r="A1047" t="str">
        <f t="shared" si="148"/>
        <v>Adult Nonfiction</v>
      </c>
      <c r="B1047" t="str">
        <f>"NEW 248.4 TAI"</f>
        <v>NEW 248.4 TAI</v>
      </c>
      <c r="C1047" t="str">
        <f>"The view from rock bottom"</f>
        <v>The view from rock bottom</v>
      </c>
      <c r="D1047">
        <v>359225</v>
      </c>
      <c r="E1047" t="str">
        <f>"Tait, Stephanie,"</f>
        <v>Tait, Stephanie,</v>
      </c>
      <c r="G1047" t="str">
        <f>"191 p., 22 cm"</f>
        <v>191 p., 22 cm</v>
      </c>
      <c r="H1047" s="1">
        <v>19</v>
      </c>
      <c r="I1047">
        <v>2019</v>
      </c>
      <c r="J1047" t="str">
        <f t="shared" si="149"/>
        <v>8: 200 - 299</v>
      </c>
      <c r="L1047" t="s">
        <v>2403</v>
      </c>
      <c r="M1047" t="s">
        <v>28</v>
      </c>
      <c r="N1047" t="s">
        <v>2396</v>
      </c>
      <c r="O1047">
        <v>0</v>
      </c>
      <c r="P1047" s="2">
        <v>43782</v>
      </c>
      <c r="Q1047" s="1">
        <v>20</v>
      </c>
      <c r="R1047" t="s">
        <v>3088</v>
      </c>
      <c r="S1047">
        <v>1088607314</v>
      </c>
    </row>
    <row r="1048" spans="1:19" x14ac:dyDescent="0.2">
      <c r="A1048" t="str">
        <f t="shared" si="148"/>
        <v>Adult Nonfiction</v>
      </c>
      <c r="B1048" t="str">
        <f>"NEW 248.4 TUR"</f>
        <v>NEW 248.4 TUR</v>
      </c>
      <c r="C1048" t="str">
        <f>"Stretched too thin: how working moms can lose the guilt, work smarter, and thrive"</f>
        <v>Stretched too thin: how working moms can lose the guilt, work smarter, and thrive</v>
      </c>
      <c r="D1048">
        <v>357535</v>
      </c>
      <c r="E1048" t="str">
        <f>"Turner, Jessica N.,"</f>
        <v>Turner, Jessica N.,</v>
      </c>
      <c r="G1048" t="str">
        <f>"228 p., 23 cm"</f>
        <v>228 p., 23 cm</v>
      </c>
      <c r="H1048" s="1">
        <v>19</v>
      </c>
      <c r="I1048">
        <v>2018</v>
      </c>
      <c r="J1048" t="str">
        <f t="shared" si="149"/>
        <v>8: 200 - 299</v>
      </c>
      <c r="L1048" t="s">
        <v>2403</v>
      </c>
      <c r="M1048" t="s">
        <v>28</v>
      </c>
      <c r="N1048" t="s">
        <v>2404</v>
      </c>
      <c r="O1048">
        <v>2</v>
      </c>
      <c r="P1048" s="2">
        <v>43719</v>
      </c>
      <c r="Q1048" s="1">
        <v>28</v>
      </c>
      <c r="R1048" t="s">
        <v>3089</v>
      </c>
      <c r="S1048">
        <v>1043307576</v>
      </c>
    </row>
    <row r="1049" spans="1:19" x14ac:dyDescent="0.2">
      <c r="A1049" t="str">
        <f t="shared" si="148"/>
        <v>Adult Nonfiction</v>
      </c>
      <c r="B1049" t="str">
        <f>"NEW 248.4 WHI"</f>
        <v>NEW 248.4 WHI</v>
      </c>
      <c r="C1049" t="str">
        <f>"Love big: the power of revolutionary relationships to heal the world"</f>
        <v>Love big: the power of revolutionary relationships to heal the world</v>
      </c>
      <c r="D1049">
        <v>408497</v>
      </c>
      <c r="E1049" t="str">
        <f>"White, Rozella Haydee"</f>
        <v>White, Rozella Haydee</v>
      </c>
      <c r="G1049" t="str">
        <f>"xxviii, 148 pages, 22 cm"</f>
        <v>xxviii, 148 pages, 22 cm</v>
      </c>
      <c r="H1049" s="1">
        <v>19</v>
      </c>
      <c r="I1049">
        <v>2019</v>
      </c>
      <c r="J1049" t="str">
        <f t="shared" si="149"/>
        <v>8: 200 - 299</v>
      </c>
      <c r="L1049" t="s">
        <v>2395</v>
      </c>
      <c r="M1049" t="s">
        <v>28</v>
      </c>
      <c r="N1049" t="s">
        <v>2396</v>
      </c>
      <c r="O1049">
        <v>0</v>
      </c>
      <c r="P1049" s="2">
        <v>43809</v>
      </c>
      <c r="Q1049" s="1">
        <v>27</v>
      </c>
      <c r="R1049" t="s">
        <v>3090</v>
      </c>
      <c r="S1049">
        <v>1054368027</v>
      </c>
    </row>
    <row r="1050" spans="1:19" x14ac:dyDescent="0.2">
      <c r="A1050" t="str">
        <f t="shared" si="148"/>
        <v>Adult Nonfiction</v>
      </c>
      <c r="B1050" t="str">
        <f>"NEW 248.8 AND"</f>
        <v>NEW 248.8 AND</v>
      </c>
      <c r="C1050" t="str">
        <f>"Unstuck: letting go of the myths keeping you from who you are created to be"</f>
        <v>Unstuck: letting go of the myths keeping you from who you are created to be</v>
      </c>
      <c r="D1050">
        <v>360324</v>
      </c>
      <c r="E1050" t="str">
        <f>"Anderson, Kim."</f>
        <v>Anderson, Kim.</v>
      </c>
      <c r="G1050" t="str">
        <f>"199 p."</f>
        <v>199 p.</v>
      </c>
      <c r="H1050" s="1">
        <v>19</v>
      </c>
      <c r="I1050">
        <v>2020</v>
      </c>
      <c r="J1050" t="str">
        <f t="shared" si="149"/>
        <v>8: 200 - 299</v>
      </c>
      <c r="L1050" t="s">
        <v>2403</v>
      </c>
      <c r="M1050" t="s">
        <v>28</v>
      </c>
      <c r="N1050" t="s">
        <v>2415</v>
      </c>
      <c r="O1050">
        <v>0</v>
      </c>
      <c r="P1050" s="2">
        <v>43844</v>
      </c>
      <c r="Q1050" s="1">
        <v>22</v>
      </c>
      <c r="R1050" t="s">
        <v>3091</v>
      </c>
    </row>
    <row r="1051" spans="1:19" x14ac:dyDescent="0.2">
      <c r="A1051" t="str">
        <f t="shared" si="148"/>
        <v>Adult Nonfiction</v>
      </c>
      <c r="B1051" t="str">
        <f>"NEW 248.8 BAS"</f>
        <v>NEW 248.8 BAS</v>
      </c>
      <c r="C1051" t="str">
        <f>"Bless this mess: a modern day guide to faith and parenting in a chaotic world"</f>
        <v>Bless this mess: a modern day guide to faith and parenting in a chaotic world</v>
      </c>
      <c r="D1051">
        <v>360150</v>
      </c>
      <c r="E1051" t="str">
        <f>"Baskette, Molly Phinney,"</f>
        <v>Baskette, Molly Phinney,</v>
      </c>
      <c r="G1051" t="str">
        <f>"viii, 309 pages, 22 cm"</f>
        <v>viii, 309 pages, 22 cm</v>
      </c>
      <c r="H1051" s="1">
        <v>19</v>
      </c>
      <c r="I1051">
        <v>2019</v>
      </c>
      <c r="J1051" t="str">
        <f t="shared" si="149"/>
        <v>8: 200 - 299</v>
      </c>
      <c r="L1051" t="s">
        <v>2403</v>
      </c>
      <c r="M1051" t="s">
        <v>28</v>
      </c>
      <c r="N1051" t="s">
        <v>2396</v>
      </c>
      <c r="O1051">
        <v>0</v>
      </c>
      <c r="P1051" s="2">
        <v>43833</v>
      </c>
      <c r="Q1051" s="1">
        <v>22</v>
      </c>
      <c r="R1051" t="s">
        <v>3092</v>
      </c>
      <c r="S1051">
        <v>1110700324</v>
      </c>
    </row>
    <row r="1052" spans="1:19" x14ac:dyDescent="0.2">
      <c r="A1052" t="str">
        <f t="shared" si="148"/>
        <v>Adult Nonfiction</v>
      </c>
      <c r="B1052" t="str">
        <f>"NEW 261 HOW"</f>
        <v>NEW 261 HOW</v>
      </c>
      <c r="C1052" t="str">
        <f>"The immoral majority: why evangelicals chose political power over Christian values"</f>
        <v>The immoral majority: why evangelicals chose political power over Christian values</v>
      </c>
      <c r="D1052">
        <v>359375</v>
      </c>
      <c r="E1052" t="str">
        <f>"Howe, Ben"</f>
        <v>Howe, Ben</v>
      </c>
      <c r="G1052" t="str">
        <f>"265 p., 24 cm"</f>
        <v>265 p., 24 cm</v>
      </c>
      <c r="H1052" s="1">
        <v>19</v>
      </c>
      <c r="I1052">
        <v>2019</v>
      </c>
      <c r="J1052" t="str">
        <f t="shared" si="149"/>
        <v>8: 200 - 299</v>
      </c>
      <c r="L1052" t="s">
        <v>2403</v>
      </c>
      <c r="M1052" t="s">
        <v>28</v>
      </c>
      <c r="N1052" t="s">
        <v>2396</v>
      </c>
      <c r="O1052">
        <v>1</v>
      </c>
      <c r="P1052" s="2">
        <v>43788</v>
      </c>
      <c r="Q1052" s="1">
        <v>32</v>
      </c>
      <c r="R1052" t="s">
        <v>3093</v>
      </c>
      <c r="S1052">
        <v>1109776524</v>
      </c>
    </row>
    <row r="1053" spans="1:19" x14ac:dyDescent="0.2">
      <c r="A1053" t="str">
        <f t="shared" si="148"/>
        <v>Adult Nonfiction</v>
      </c>
      <c r="B1053" t="str">
        <f>"NEW 261.7 HOL"</f>
        <v>NEW 261.7 HOL</v>
      </c>
      <c r="C1053" t="str">
        <f>"I think you're wrong (but I'm listening): a guide to grace-filled political conversations"</f>
        <v>I think you're wrong (but I'm listening): a guide to grace-filled political conversations</v>
      </c>
      <c r="D1053">
        <v>360159</v>
      </c>
      <c r="E1053" t="str">
        <f>"Holland, Sarah Stewart,"</f>
        <v>Holland, Sarah Stewart,</v>
      </c>
      <c r="G1053" t="str">
        <f>"xvi, 205 pages, 22 cm"</f>
        <v>xvi, 205 pages, 22 cm</v>
      </c>
      <c r="H1053" s="1">
        <v>19</v>
      </c>
      <c r="I1053">
        <v>2019</v>
      </c>
      <c r="J1053" t="str">
        <f t="shared" si="149"/>
        <v>8: 200 - 299</v>
      </c>
      <c r="L1053" t="s">
        <v>2395</v>
      </c>
      <c r="M1053" t="s">
        <v>28</v>
      </c>
      <c r="N1053" t="s">
        <v>2404</v>
      </c>
      <c r="O1053">
        <v>1</v>
      </c>
      <c r="P1053" s="2">
        <v>43833</v>
      </c>
      <c r="Q1053" s="1">
        <v>30</v>
      </c>
      <c r="R1053" t="s">
        <v>3094</v>
      </c>
      <c r="S1053">
        <v>1045183431</v>
      </c>
    </row>
    <row r="1054" spans="1:19" x14ac:dyDescent="0.2">
      <c r="A1054" t="str">
        <f t="shared" si="148"/>
        <v>Adult Nonfiction</v>
      </c>
      <c r="B1054" t="str">
        <f>"NEW 261.7 KID"</f>
        <v>NEW 261.7 KID</v>
      </c>
      <c r="C1054" t="str">
        <f>"Who is an evangelical?: the history of a movement in crisis"</f>
        <v>Who is an evangelical?: the history of a movement in crisis</v>
      </c>
      <c r="D1054">
        <v>408483</v>
      </c>
      <c r="E1054" t="str">
        <f>"Kidd, Thomas S."</f>
        <v>Kidd, Thomas S.</v>
      </c>
      <c r="G1054" t="str">
        <f>"191 pages, 22 cm"</f>
        <v>191 pages, 22 cm</v>
      </c>
      <c r="H1054" s="1">
        <v>19</v>
      </c>
      <c r="I1054">
        <v>2019</v>
      </c>
      <c r="J1054" t="str">
        <f t="shared" si="149"/>
        <v>8: 200 - 299</v>
      </c>
      <c r="L1054" t="s">
        <v>2395</v>
      </c>
      <c r="M1054" t="s">
        <v>28</v>
      </c>
      <c r="N1054" t="s">
        <v>2396</v>
      </c>
      <c r="O1054">
        <v>2</v>
      </c>
      <c r="P1054" s="2">
        <v>43808</v>
      </c>
      <c r="Q1054" s="1">
        <v>31</v>
      </c>
      <c r="R1054" t="s">
        <v>3095</v>
      </c>
      <c r="S1054">
        <v>1089484612</v>
      </c>
    </row>
    <row r="1055" spans="1:19" x14ac:dyDescent="0.2">
      <c r="A1055" t="str">
        <f t="shared" si="148"/>
        <v>Adult Nonfiction</v>
      </c>
      <c r="B1055" t="str">
        <f>"NEW 263 HAT"</f>
        <v>NEW 263 HAT</v>
      </c>
      <c r="C1055" t="str">
        <f>"7 days of Christmas: a season of generosity"</f>
        <v>7 days of Christmas: a season of generosity</v>
      </c>
      <c r="D1055">
        <v>358676</v>
      </c>
      <c r="E1055" t="str">
        <f>"Hatmaker, Jen."</f>
        <v>Hatmaker, Jen.</v>
      </c>
      <c r="G1055" t="str">
        <f>"199 pages, 19 cm, illustrations"</f>
        <v>199 pages, 19 cm, illustrations</v>
      </c>
      <c r="H1055" s="1">
        <v>19</v>
      </c>
      <c r="I1055">
        <v>2019</v>
      </c>
      <c r="J1055" t="str">
        <f t="shared" si="149"/>
        <v>8: 200 - 299</v>
      </c>
      <c r="L1055" t="s">
        <v>2403</v>
      </c>
      <c r="M1055" t="s">
        <v>28</v>
      </c>
      <c r="N1055" t="s">
        <v>2396</v>
      </c>
      <c r="O1055">
        <v>4</v>
      </c>
      <c r="P1055" s="2">
        <v>43762</v>
      </c>
      <c r="Q1055" s="1">
        <v>27</v>
      </c>
      <c r="R1055" t="s">
        <v>3096</v>
      </c>
      <c r="S1055">
        <v>1085166998</v>
      </c>
    </row>
    <row r="1056" spans="1:19" x14ac:dyDescent="0.2">
      <c r="A1056" t="str">
        <f t="shared" si="148"/>
        <v>Adult Nonfiction</v>
      </c>
      <c r="B1056" t="str">
        <f>"NEW 270 ARM"</f>
        <v>NEW 270 ARM</v>
      </c>
      <c r="C1056" t="str">
        <f>"The lost art of scripture: rescuing the sacred texts"</f>
        <v>The lost art of scripture: rescuing the sacred texts</v>
      </c>
      <c r="D1056">
        <v>359869</v>
      </c>
      <c r="E1056" t="str">
        <f>"Armstrong, Karen"</f>
        <v>Armstrong, Karen</v>
      </c>
      <c r="G1056" t="str">
        <f>"605 pages, 25 cm"</f>
        <v>605 pages, 25 cm</v>
      </c>
      <c r="H1056" s="1">
        <v>19</v>
      </c>
      <c r="I1056">
        <v>2019</v>
      </c>
      <c r="J1056" t="str">
        <f t="shared" si="149"/>
        <v>8: 200 - 299</v>
      </c>
      <c r="L1056" t="s">
        <v>2403</v>
      </c>
      <c r="M1056" t="s">
        <v>28</v>
      </c>
      <c r="N1056" t="s">
        <v>2404</v>
      </c>
      <c r="O1056">
        <v>1</v>
      </c>
      <c r="P1056" s="2">
        <v>43815</v>
      </c>
      <c r="Q1056" s="1">
        <v>40</v>
      </c>
      <c r="R1056" t="s">
        <v>3097</v>
      </c>
      <c r="S1056">
        <v>1103923895</v>
      </c>
    </row>
    <row r="1057" spans="1:19" x14ac:dyDescent="0.2">
      <c r="A1057" t="str">
        <f t="shared" si="148"/>
        <v>Adult Nonfiction</v>
      </c>
      <c r="B1057" t="str">
        <f>"NEW 270 HAR"</f>
        <v>NEW 270 HAR</v>
      </c>
      <c r="C1057" t="str">
        <f>"That all shall be saved: heaven, hell, and universal salvation"</f>
        <v>That all shall be saved: heaven, hell, and universal salvation</v>
      </c>
      <c r="D1057">
        <v>359392</v>
      </c>
      <c r="E1057" t="str">
        <f>"Hart, David Bentley"</f>
        <v>Hart, David Bentley</v>
      </c>
      <c r="G1057" t="str">
        <f>"222 pages, 22 cm"</f>
        <v>222 pages, 22 cm</v>
      </c>
      <c r="H1057" s="1">
        <v>19</v>
      </c>
      <c r="I1057">
        <v>2019</v>
      </c>
      <c r="J1057" t="str">
        <f t="shared" si="149"/>
        <v>8: 200 - 299</v>
      </c>
      <c r="L1057" t="s">
        <v>2403</v>
      </c>
      <c r="M1057" t="s">
        <v>28</v>
      </c>
      <c r="N1057" t="s">
        <v>2404</v>
      </c>
      <c r="O1057">
        <v>5</v>
      </c>
      <c r="P1057" s="2">
        <v>43788</v>
      </c>
      <c r="Q1057" s="1">
        <v>31</v>
      </c>
      <c r="R1057" t="s">
        <v>3098</v>
      </c>
      <c r="S1057">
        <v>1089571251</v>
      </c>
    </row>
    <row r="1058" spans="1:19" x14ac:dyDescent="0.2">
      <c r="A1058" t="str">
        <f t="shared" si="148"/>
        <v>Adult Nonfiction</v>
      </c>
      <c r="B1058" t="str">
        <f>"NEW 282 IVE"</f>
        <v>NEW 282 IVE</v>
      </c>
      <c r="C1058" t="str">
        <f>"Wounded shepherd: Pope Francis and his struggle to convert the Catholic Church"</f>
        <v>Wounded shepherd: Pope Francis and his struggle to convert the Catholic Church</v>
      </c>
      <c r="D1058">
        <v>358830</v>
      </c>
      <c r="E1058" t="str">
        <f>"Ivereigh, Austen"</f>
        <v>Ivereigh, Austen</v>
      </c>
      <c r="G1058" t="str">
        <f>"401 p., 25 cm"</f>
        <v>401 p., 25 cm</v>
      </c>
      <c r="H1058" s="1">
        <v>19</v>
      </c>
      <c r="I1058">
        <v>2019</v>
      </c>
      <c r="J1058" t="str">
        <f t="shared" si="149"/>
        <v>8: 200 - 299</v>
      </c>
      <c r="L1058" t="s">
        <v>2403</v>
      </c>
      <c r="M1058" t="s">
        <v>28</v>
      </c>
      <c r="N1058" t="s">
        <v>2404</v>
      </c>
      <c r="O1058">
        <v>1</v>
      </c>
      <c r="P1058" s="2">
        <v>43766</v>
      </c>
      <c r="Q1058" s="1">
        <v>35</v>
      </c>
      <c r="R1058" t="s">
        <v>3099</v>
      </c>
      <c r="S1058">
        <v>1125225267</v>
      </c>
    </row>
    <row r="1059" spans="1:19" x14ac:dyDescent="0.2">
      <c r="A1059" t="str">
        <f t="shared" si="148"/>
        <v>Adult Nonfiction</v>
      </c>
      <c r="B1059" t="str">
        <f>"NEW 291.4 CHO"</f>
        <v>NEW 291.4 CHO</v>
      </c>
      <c r="C1059" t="str">
        <f>"Metahuman: unleashing your infinite potential"</f>
        <v>Metahuman: unleashing your infinite potential</v>
      </c>
      <c r="D1059">
        <v>358546</v>
      </c>
      <c r="E1059" t="str">
        <f>"Chopra, Deepak"</f>
        <v>Chopra, Deepak</v>
      </c>
      <c r="G1059" t="str">
        <f>"354 pages, 25 cm"</f>
        <v>354 pages, 25 cm</v>
      </c>
      <c r="H1059" s="1">
        <v>19</v>
      </c>
      <c r="I1059">
        <v>2019</v>
      </c>
      <c r="J1059" t="str">
        <f t="shared" si="149"/>
        <v>8: 200 - 299</v>
      </c>
      <c r="L1059" t="s">
        <v>2403</v>
      </c>
      <c r="M1059" t="s">
        <v>28</v>
      </c>
      <c r="N1059" t="s">
        <v>2404</v>
      </c>
      <c r="O1059">
        <v>2</v>
      </c>
      <c r="P1059" s="2">
        <v>43756</v>
      </c>
      <c r="Q1059" s="1">
        <v>32</v>
      </c>
      <c r="R1059" t="s">
        <v>3100</v>
      </c>
      <c r="S1059">
        <v>1085577998</v>
      </c>
    </row>
    <row r="1060" spans="1:19" x14ac:dyDescent="0.2">
      <c r="A1060" t="str">
        <f t="shared" si="148"/>
        <v>Adult Nonfiction</v>
      </c>
      <c r="B1060" t="str">
        <f>"NEW 294.3 CHO"</f>
        <v>NEW 294.3 CHO</v>
      </c>
      <c r="C1060" t="str">
        <f>"Welcoming the unwelcome: wholehearted living in a brokenhearted world"</f>
        <v>Welcoming the unwelcome: wholehearted living in a brokenhearted world</v>
      </c>
      <c r="D1060">
        <v>358577</v>
      </c>
      <c r="E1060" t="str">
        <f>"Chodron, Pema"</f>
        <v>Chodron, Pema</v>
      </c>
      <c r="G1060" t="str">
        <f>"viii, 177 pages, 22 cm, illustrations"</f>
        <v>viii, 177 pages, 22 cm, illustrations</v>
      </c>
      <c r="H1060" s="1">
        <v>19</v>
      </c>
      <c r="I1060">
        <v>2019</v>
      </c>
      <c r="J1060" t="str">
        <f t="shared" si="149"/>
        <v>8: 200 - 299</v>
      </c>
      <c r="L1060" t="s">
        <v>2395</v>
      </c>
      <c r="M1060" t="s">
        <v>28</v>
      </c>
      <c r="N1060" t="s">
        <v>2404</v>
      </c>
      <c r="O1060">
        <v>4</v>
      </c>
      <c r="P1060" s="2">
        <v>43756</v>
      </c>
      <c r="Q1060" s="1">
        <v>30</v>
      </c>
      <c r="R1060" t="s">
        <v>3101</v>
      </c>
      <c r="S1060">
        <v>1083224799</v>
      </c>
    </row>
    <row r="1061" spans="1:19" x14ac:dyDescent="0.2">
      <c r="A1061" t="str">
        <f t="shared" si="148"/>
        <v>Adult Nonfiction</v>
      </c>
      <c r="B1061" t="str">
        <f>"NEW 294.3 MAS"</f>
        <v>NEW 294.3 MAS</v>
      </c>
      <c r="C1061" t="str">
        <f>"The art of simple living: 100 daily practices from a Japanese Zen monk for a lifetime of calm and joy"</f>
        <v>The art of simple living: 100 daily practices from a Japanese Zen monk for a lifetime of calm and joy</v>
      </c>
      <c r="D1061">
        <v>358522</v>
      </c>
      <c r="E1061" t="str">
        <f>"Masuno, Shunmyō,"</f>
        <v>Masuno, Shunmyō,</v>
      </c>
      <c r="G1061" t="str">
        <f>"xvi, 207 pages, 19 cm, illustrations"</f>
        <v>xvi, 207 pages, 19 cm, illustrations</v>
      </c>
      <c r="H1061" s="1">
        <v>19</v>
      </c>
      <c r="I1061">
        <v>2019</v>
      </c>
      <c r="J1061" t="str">
        <f t="shared" si="149"/>
        <v>8: 200 - 299</v>
      </c>
      <c r="L1061" t="s">
        <v>2395</v>
      </c>
      <c r="M1061" t="s">
        <v>28</v>
      </c>
      <c r="N1061" t="s">
        <v>2404</v>
      </c>
      <c r="O1061">
        <v>3</v>
      </c>
      <c r="P1061" s="2">
        <v>43756</v>
      </c>
      <c r="Q1061" s="1">
        <v>25</v>
      </c>
      <c r="R1061" t="s">
        <v>3102</v>
      </c>
      <c r="S1061">
        <v>1086411364</v>
      </c>
    </row>
    <row r="1062" spans="1:19" x14ac:dyDescent="0.2">
      <c r="A1062" t="str">
        <f t="shared" si="148"/>
        <v>Adult Nonfiction</v>
      </c>
      <c r="B1062" t="str">
        <f>"NEW 294.5 PAT"</f>
        <v>NEW 294.5 PAT</v>
      </c>
      <c r="C1062" t="str">
        <f>"Designing destiny: heartfulness practices to find your purpose and fulfill your potential"</f>
        <v>Designing destiny: heartfulness practices to find your purpose and fulfill your potential</v>
      </c>
      <c r="D1062">
        <v>358470</v>
      </c>
      <c r="E1062" t="str">
        <f>"Patel, Kamlesh D."</f>
        <v>Patel, Kamlesh D.</v>
      </c>
      <c r="G1062" t="str">
        <f>"210 p."</f>
        <v>210 p.</v>
      </c>
      <c r="H1062" s="1">
        <v>19</v>
      </c>
      <c r="I1062">
        <v>2019</v>
      </c>
      <c r="J1062" t="str">
        <f t="shared" si="149"/>
        <v>8: 200 - 299</v>
      </c>
      <c r="L1062" t="s">
        <v>2395</v>
      </c>
      <c r="M1062" t="s">
        <v>28</v>
      </c>
      <c r="N1062" t="s">
        <v>2396</v>
      </c>
      <c r="O1062">
        <v>2</v>
      </c>
      <c r="P1062" s="2">
        <v>43753</v>
      </c>
      <c r="Q1062" s="1">
        <v>23</v>
      </c>
      <c r="R1062" t="s">
        <v>3103</v>
      </c>
      <c r="S1062">
        <v>1118691913</v>
      </c>
    </row>
    <row r="1063" spans="1:19" x14ac:dyDescent="0.2">
      <c r="A1063" t="str">
        <f t="shared" si="148"/>
        <v>Adult Nonfiction</v>
      </c>
      <c r="B1063" t="str">
        <f>"NEW 296 BUT"</f>
        <v>NEW 296 BUT</v>
      </c>
      <c r="C1063" t="str">
        <f>"The newish Jewish encyclopedia: from Abraham to Zabar's and everything in between"</f>
        <v>The newish Jewish encyclopedia: from Abraham to Zabar's and everything in between</v>
      </c>
      <c r="D1063">
        <v>360165</v>
      </c>
      <c r="E1063" t="str">
        <f>"Butnick, Stephanie"</f>
        <v>Butnick, Stephanie</v>
      </c>
      <c r="G1063" t="str">
        <f>"318 pages, 26 cm, illustrations (some color)"</f>
        <v>318 pages, 26 cm, illustrations (some color)</v>
      </c>
      <c r="H1063" s="1">
        <v>19</v>
      </c>
      <c r="I1063">
        <v>2019</v>
      </c>
      <c r="J1063" t="str">
        <f t="shared" si="149"/>
        <v>8: 200 - 299</v>
      </c>
      <c r="L1063" t="s">
        <v>2395</v>
      </c>
      <c r="M1063" t="s">
        <v>28</v>
      </c>
      <c r="N1063" t="s">
        <v>2396</v>
      </c>
      <c r="O1063">
        <v>2</v>
      </c>
      <c r="P1063" s="2">
        <v>43833</v>
      </c>
      <c r="Q1063" s="1">
        <v>41</v>
      </c>
      <c r="R1063" t="s">
        <v>3104</v>
      </c>
      <c r="S1063">
        <v>1097472541</v>
      </c>
    </row>
    <row r="1064" spans="1:19" x14ac:dyDescent="0.2">
      <c r="A1064" t="str">
        <f t="shared" si="148"/>
        <v>Adult Nonfiction</v>
      </c>
      <c r="B1064" t="str">
        <f>"NEW 296 HUR"</f>
        <v>NEW 296 HUR</v>
      </c>
      <c r="C1064" t="str">
        <f>"Here all along: finding meaning, spirituality, and a deeper connection to life--in Judaism (after finally choosing to look there)"</f>
        <v>Here all along: finding meaning, spirituality, and a deeper connection to life--in Judaism (after finally choosing to look there)</v>
      </c>
      <c r="D1064">
        <v>357701</v>
      </c>
      <c r="E1064" t="str">
        <f>"Hurwitz, Sarah"</f>
        <v>Hurwitz, Sarah</v>
      </c>
      <c r="G1064" t="str">
        <f>"xxxi 307 pages, 25 cm"</f>
        <v>xxxi 307 pages, 25 cm</v>
      </c>
      <c r="H1064" s="1">
        <v>19</v>
      </c>
      <c r="I1064">
        <v>2019</v>
      </c>
      <c r="J1064" t="str">
        <f t="shared" si="149"/>
        <v>8: 200 - 299</v>
      </c>
      <c r="L1064" t="s">
        <v>2395</v>
      </c>
      <c r="M1064" t="s">
        <v>28</v>
      </c>
      <c r="N1064" t="s">
        <v>2404</v>
      </c>
      <c r="O1064">
        <v>4</v>
      </c>
      <c r="P1064" s="2">
        <v>43725</v>
      </c>
      <c r="Q1064" s="1">
        <v>33</v>
      </c>
      <c r="R1064" t="s">
        <v>3105</v>
      </c>
      <c r="S1064">
        <v>1090284160</v>
      </c>
    </row>
    <row r="1065" spans="1:19" x14ac:dyDescent="0.2">
      <c r="A1065" t="str">
        <f t="shared" si="148"/>
        <v>Adult Nonfiction</v>
      </c>
      <c r="B1065" t="str">
        <f>"NEW 302 GLA"</f>
        <v>NEW 302 GLA</v>
      </c>
      <c r="C1065" t="str">
        <f>"Talking to strangers: what we should know about the people we don't know"</f>
        <v>Talking to strangers: what we should know about the people we don't know</v>
      </c>
      <c r="D1065">
        <v>357536</v>
      </c>
      <c r="E1065" t="str">
        <f>"Gladwell, Malcolm"</f>
        <v>Gladwell, Malcolm</v>
      </c>
      <c r="G1065" t="str">
        <f>"xii, 386 pages, 21 cm"</f>
        <v>xii, 386 pages, 21 cm</v>
      </c>
      <c r="H1065" s="1">
        <v>19</v>
      </c>
      <c r="I1065">
        <v>2019</v>
      </c>
      <c r="J1065" t="str">
        <f t="shared" ref="J1065:J1128" si="150">"9: 300 - 399"</f>
        <v>9: 300 - 399</v>
      </c>
      <c r="L1065" t="s">
        <v>2403</v>
      </c>
      <c r="M1065" t="s">
        <v>28</v>
      </c>
      <c r="N1065" t="str">
        <f>"Reserve Cart"</f>
        <v>Reserve Cart</v>
      </c>
      <c r="O1065">
        <v>7</v>
      </c>
      <c r="P1065" s="2">
        <v>43719</v>
      </c>
      <c r="Q1065" s="1">
        <v>35</v>
      </c>
      <c r="R1065" t="s">
        <v>2249</v>
      </c>
      <c r="S1065">
        <v>1113941585</v>
      </c>
    </row>
    <row r="1066" spans="1:19" x14ac:dyDescent="0.2">
      <c r="A1066" t="str">
        <f t="shared" si="148"/>
        <v>Adult Nonfiction</v>
      </c>
      <c r="B1066" t="str">
        <f>"NEW 302 GLA"</f>
        <v>NEW 302 GLA</v>
      </c>
      <c r="C1066" t="str">
        <f>"Talking to strangers: what we should know about the people we don't know"</f>
        <v>Talking to strangers: what we should know about the people we don't know</v>
      </c>
      <c r="D1066">
        <v>357537</v>
      </c>
      <c r="E1066" t="str">
        <f>"Gladwell, Malcolm"</f>
        <v>Gladwell, Malcolm</v>
      </c>
      <c r="G1066" t="str">
        <f>"xii, 386 pages, 21 cm"</f>
        <v>xii, 386 pages, 21 cm</v>
      </c>
      <c r="H1066" s="1">
        <v>19</v>
      </c>
      <c r="I1066">
        <v>2019</v>
      </c>
      <c r="J1066" t="str">
        <f t="shared" si="150"/>
        <v>9: 300 - 399</v>
      </c>
      <c r="L1066" t="s">
        <v>2395</v>
      </c>
      <c r="M1066" t="s">
        <v>28</v>
      </c>
      <c r="N1066" t="s">
        <v>2404</v>
      </c>
      <c r="O1066">
        <v>9</v>
      </c>
      <c r="P1066" s="2">
        <v>43719</v>
      </c>
      <c r="Q1066" s="1">
        <v>35</v>
      </c>
      <c r="R1066" t="s">
        <v>2249</v>
      </c>
      <c r="S1066">
        <v>1113941585</v>
      </c>
    </row>
    <row r="1067" spans="1:19" x14ac:dyDescent="0.2">
      <c r="A1067" t="str">
        <f t="shared" si="148"/>
        <v>Adult Nonfiction</v>
      </c>
      <c r="B1067" t="str">
        <f>"NEW 302 GLA"</f>
        <v>NEW 302 GLA</v>
      </c>
      <c r="C1067" t="str">
        <f>"Talking to strangers: what we should know about the people we don't know"</f>
        <v>Talking to strangers: what we should know about the people we don't know</v>
      </c>
      <c r="D1067">
        <v>357927</v>
      </c>
      <c r="E1067" t="str">
        <f>"Gladwell, Malcolm"</f>
        <v>Gladwell, Malcolm</v>
      </c>
      <c r="G1067" t="str">
        <f>"xii, 386 pages, 21 cm"</f>
        <v>xii, 386 pages, 21 cm</v>
      </c>
      <c r="H1067" s="1">
        <v>19</v>
      </c>
      <c r="I1067">
        <v>2019</v>
      </c>
      <c r="J1067" t="str">
        <f t="shared" si="150"/>
        <v>9: 300 - 399</v>
      </c>
      <c r="L1067" t="s">
        <v>2395</v>
      </c>
      <c r="M1067" t="s">
        <v>28</v>
      </c>
      <c r="N1067" t="s">
        <v>2404</v>
      </c>
      <c r="O1067">
        <v>8</v>
      </c>
      <c r="P1067" s="2">
        <v>43733</v>
      </c>
      <c r="Q1067" s="1">
        <v>35</v>
      </c>
      <c r="R1067" t="s">
        <v>2249</v>
      </c>
      <c r="S1067">
        <v>1113941585</v>
      </c>
    </row>
    <row r="1068" spans="1:19" x14ac:dyDescent="0.2">
      <c r="A1068" t="str">
        <f t="shared" si="148"/>
        <v>Adult Nonfiction</v>
      </c>
      <c r="B1068" t="str">
        <f>"NEW 302 GLA"</f>
        <v>NEW 302 GLA</v>
      </c>
      <c r="C1068" t="str">
        <f>"Talking to strangers: what we should know about the people we don't know"</f>
        <v>Talking to strangers: what we should know about the people we don't know</v>
      </c>
      <c r="D1068">
        <v>359057</v>
      </c>
      <c r="E1068" t="str">
        <f>"Gladwell, Malcolm"</f>
        <v>Gladwell, Malcolm</v>
      </c>
      <c r="G1068" t="str">
        <f>"xii, 386 pages, 21 cm"</f>
        <v>xii, 386 pages, 21 cm</v>
      </c>
      <c r="H1068" s="1">
        <v>19</v>
      </c>
      <c r="I1068">
        <v>2019</v>
      </c>
      <c r="J1068" t="str">
        <f t="shared" si="150"/>
        <v>9: 300 - 399</v>
      </c>
      <c r="L1068" t="s">
        <v>2403</v>
      </c>
      <c r="M1068" t="s">
        <v>28</v>
      </c>
      <c r="N1068" t="s">
        <v>2404</v>
      </c>
      <c r="O1068">
        <v>5</v>
      </c>
      <c r="P1068" s="2">
        <v>43776</v>
      </c>
      <c r="Q1068" s="1">
        <v>35</v>
      </c>
      <c r="R1068" t="s">
        <v>2249</v>
      </c>
      <c r="S1068">
        <v>1113941585</v>
      </c>
    </row>
    <row r="1069" spans="1:19" x14ac:dyDescent="0.2">
      <c r="A1069" t="str">
        <f t="shared" si="148"/>
        <v>Adult Nonfiction</v>
      </c>
      <c r="B1069" t="str">
        <f>"NEW 302.23 HEM"</f>
        <v>NEW 302.23 HEM</v>
      </c>
      <c r="C1069" t="str">
        <f>"Messengers of the right: conservative media and the transformation of American politics"</f>
        <v>Messengers of the right: conservative media and the transformation of American politics</v>
      </c>
      <c r="D1069">
        <v>356446</v>
      </c>
      <c r="E1069" t="str">
        <f>"Hemmer, Nicole."</f>
        <v>Hemmer, Nicole.</v>
      </c>
      <c r="G1069" t="str">
        <f>"276 p."</f>
        <v>276 p.</v>
      </c>
      <c r="H1069" s="1">
        <v>19</v>
      </c>
      <c r="I1069">
        <v>2018</v>
      </c>
      <c r="J1069" t="str">
        <f t="shared" si="150"/>
        <v>9: 300 - 399</v>
      </c>
      <c r="L1069" t="s">
        <v>2403</v>
      </c>
      <c r="M1069" t="s">
        <v>28</v>
      </c>
      <c r="N1069" t="s">
        <v>2396</v>
      </c>
      <c r="O1069">
        <v>0</v>
      </c>
      <c r="P1069" s="2">
        <v>43669</v>
      </c>
      <c r="Q1069" s="1">
        <v>30</v>
      </c>
      <c r="R1069" t="s">
        <v>2250</v>
      </c>
      <c r="S1069">
        <v>1030393897</v>
      </c>
    </row>
    <row r="1070" spans="1:19" x14ac:dyDescent="0.2">
      <c r="A1070" t="str">
        <f t="shared" si="148"/>
        <v>Adult Nonfiction</v>
      </c>
      <c r="B1070" t="str">
        <f>"NEW 302.23 MCC"</f>
        <v>NEW 302.23 MCC</v>
      </c>
      <c r="C1070" t="str">
        <f>"Because internet: understanding the new rules of language"</f>
        <v>Because internet: understanding the new rules of language</v>
      </c>
      <c r="D1070">
        <v>357095</v>
      </c>
      <c r="E1070" t="str">
        <f>"McCulloch, Gretchen"</f>
        <v>McCulloch, Gretchen</v>
      </c>
      <c r="G1070" t="str">
        <f>"326 pages, 24 cm"</f>
        <v>326 pages, 24 cm</v>
      </c>
      <c r="H1070" s="1">
        <v>19</v>
      </c>
      <c r="I1070">
        <v>2019</v>
      </c>
      <c r="J1070" t="str">
        <f t="shared" si="150"/>
        <v>9: 300 - 399</v>
      </c>
      <c r="L1070" t="s">
        <v>2395</v>
      </c>
      <c r="M1070" t="s">
        <v>28</v>
      </c>
      <c r="N1070" t="s">
        <v>2404</v>
      </c>
      <c r="O1070">
        <v>6</v>
      </c>
      <c r="P1070" s="2">
        <v>43704</v>
      </c>
      <c r="Q1070" s="1">
        <v>31</v>
      </c>
      <c r="R1070" t="s">
        <v>2251</v>
      </c>
      <c r="S1070">
        <v>1088599449</v>
      </c>
    </row>
    <row r="1071" spans="1:19" x14ac:dyDescent="0.2">
      <c r="A1071" t="str">
        <f t="shared" si="148"/>
        <v>Adult Nonfiction</v>
      </c>
      <c r="B1071" t="str">
        <f>"NEW 302.23 MCC"</f>
        <v>NEW 302.23 MCC</v>
      </c>
      <c r="C1071" t="str">
        <f>"Because internet: understanding the new rules of language"</f>
        <v>Because internet: understanding the new rules of language</v>
      </c>
      <c r="D1071">
        <v>360422</v>
      </c>
      <c r="E1071" t="str">
        <f>"McCulloch, Gretchen"</f>
        <v>McCulloch, Gretchen</v>
      </c>
      <c r="G1071" t="str">
        <f>"326 pages, 24 cm"</f>
        <v>326 pages, 24 cm</v>
      </c>
      <c r="H1071" s="1">
        <v>20</v>
      </c>
      <c r="I1071">
        <v>2019</v>
      </c>
      <c r="J1071" t="str">
        <f t="shared" si="150"/>
        <v>9: 300 - 399</v>
      </c>
      <c r="L1071" t="s">
        <v>2403</v>
      </c>
      <c r="M1071" t="s">
        <v>28</v>
      </c>
      <c r="N1071" t="s">
        <v>2415</v>
      </c>
      <c r="O1071">
        <v>0</v>
      </c>
      <c r="P1071" s="2">
        <v>43851</v>
      </c>
      <c r="Q1071" s="1">
        <v>31</v>
      </c>
      <c r="R1071" t="s">
        <v>2251</v>
      </c>
      <c r="S1071">
        <v>1088599449</v>
      </c>
    </row>
    <row r="1072" spans="1:19" x14ac:dyDescent="0.2">
      <c r="A1072" t="str">
        <f t="shared" si="148"/>
        <v>Adult Nonfiction</v>
      </c>
      <c r="B1072" t="str">
        <f>"NEW 302.23 TAI"</f>
        <v>NEW 302.23 TAI</v>
      </c>
      <c r="C1072" t="str">
        <f>"Hate Inc.: why today's media makes us despise one another"</f>
        <v>Hate Inc.: why today's media makes us despise one another</v>
      </c>
      <c r="D1072">
        <v>358311</v>
      </c>
      <c r="E1072" t="str">
        <f>"Taibbi, Matt"</f>
        <v>Taibbi, Matt</v>
      </c>
      <c r="G1072" t="str">
        <f>"294 pages, 24 cm"</f>
        <v>294 pages, 24 cm</v>
      </c>
      <c r="H1072" s="1">
        <v>19</v>
      </c>
      <c r="I1072">
        <v>2019</v>
      </c>
      <c r="J1072" t="str">
        <f t="shared" si="150"/>
        <v>9: 300 - 399</v>
      </c>
      <c r="L1072" t="s">
        <v>2403</v>
      </c>
      <c r="M1072" t="s">
        <v>28</v>
      </c>
      <c r="N1072" t="s">
        <v>2396</v>
      </c>
      <c r="O1072">
        <v>5</v>
      </c>
      <c r="P1072" s="2">
        <v>43749</v>
      </c>
      <c r="Q1072" s="1">
        <v>30</v>
      </c>
      <c r="R1072" t="s">
        <v>2252</v>
      </c>
      <c r="S1072">
        <v>1120769015</v>
      </c>
    </row>
    <row r="1073" spans="1:19" x14ac:dyDescent="0.2">
      <c r="A1073" t="str">
        <f t="shared" si="148"/>
        <v>Adult Nonfiction</v>
      </c>
      <c r="B1073" t="str">
        <f>"NEW 303.4 RUS"</f>
        <v>NEW 303.4 RUS</v>
      </c>
      <c r="C1073" t="str">
        <f>"Team human"</f>
        <v>Team human</v>
      </c>
      <c r="D1073">
        <v>356419</v>
      </c>
      <c r="E1073" t="str">
        <f>"Rushkoff, Douglas."</f>
        <v>Rushkoff, Douglas.</v>
      </c>
      <c r="G1073" t="str">
        <f>"243 pages, 21 cm"</f>
        <v>243 pages, 21 cm</v>
      </c>
      <c r="H1073" s="1">
        <v>19</v>
      </c>
      <c r="I1073">
        <v>2019</v>
      </c>
      <c r="J1073" t="str">
        <f t="shared" si="150"/>
        <v>9: 300 - 399</v>
      </c>
      <c r="L1073" t="s">
        <v>2403</v>
      </c>
      <c r="M1073" t="s">
        <v>28</v>
      </c>
      <c r="N1073" t="s">
        <v>2396</v>
      </c>
      <c r="O1073">
        <v>0</v>
      </c>
      <c r="P1073" s="2">
        <v>43671</v>
      </c>
      <c r="Q1073" s="1">
        <v>29</v>
      </c>
      <c r="R1073" t="s">
        <v>2253</v>
      </c>
      <c r="S1073">
        <v>1037811200</v>
      </c>
    </row>
    <row r="1074" spans="1:19" x14ac:dyDescent="0.2">
      <c r="A1074" t="str">
        <f t="shared" si="148"/>
        <v>Adult Nonfiction</v>
      </c>
      <c r="B1074" t="str">
        <f>"NEW 303.4 RYA"</f>
        <v>NEW 303.4 RYA</v>
      </c>
      <c r="C1074" t="str">
        <f>"Civilized to death: the price of progress"</f>
        <v>Civilized to death: the price of progress</v>
      </c>
      <c r="D1074">
        <v>359011</v>
      </c>
      <c r="E1074" t="str">
        <f>"Ryan, Christopher,"</f>
        <v>Ryan, Christopher,</v>
      </c>
      <c r="G1074" t="str">
        <f>"xiii, 288 pages, 24 cm"</f>
        <v>xiii, 288 pages, 24 cm</v>
      </c>
      <c r="H1074" s="1">
        <v>19</v>
      </c>
      <c r="I1074">
        <v>2019</v>
      </c>
      <c r="J1074" t="str">
        <f t="shared" si="150"/>
        <v>9: 300 - 399</v>
      </c>
      <c r="L1074" t="s">
        <v>2395</v>
      </c>
      <c r="M1074" t="s">
        <v>28</v>
      </c>
      <c r="N1074" t="s">
        <v>2404</v>
      </c>
      <c r="O1074">
        <v>3</v>
      </c>
      <c r="P1074" s="2">
        <v>43776</v>
      </c>
      <c r="Q1074" s="1">
        <v>33</v>
      </c>
      <c r="R1074" t="s">
        <v>2254</v>
      </c>
      <c r="S1074">
        <v>944380373</v>
      </c>
    </row>
    <row r="1075" spans="1:19" x14ac:dyDescent="0.2">
      <c r="A1075" t="str">
        <f t="shared" si="148"/>
        <v>Adult Nonfiction</v>
      </c>
      <c r="B1075" t="str">
        <f>"NEW 303.4 WIL"</f>
        <v>NEW 303.4 WIL</v>
      </c>
      <c r="C1075" t="str">
        <f>"This view of life: completing the Darwinian revolution"</f>
        <v>This view of life: completing the Darwinian revolution</v>
      </c>
      <c r="D1075">
        <v>358724</v>
      </c>
      <c r="E1075" t="str">
        <f>"Wilson, David Sloan"</f>
        <v>Wilson, David Sloan</v>
      </c>
      <c r="G1075" t="str">
        <f>"xiv, 288 pages, 25 cm, illustrations"</f>
        <v>xiv, 288 pages, 25 cm, illustrations</v>
      </c>
      <c r="H1075" s="1">
        <v>19</v>
      </c>
      <c r="I1075">
        <v>2019</v>
      </c>
      <c r="J1075" t="str">
        <f t="shared" si="150"/>
        <v>9: 300 - 399</v>
      </c>
      <c r="L1075" t="s">
        <v>2395</v>
      </c>
      <c r="M1075" t="s">
        <v>28</v>
      </c>
      <c r="N1075" t="s">
        <v>2396</v>
      </c>
      <c r="O1075">
        <v>1</v>
      </c>
      <c r="P1075" s="2">
        <v>43762</v>
      </c>
      <c r="Q1075" s="1">
        <v>33</v>
      </c>
      <c r="R1075" t="s">
        <v>2255</v>
      </c>
      <c r="S1075">
        <v>1037282679</v>
      </c>
    </row>
    <row r="1076" spans="1:19" x14ac:dyDescent="0.2">
      <c r="A1076" t="str">
        <f t="shared" si="148"/>
        <v>Adult Nonfiction</v>
      </c>
      <c r="B1076" t="str">
        <f>"NEW 303.48 JAC"</f>
        <v>NEW 303.48 JAC</v>
      </c>
      <c r="C1076" t="str">
        <f>"American radicals: how nineteenth-century protest shaped the nation"</f>
        <v>American radicals: how nineteenth-century protest shaped the nation</v>
      </c>
      <c r="D1076">
        <v>358519</v>
      </c>
      <c r="E1076" t="str">
        <f>"Jackson, Holly"</f>
        <v>Jackson, Holly</v>
      </c>
      <c r="G1076" t="str">
        <f>"xvii, 372 pages, 25 cm, illustrations"</f>
        <v>xvii, 372 pages, 25 cm, illustrations</v>
      </c>
      <c r="H1076" s="1">
        <v>19</v>
      </c>
      <c r="I1076">
        <v>2019</v>
      </c>
      <c r="J1076" t="str">
        <f t="shared" si="150"/>
        <v>9: 300 - 399</v>
      </c>
      <c r="L1076" t="s">
        <v>2395</v>
      </c>
      <c r="M1076" t="s">
        <v>28</v>
      </c>
      <c r="N1076" t="s">
        <v>2396</v>
      </c>
      <c r="O1076">
        <v>1</v>
      </c>
      <c r="P1076" s="2">
        <v>43756</v>
      </c>
      <c r="Q1076" s="1">
        <v>33</v>
      </c>
      <c r="R1076" t="s">
        <v>2256</v>
      </c>
      <c r="S1076">
        <v>1099541847</v>
      </c>
    </row>
    <row r="1077" spans="1:19" x14ac:dyDescent="0.2">
      <c r="A1077" t="str">
        <f t="shared" si="148"/>
        <v>Adult Nonfiction</v>
      </c>
      <c r="B1077" t="str">
        <f>"NEW 303.48 JOH"</f>
        <v>NEW 303.48 JOH</v>
      </c>
      <c r="C1077" t="str">
        <f>"Hateland: a long, hard look at America's extremist heart"</f>
        <v>Hateland: a long, hard look at America's extremist heart</v>
      </c>
      <c r="D1077">
        <v>360157</v>
      </c>
      <c r="E1077" t="str">
        <f>"Johnson, Daryl,"</f>
        <v>Johnson, Daryl,</v>
      </c>
      <c r="G1077" t="str">
        <f>"288 pages, 24 cm"</f>
        <v>288 pages, 24 cm</v>
      </c>
      <c r="H1077" s="1">
        <v>19</v>
      </c>
      <c r="I1077">
        <v>2019</v>
      </c>
      <c r="J1077" t="str">
        <f t="shared" si="150"/>
        <v>9: 300 - 399</v>
      </c>
      <c r="L1077" t="s">
        <v>2395</v>
      </c>
      <c r="M1077" t="s">
        <v>28</v>
      </c>
      <c r="N1077" t="s">
        <v>2396</v>
      </c>
      <c r="O1077">
        <v>0</v>
      </c>
      <c r="P1077" s="2">
        <v>43833</v>
      </c>
      <c r="Q1077" s="1">
        <v>29</v>
      </c>
      <c r="R1077" t="s">
        <v>2257</v>
      </c>
      <c r="S1077">
        <v>1088601426</v>
      </c>
    </row>
    <row r="1078" spans="1:19" x14ac:dyDescent="0.2">
      <c r="A1078" t="str">
        <f t="shared" si="148"/>
        <v>Adult Nonfiction</v>
      </c>
      <c r="B1078" t="str">
        <f>"NEW 303.48 MAR"</f>
        <v>NEW 303.48 MAR</v>
      </c>
      <c r="C1078" t="str">
        <f>"Antisocial: online extremists, techno-utopians, and the hijacking of the American conversation"</f>
        <v>Antisocial: online extremists, techno-utopians, and the hijacking of the American conversation</v>
      </c>
      <c r="D1078">
        <v>359174</v>
      </c>
      <c r="E1078" t="str">
        <f>"Marantz, Andrew"</f>
        <v>Marantz, Andrew</v>
      </c>
      <c r="G1078" t="str">
        <f>"380 pages, 24 cm"</f>
        <v>380 pages, 24 cm</v>
      </c>
      <c r="H1078" s="1">
        <v>19</v>
      </c>
      <c r="I1078">
        <v>2019</v>
      </c>
      <c r="J1078" t="str">
        <f t="shared" si="150"/>
        <v>9: 300 - 399</v>
      </c>
      <c r="L1078" t="s">
        <v>2395</v>
      </c>
      <c r="M1078" t="s">
        <v>28</v>
      </c>
      <c r="N1078" t="s">
        <v>2396</v>
      </c>
      <c r="O1078">
        <v>1</v>
      </c>
      <c r="P1078" s="2">
        <v>43782</v>
      </c>
      <c r="Q1078" s="1">
        <v>33</v>
      </c>
      <c r="R1078" t="s">
        <v>2258</v>
      </c>
      <c r="S1078">
        <v>1110919415</v>
      </c>
    </row>
    <row r="1079" spans="1:19" x14ac:dyDescent="0.2">
      <c r="A1079" t="str">
        <f t="shared" si="148"/>
        <v>Adult Nonfiction</v>
      </c>
      <c r="B1079" t="str">
        <f>"NEW 303.48 ODE"</f>
        <v>NEW 303.48 ODE</v>
      </c>
      <c r="C1079" t="str">
        <f>"How to do nothing: resisting the attention economy"</f>
        <v>How to do nothing: resisting the attention economy</v>
      </c>
      <c r="D1079">
        <v>354938</v>
      </c>
      <c r="E1079" t="str">
        <f>"Odell, Jenny"</f>
        <v>Odell, Jenny</v>
      </c>
      <c r="G1079" t="str">
        <f>"xxiii, 232 pages, 22 cm"</f>
        <v>xxiii, 232 pages, 22 cm</v>
      </c>
      <c r="H1079" s="1">
        <v>19</v>
      </c>
      <c r="I1079">
        <v>2019</v>
      </c>
      <c r="J1079" t="str">
        <f t="shared" si="150"/>
        <v>9: 300 - 399</v>
      </c>
      <c r="L1079" t="s">
        <v>2403</v>
      </c>
      <c r="M1079" t="s">
        <v>28</v>
      </c>
      <c r="N1079" t="str">
        <f>"Reserve Cart"</f>
        <v>Reserve Cart</v>
      </c>
      <c r="O1079">
        <v>9</v>
      </c>
      <c r="P1079" s="2">
        <v>43606</v>
      </c>
      <c r="Q1079" s="1">
        <v>31</v>
      </c>
      <c r="R1079" t="s">
        <v>2259</v>
      </c>
      <c r="S1079">
        <v>1085144412</v>
      </c>
    </row>
    <row r="1080" spans="1:19" x14ac:dyDescent="0.2">
      <c r="A1080" t="str">
        <f t="shared" si="148"/>
        <v>Adult Nonfiction</v>
      </c>
      <c r="B1080" t="str">
        <f>"NEW 303.48 ODE"</f>
        <v>NEW 303.48 ODE</v>
      </c>
      <c r="C1080" t="str">
        <f>"How to do nothing: resisting the attention economy"</f>
        <v>How to do nothing: resisting the attention economy</v>
      </c>
      <c r="D1080">
        <v>360561</v>
      </c>
      <c r="E1080" t="str">
        <f>"Odell, Jenny"</f>
        <v>Odell, Jenny</v>
      </c>
      <c r="G1080" t="str">
        <f>"xxiii, 232 pages, 22 cm"</f>
        <v>xxiii, 232 pages, 22 cm</v>
      </c>
      <c r="H1080" s="1">
        <v>20</v>
      </c>
      <c r="I1080">
        <v>2019</v>
      </c>
      <c r="J1080" t="str">
        <f t="shared" si="150"/>
        <v>9: 300 - 399</v>
      </c>
      <c r="L1080" t="s">
        <v>2395</v>
      </c>
      <c r="M1080" t="s">
        <v>28</v>
      </c>
      <c r="N1080" t="str">
        <f>"Reserve Cart"</f>
        <v>Reserve Cart</v>
      </c>
      <c r="O1080">
        <v>0</v>
      </c>
      <c r="P1080" s="2">
        <v>43858</v>
      </c>
      <c r="Q1080" s="1">
        <v>31</v>
      </c>
      <c r="R1080" t="s">
        <v>2259</v>
      </c>
      <c r="S1080">
        <v>1085144412</v>
      </c>
    </row>
    <row r="1081" spans="1:19" x14ac:dyDescent="0.2">
      <c r="A1081" t="str">
        <f t="shared" si="148"/>
        <v>Adult Nonfiction</v>
      </c>
      <c r="B1081" t="str">
        <f>"NEW 303.48 SMI"</f>
        <v>NEW 303.48 SMI</v>
      </c>
      <c r="C1081" t="str">
        <f>"Tools and weapons: the promise and the peril of the digital age"</f>
        <v>Tools and weapons: the promise and the peril of the digital age</v>
      </c>
      <c r="D1081">
        <v>357728</v>
      </c>
      <c r="E1081" t="str">
        <f>"Smith, Brad"</f>
        <v>Smith, Brad</v>
      </c>
      <c r="G1081" t="str">
        <f>"xxii, 346 pages, 25 cm"</f>
        <v>xxii, 346 pages, 25 cm</v>
      </c>
      <c r="H1081" s="1">
        <v>19</v>
      </c>
      <c r="I1081">
        <v>2019</v>
      </c>
      <c r="J1081" t="str">
        <f t="shared" si="150"/>
        <v>9: 300 - 399</v>
      </c>
      <c r="L1081" t="s">
        <v>2395</v>
      </c>
      <c r="M1081" t="s">
        <v>28</v>
      </c>
      <c r="N1081" t="s">
        <v>2404</v>
      </c>
      <c r="O1081">
        <v>4</v>
      </c>
      <c r="P1081" s="2">
        <v>43725</v>
      </c>
      <c r="Q1081" s="1">
        <v>35</v>
      </c>
      <c r="R1081" t="s">
        <v>2260</v>
      </c>
      <c r="S1081">
        <v>1089265471</v>
      </c>
    </row>
    <row r="1082" spans="1:19" x14ac:dyDescent="0.2">
      <c r="A1082" t="str">
        <f t="shared" si="148"/>
        <v>Adult Nonfiction</v>
      </c>
      <c r="B1082" t="str">
        <f>"NEW 303.49 BHA"</f>
        <v>NEW 303.49 BHA</v>
      </c>
      <c r="C1082" t="str">
        <f>"Non-obvious 2019: how to predict trends and win the future"</f>
        <v>Non-obvious 2019: how to predict trends and win the future</v>
      </c>
      <c r="D1082">
        <v>356401</v>
      </c>
      <c r="E1082" t="str">
        <f>"Bhargava, Rohit."</f>
        <v>Bhargava, Rohit.</v>
      </c>
      <c r="G1082" t="str">
        <f>"334 p."</f>
        <v>334 p.</v>
      </c>
      <c r="H1082" s="1">
        <v>19</v>
      </c>
      <c r="I1082">
        <v>2019</v>
      </c>
      <c r="J1082" t="str">
        <f t="shared" si="150"/>
        <v>9: 300 - 399</v>
      </c>
      <c r="L1082" t="s">
        <v>2403</v>
      </c>
      <c r="M1082" t="s">
        <v>28</v>
      </c>
      <c r="N1082" t="s">
        <v>2404</v>
      </c>
      <c r="O1082">
        <v>5</v>
      </c>
      <c r="P1082" s="2">
        <v>43671</v>
      </c>
      <c r="Q1082" s="1">
        <v>23</v>
      </c>
      <c r="R1082" t="s">
        <v>2261</v>
      </c>
    </row>
    <row r="1083" spans="1:19" x14ac:dyDescent="0.2">
      <c r="A1083" t="str">
        <f t="shared" si="148"/>
        <v>Adult Nonfiction</v>
      </c>
      <c r="B1083" t="str">
        <f>"NEW 305.2 CAL"</f>
        <v>NEW 305.2 CAL</v>
      </c>
      <c r="C1083" t="str">
        <f>"Why we can't sleep: women's new midlife crisis"</f>
        <v>Why we can't sleep: women's new midlife crisis</v>
      </c>
      <c r="D1083">
        <v>360458</v>
      </c>
      <c r="E1083" t="str">
        <f>"Calhoun, Ada."</f>
        <v>Calhoun, Ada.</v>
      </c>
      <c r="G1083" t="str">
        <f>"xii, 267 pages, 22 cm"</f>
        <v>xii, 267 pages, 22 cm</v>
      </c>
      <c r="H1083" s="1">
        <v>20</v>
      </c>
      <c r="I1083">
        <v>2020</v>
      </c>
      <c r="J1083" t="str">
        <f t="shared" si="150"/>
        <v>9: 300 - 399</v>
      </c>
      <c r="L1083" t="s">
        <v>2395</v>
      </c>
      <c r="M1083" t="s">
        <v>28</v>
      </c>
      <c r="N1083" t="s">
        <v>2404</v>
      </c>
      <c r="O1083">
        <v>1</v>
      </c>
      <c r="P1083" s="2">
        <v>43851</v>
      </c>
      <c r="Q1083" s="1">
        <v>31</v>
      </c>
      <c r="R1083" t="s">
        <v>2262</v>
      </c>
      <c r="S1083">
        <v>1103982575</v>
      </c>
    </row>
    <row r="1084" spans="1:19" x14ac:dyDescent="0.2">
      <c r="A1084" t="str">
        <f t="shared" si="148"/>
        <v>Adult Nonfiction</v>
      </c>
      <c r="B1084" t="str">
        <f>"NEW 305.2 COL"</f>
        <v>NEW 305.2 COL</v>
      </c>
      <c r="C1084" t="str">
        <f>"No stopping us now: the adventures of older women in America history"</f>
        <v>No stopping us now: the adventures of older women in America history</v>
      </c>
      <c r="D1084">
        <v>358886</v>
      </c>
      <c r="E1084" t="str">
        <f>"Collins, Gail"</f>
        <v>Collins, Gail</v>
      </c>
      <c r="G1084" t="str">
        <f>"vii, 422 pages, 16 unnumbered pages of plates, 25 cm, illustrations"</f>
        <v>vii, 422 pages, 16 unnumbered pages of plates, 25 cm, illustrations</v>
      </c>
      <c r="H1084" s="1">
        <v>19</v>
      </c>
      <c r="I1084">
        <v>2019</v>
      </c>
      <c r="J1084" t="str">
        <f t="shared" si="150"/>
        <v>9: 300 - 399</v>
      </c>
      <c r="L1084" t="s">
        <v>2403</v>
      </c>
      <c r="M1084" t="s">
        <v>28</v>
      </c>
      <c r="N1084" t="s">
        <v>2396</v>
      </c>
      <c r="O1084">
        <v>3</v>
      </c>
      <c r="P1084" s="2">
        <v>43769</v>
      </c>
      <c r="Q1084" s="1">
        <v>35</v>
      </c>
      <c r="R1084" t="s">
        <v>2263</v>
      </c>
      <c r="S1084">
        <v>1121455307</v>
      </c>
    </row>
    <row r="1085" spans="1:19" x14ac:dyDescent="0.2">
      <c r="A1085" t="str">
        <f t="shared" si="148"/>
        <v>Adult Nonfiction</v>
      </c>
      <c r="B1085" t="str">
        <f>"NEW 305.23 NAT"</f>
        <v>NEW 305.23 NAT</v>
      </c>
      <c r="C1085" t="str">
        <f>"Wildhood: the epic journey from adolescence to adulthood in humans and other animals"</f>
        <v>Wildhood: the epic journey from adolescence to adulthood in humans and other animals</v>
      </c>
      <c r="D1085">
        <v>357683</v>
      </c>
      <c r="E1085" t="str">
        <f>"Natterson-Horowitz, Barbara."</f>
        <v>Natterson-Horowitz, Barbara.</v>
      </c>
      <c r="G1085" t="str">
        <f>"267 p."</f>
        <v>267 p.</v>
      </c>
      <c r="H1085" s="1">
        <v>19</v>
      </c>
      <c r="I1085">
        <v>2019</v>
      </c>
      <c r="J1085" t="str">
        <f t="shared" si="150"/>
        <v>9: 300 - 399</v>
      </c>
      <c r="L1085" t="s">
        <v>2403</v>
      </c>
      <c r="M1085" t="s">
        <v>28</v>
      </c>
      <c r="N1085" t="s">
        <v>2404</v>
      </c>
      <c r="O1085">
        <v>4</v>
      </c>
      <c r="P1085" s="2">
        <v>43725</v>
      </c>
      <c r="Q1085" s="1">
        <v>33</v>
      </c>
      <c r="R1085" t="s">
        <v>2264</v>
      </c>
    </row>
    <row r="1086" spans="1:19" x14ac:dyDescent="0.2">
      <c r="A1086" t="str">
        <f t="shared" si="148"/>
        <v>Adult Nonfiction</v>
      </c>
      <c r="B1086" t="str">
        <f>"NEW 305.23 ORE"</f>
        <v>NEW 305.23 ORE</v>
      </c>
      <c r="C1086" t="str">
        <f>"Boys &amp; sex: young men on hookups, love, porn, consent, and navigating the new masculinity"</f>
        <v>Boys &amp; sex: young men on hookups, love, porn, consent, and navigating the new masculinity</v>
      </c>
      <c r="D1086">
        <v>360208</v>
      </c>
      <c r="E1086" t="str">
        <f>"Orenstein, Peggy."</f>
        <v>Orenstein, Peggy.</v>
      </c>
      <c r="G1086" t="str">
        <f>"237 pages"</f>
        <v>237 pages</v>
      </c>
      <c r="H1086" s="1">
        <v>19</v>
      </c>
      <c r="I1086">
        <v>2020</v>
      </c>
      <c r="J1086" t="str">
        <f t="shared" si="150"/>
        <v>9: 300 - 399</v>
      </c>
      <c r="L1086" t="s">
        <v>2395</v>
      </c>
      <c r="M1086" t="s">
        <v>28</v>
      </c>
      <c r="N1086" t="s">
        <v>2404</v>
      </c>
      <c r="O1086">
        <v>1</v>
      </c>
      <c r="P1086" s="2">
        <v>43844</v>
      </c>
      <c r="Q1086" s="1">
        <v>34</v>
      </c>
      <c r="R1086" t="s">
        <v>2265</v>
      </c>
    </row>
    <row r="1087" spans="1:19" x14ac:dyDescent="0.2">
      <c r="A1087" t="str">
        <f t="shared" si="148"/>
        <v>Adult Nonfiction</v>
      </c>
      <c r="B1087" t="str">
        <f>"NEW 305.23 REI"</f>
        <v>NEW 305.23 REI</v>
      </c>
      <c r="C1087" t="str">
        <f>"How to raise a boy: the power of connection to build good men"</f>
        <v>How to raise a boy: the power of connection to build good men</v>
      </c>
      <c r="D1087">
        <v>359196</v>
      </c>
      <c r="E1087" t="str">
        <f>"Reichert, Michael"</f>
        <v>Reichert, Michael</v>
      </c>
      <c r="G1087" t="str">
        <f>"326 pages, 24 cm"</f>
        <v>326 pages, 24 cm</v>
      </c>
      <c r="H1087" s="1">
        <v>19</v>
      </c>
      <c r="I1087">
        <v>2019</v>
      </c>
      <c r="J1087" t="str">
        <f t="shared" si="150"/>
        <v>9: 300 - 399</v>
      </c>
      <c r="L1087" t="s">
        <v>2395</v>
      </c>
      <c r="M1087" t="s">
        <v>28</v>
      </c>
      <c r="N1087" t="s">
        <v>2404</v>
      </c>
      <c r="O1087">
        <v>5</v>
      </c>
      <c r="P1087" s="2">
        <v>43782</v>
      </c>
      <c r="Q1087" s="1">
        <v>31</v>
      </c>
      <c r="R1087" t="s">
        <v>2266</v>
      </c>
      <c r="S1087">
        <v>1057732607</v>
      </c>
    </row>
    <row r="1088" spans="1:19" x14ac:dyDescent="0.2">
      <c r="A1088" t="str">
        <f t="shared" si="148"/>
        <v>Adult Nonfiction</v>
      </c>
      <c r="B1088" t="str">
        <f>"NEW 305.235 MEE"</f>
        <v>NEW 305.235 MEE</v>
      </c>
      <c r="C1088" t="str">
        <f>"Raising a strong daughter in a toxic culture: 11 steps to keep her happy, healthy, and safe"</f>
        <v>Raising a strong daughter in a toxic culture: 11 steps to keep her happy, healthy, and safe</v>
      </c>
      <c r="D1088">
        <v>360174</v>
      </c>
      <c r="E1088" t="str">
        <f>"Meeker, Margaret J."</f>
        <v>Meeker, Margaret J.</v>
      </c>
      <c r="G1088" t="str">
        <f>"xiii, 226 pages, 24 cm"</f>
        <v>xiii, 226 pages, 24 cm</v>
      </c>
      <c r="H1088" s="1">
        <v>19</v>
      </c>
      <c r="I1088">
        <v>2020</v>
      </c>
      <c r="J1088" t="str">
        <f t="shared" si="150"/>
        <v>9: 300 - 399</v>
      </c>
      <c r="L1088" t="s">
        <v>2403</v>
      </c>
      <c r="M1088" t="s">
        <v>28</v>
      </c>
      <c r="N1088" t="s">
        <v>2404</v>
      </c>
      <c r="O1088">
        <v>1</v>
      </c>
      <c r="P1088" s="2">
        <v>43833</v>
      </c>
      <c r="Q1088" s="1">
        <v>30</v>
      </c>
      <c r="R1088" t="s">
        <v>2267</v>
      </c>
      <c r="S1088">
        <v>1127208663</v>
      </c>
    </row>
    <row r="1089" spans="1:19" x14ac:dyDescent="0.2">
      <c r="A1089" t="str">
        <f t="shared" si="148"/>
        <v>Adult Nonfiction</v>
      </c>
      <c r="B1089" t="str">
        <f>"NEW 305.24 FRI"</f>
        <v>NEW 305.24 FRI</v>
      </c>
      <c r="C1089" t="str">
        <f>"And then we grew up: on creativity, potential, and the imperfect art of adulthood"</f>
        <v>And then we grew up: on creativity, potential, and the imperfect art of adulthood</v>
      </c>
      <c r="D1089">
        <v>360188</v>
      </c>
      <c r="E1089" t="str">
        <f>"Friedman, Rachel,"</f>
        <v>Friedman, Rachel,</v>
      </c>
      <c r="G1089" t="str">
        <f>"234 pages, 21 cm"</f>
        <v>234 pages, 21 cm</v>
      </c>
      <c r="H1089" s="1">
        <v>19</v>
      </c>
      <c r="I1089">
        <v>2019</v>
      </c>
      <c r="J1089" t="str">
        <f t="shared" si="150"/>
        <v>9: 300 - 399</v>
      </c>
      <c r="L1089" t="s">
        <v>2395</v>
      </c>
      <c r="M1089" t="s">
        <v>28</v>
      </c>
      <c r="N1089" t="s">
        <v>2404</v>
      </c>
      <c r="O1089">
        <v>2</v>
      </c>
      <c r="P1089" s="2">
        <v>43833</v>
      </c>
      <c r="Q1089" s="1">
        <v>22</v>
      </c>
      <c r="R1089" t="s">
        <v>2268</v>
      </c>
      <c r="S1089">
        <v>1096293483</v>
      </c>
    </row>
    <row r="1090" spans="1:19" x14ac:dyDescent="0.2">
      <c r="A1090" t="str">
        <f t="shared" si="148"/>
        <v>Adult Nonfiction</v>
      </c>
      <c r="B1090" t="str">
        <f>"NEW 305.3 TAD"</f>
        <v>NEW 305.3 TAD</v>
      </c>
      <c r="C1090" t="str">
        <f>"Three women"</f>
        <v>Three women</v>
      </c>
      <c r="D1090">
        <v>407150</v>
      </c>
      <c r="E1090" t="str">
        <f>"Taddeo, Lisa"</f>
        <v>Taddeo, Lisa</v>
      </c>
      <c r="G1090" t="str">
        <f>"x, 306 pages, 25 cm"</f>
        <v>x, 306 pages, 25 cm</v>
      </c>
      <c r="H1090">
        <v>19</v>
      </c>
      <c r="I1090">
        <v>2019</v>
      </c>
      <c r="J1090" t="str">
        <f t="shared" si="150"/>
        <v>9: 300 - 399</v>
      </c>
      <c r="L1090" t="s">
        <v>2395</v>
      </c>
      <c r="M1090" t="s">
        <v>28</v>
      </c>
      <c r="N1090" t="s">
        <v>2404</v>
      </c>
      <c r="O1090">
        <v>9</v>
      </c>
      <c r="P1090" s="2">
        <v>43678</v>
      </c>
      <c r="Q1090" s="1">
        <v>32</v>
      </c>
      <c r="R1090" t="s">
        <v>277</v>
      </c>
      <c r="S1090">
        <v>1056736226</v>
      </c>
    </row>
    <row r="1091" spans="1:19" x14ac:dyDescent="0.2">
      <c r="A1091" t="str">
        <f t="shared" si="148"/>
        <v>Adult Nonfiction</v>
      </c>
      <c r="B1091" t="str">
        <f>"NEW 305.3 TAD"</f>
        <v>NEW 305.3 TAD</v>
      </c>
      <c r="C1091" t="str">
        <f>"Three women"</f>
        <v>Three women</v>
      </c>
      <c r="D1091">
        <v>356812</v>
      </c>
      <c r="E1091" t="str">
        <f>"Taddeo, Lisa"</f>
        <v>Taddeo, Lisa</v>
      </c>
      <c r="G1091" t="str">
        <f>"x, 306 pages, 25 cm"</f>
        <v>x, 306 pages, 25 cm</v>
      </c>
      <c r="H1091" s="1">
        <v>19</v>
      </c>
      <c r="I1091">
        <v>2019</v>
      </c>
      <c r="J1091" t="str">
        <f t="shared" si="150"/>
        <v>9: 300 - 399</v>
      </c>
      <c r="L1091" t="s">
        <v>2395</v>
      </c>
      <c r="M1091" t="s">
        <v>28</v>
      </c>
      <c r="N1091" t="s">
        <v>2404</v>
      </c>
      <c r="O1091">
        <v>10</v>
      </c>
      <c r="P1091" s="2">
        <v>43690</v>
      </c>
      <c r="Q1091" s="1">
        <v>32</v>
      </c>
      <c r="R1091" t="s">
        <v>277</v>
      </c>
      <c r="S1091">
        <v>1056736226</v>
      </c>
    </row>
    <row r="1092" spans="1:19" x14ac:dyDescent="0.2">
      <c r="A1092" t="str">
        <f t="shared" si="148"/>
        <v>Adult Nonfiction</v>
      </c>
      <c r="B1092" t="str">
        <f>"NEW 305.4 CHU"</f>
        <v>NEW 305.4 CHU</v>
      </c>
      <c r="C1092" t="s">
        <v>2269</v>
      </c>
      <c r="D1092">
        <v>359188</v>
      </c>
      <c r="E1092" t="str">
        <f>"Chu, Andrea Long"</f>
        <v>Chu, Andrea Long</v>
      </c>
      <c r="G1092" t="str">
        <f>"106 pages, 18 cm"</f>
        <v>106 pages, 18 cm</v>
      </c>
      <c r="H1092" s="1">
        <v>19</v>
      </c>
      <c r="I1092">
        <v>2019</v>
      </c>
      <c r="J1092" t="str">
        <f t="shared" si="150"/>
        <v>9: 300 - 399</v>
      </c>
      <c r="L1092" t="s">
        <v>2395</v>
      </c>
      <c r="M1092" t="s">
        <v>28</v>
      </c>
      <c r="N1092" t="s">
        <v>2396</v>
      </c>
      <c r="O1092">
        <v>0</v>
      </c>
      <c r="P1092" s="2">
        <v>43782</v>
      </c>
      <c r="Q1092" s="1">
        <v>18</v>
      </c>
      <c r="R1092" t="s">
        <v>2270</v>
      </c>
      <c r="S1092">
        <v>1098229567</v>
      </c>
    </row>
    <row r="1093" spans="1:19" x14ac:dyDescent="0.2">
      <c r="A1093" t="str">
        <f t="shared" si="148"/>
        <v>Adult Nonfiction</v>
      </c>
      <c r="B1093" t="str">
        <f>"NEW 305.4 MAI"</f>
        <v>NEW 305.4 MAI</v>
      </c>
      <c r="C1093" t="str">
        <f>"Older, but better, but older"</f>
        <v>Older, but better, but older</v>
      </c>
      <c r="D1093">
        <v>360197</v>
      </c>
      <c r="E1093" t="str">
        <f>"De Maigret, Caroline"</f>
        <v>De Maigret, Caroline</v>
      </c>
      <c r="G1093" t="str">
        <f>"263 pages, 21 cm, illustrations"</f>
        <v>263 pages, 21 cm, illustrations</v>
      </c>
      <c r="H1093" s="1">
        <v>19</v>
      </c>
      <c r="I1093">
        <v>2019</v>
      </c>
      <c r="J1093" t="str">
        <f t="shared" si="150"/>
        <v>9: 300 - 399</v>
      </c>
      <c r="L1093" t="s">
        <v>2403</v>
      </c>
      <c r="M1093" t="s">
        <v>28</v>
      </c>
      <c r="N1093" t="s">
        <v>2396</v>
      </c>
      <c r="O1093">
        <v>3</v>
      </c>
      <c r="P1093" s="2">
        <v>43833</v>
      </c>
      <c r="Q1093" s="1">
        <v>30</v>
      </c>
      <c r="R1093" t="s">
        <v>2271</v>
      </c>
      <c r="S1093">
        <v>1131685185</v>
      </c>
    </row>
    <row r="1094" spans="1:19" x14ac:dyDescent="0.2">
      <c r="A1094" t="str">
        <f t="shared" si="148"/>
        <v>Adult Nonfiction</v>
      </c>
      <c r="B1094" t="str">
        <f>"NEW 305.4 RIC"</f>
        <v>NEW 305.4 RIC</v>
      </c>
      <c r="C1094" t="str">
        <f>"The season: a history of the debutante"</f>
        <v>The season: a history of the debutante</v>
      </c>
      <c r="D1094">
        <v>359387</v>
      </c>
      <c r="E1094" t="str">
        <f>"Richardson, Kristen"</f>
        <v>Richardson, Kristen</v>
      </c>
      <c r="G1094" t="str">
        <f>"pages cm"</f>
        <v>pages cm</v>
      </c>
      <c r="H1094" s="1">
        <v>19</v>
      </c>
      <c r="I1094">
        <v>2020</v>
      </c>
      <c r="J1094" t="str">
        <f t="shared" si="150"/>
        <v>9: 300 - 399</v>
      </c>
      <c r="L1094" t="s">
        <v>2403</v>
      </c>
      <c r="M1094" t="s">
        <v>28</v>
      </c>
      <c r="N1094" t="s">
        <v>2404</v>
      </c>
      <c r="O1094">
        <v>3</v>
      </c>
      <c r="P1094" s="2">
        <v>43788</v>
      </c>
      <c r="Q1094" s="1">
        <v>32</v>
      </c>
      <c r="R1094" t="s">
        <v>2272</v>
      </c>
      <c r="S1094">
        <v>1128049803</v>
      </c>
    </row>
    <row r="1095" spans="1:19" x14ac:dyDescent="0.2">
      <c r="A1095" t="str">
        <f t="shared" si="148"/>
        <v>Adult Nonfiction</v>
      </c>
      <c r="B1095" t="str">
        <f>"NEW 305.42 GOL"</f>
        <v>NEW 305.42 GOL</v>
      </c>
      <c r="C1095" t="str">
        <f>"Nobody's victim: fighting psychos, stalkers, pervs and trolls"</f>
        <v>Nobody's victim: fighting psychos, stalkers, pervs and trolls</v>
      </c>
      <c r="D1095">
        <v>358125</v>
      </c>
      <c r="E1095" t="str">
        <f>"Goldberg, Carrie"</f>
        <v>Goldberg, Carrie</v>
      </c>
      <c r="G1095" t="str">
        <f>"vii, 295 pages, 24 cm"</f>
        <v>vii, 295 pages, 24 cm</v>
      </c>
      <c r="H1095" s="1">
        <v>19</v>
      </c>
      <c r="I1095">
        <v>2019</v>
      </c>
      <c r="J1095" t="str">
        <f t="shared" si="150"/>
        <v>9: 300 - 399</v>
      </c>
      <c r="L1095" t="s">
        <v>2395</v>
      </c>
      <c r="M1095" t="s">
        <v>28</v>
      </c>
      <c r="N1095" t="s">
        <v>2396</v>
      </c>
      <c r="O1095">
        <v>5</v>
      </c>
      <c r="P1095" s="2">
        <v>43740</v>
      </c>
      <c r="Q1095" s="1">
        <v>32</v>
      </c>
      <c r="R1095" t="s">
        <v>2273</v>
      </c>
      <c r="S1095">
        <v>1078881165</v>
      </c>
    </row>
    <row r="1096" spans="1:19" x14ac:dyDescent="0.2">
      <c r="A1096" t="str">
        <f t="shared" si="148"/>
        <v>Adult Nonfiction</v>
      </c>
      <c r="B1096" t="str">
        <f>"NEW 305.42 STE"</f>
        <v>NEW 305.42 STE</v>
      </c>
      <c r="C1096" t="str">
        <f>"The truth will set you free, but first it will piss you off: thoughts on life, love, and rebellion"</f>
        <v>The truth will set you free, but first it will piss you off: thoughts on life, love, and rebellion</v>
      </c>
      <c r="D1096">
        <v>359576</v>
      </c>
      <c r="E1096" t="str">
        <f>"Steinem, Gloria."</f>
        <v>Steinem, Gloria.</v>
      </c>
      <c r="G1096" t="str">
        <f>"xxiii, 161 pages, 22 cm, illustrations"</f>
        <v>xxiii, 161 pages, 22 cm, illustrations</v>
      </c>
      <c r="H1096" s="1">
        <v>19</v>
      </c>
      <c r="I1096">
        <v>2019</v>
      </c>
      <c r="J1096" t="str">
        <f t="shared" si="150"/>
        <v>9: 300 - 399</v>
      </c>
      <c r="L1096" t="s">
        <v>2395</v>
      </c>
      <c r="M1096" t="s">
        <v>28</v>
      </c>
      <c r="N1096" t="s">
        <v>2396</v>
      </c>
      <c r="O1096">
        <v>2</v>
      </c>
      <c r="P1096" s="2">
        <v>43802</v>
      </c>
      <c r="Q1096" s="1">
        <v>27</v>
      </c>
      <c r="R1096" t="s">
        <v>2274</v>
      </c>
      <c r="S1096">
        <v>1109409062</v>
      </c>
    </row>
    <row r="1097" spans="1:19" x14ac:dyDescent="0.2">
      <c r="A1097" t="str">
        <f t="shared" si="148"/>
        <v>Adult Nonfiction</v>
      </c>
      <c r="B1097" t="str">
        <f>"NEW 305.5 DOR"</f>
        <v>NEW 305.5 DOR</v>
      </c>
      <c r="C1097" t="str">
        <f>"Inequality and the 1%"</f>
        <v>Inequality and the 1%</v>
      </c>
      <c r="D1097">
        <v>358380</v>
      </c>
      <c r="E1097" t="str">
        <f>"Dorling, Danny."</f>
        <v>Dorling, Danny.</v>
      </c>
      <c r="G1097" t="str">
        <f>"250 p."</f>
        <v>250 p.</v>
      </c>
      <c r="H1097" s="1">
        <v>19</v>
      </c>
      <c r="I1097">
        <v>2019</v>
      </c>
      <c r="J1097" t="str">
        <f t="shared" si="150"/>
        <v>9: 300 - 399</v>
      </c>
      <c r="L1097" t="s">
        <v>2395</v>
      </c>
      <c r="M1097" t="s">
        <v>28</v>
      </c>
      <c r="N1097" t="s">
        <v>2404</v>
      </c>
      <c r="O1097">
        <v>1</v>
      </c>
      <c r="P1097" s="2">
        <v>43749</v>
      </c>
      <c r="Q1097" s="1">
        <v>22</v>
      </c>
      <c r="R1097" t="s">
        <v>2275</v>
      </c>
      <c r="S1097">
        <v>1080273814</v>
      </c>
    </row>
    <row r="1098" spans="1:19" x14ac:dyDescent="0.2">
      <c r="A1098" t="str">
        <f t="shared" si="148"/>
        <v>Adult Nonfiction</v>
      </c>
      <c r="B1098" t="str">
        <f>"NEW 305.5 MAR"</f>
        <v>NEW 305.5 MAR</v>
      </c>
      <c r="C1098" t="str">
        <f>"The Meritocracy trap: how America's foundational myth feeds inequality, dismantles the middle class, and devours the elite"</f>
        <v>The Meritocracy trap: how America's foundational myth feeds inequality, dismantles the middle class, and devours the elite</v>
      </c>
      <c r="D1098">
        <v>359674</v>
      </c>
      <c r="E1098" t="str">
        <f>"Markovits, Daniel,"</f>
        <v>Markovits, Daniel,</v>
      </c>
      <c r="G1098" t="str">
        <f>"xxiii, 418 pages, 25 cm, illustrations"</f>
        <v>xxiii, 418 pages, 25 cm, illustrations</v>
      </c>
      <c r="H1098" s="1">
        <v>19</v>
      </c>
      <c r="I1098">
        <v>2019</v>
      </c>
      <c r="J1098" t="str">
        <f t="shared" si="150"/>
        <v>9: 300 - 399</v>
      </c>
      <c r="L1098" t="s">
        <v>2395</v>
      </c>
      <c r="M1098" t="s">
        <v>28</v>
      </c>
      <c r="N1098" t="s">
        <v>2404</v>
      </c>
      <c r="O1098">
        <v>3</v>
      </c>
      <c r="P1098" s="2">
        <v>43804</v>
      </c>
      <c r="Q1098" s="1">
        <v>35</v>
      </c>
      <c r="R1098" t="s">
        <v>2276</v>
      </c>
      <c r="S1098">
        <v>1114333218</v>
      </c>
    </row>
    <row r="1099" spans="1:19" x14ac:dyDescent="0.2">
      <c r="A1099" t="str">
        <f t="shared" si="148"/>
        <v>Adult Nonfiction</v>
      </c>
      <c r="B1099" t="str">
        <f>"NEW 305.8 KAU"</f>
        <v>NEW 305.8 KAU</v>
      </c>
      <c r="C1099" t="str">
        <f>"Whiteshift: populism, immigration, and the future of white majorities"</f>
        <v>Whiteshift: populism, immigration, and the future of white majorities</v>
      </c>
      <c r="D1099">
        <v>359893</v>
      </c>
      <c r="E1099" t="str">
        <f>"Kaufmann, Eric P."</f>
        <v>Kaufmann, Eric P.</v>
      </c>
      <c r="G1099" t="str">
        <f>"vi, 618 pages, 24 cm, illustrations, maps"</f>
        <v>vi, 618 pages, 24 cm, illustrations, maps</v>
      </c>
      <c r="H1099" s="1">
        <v>19</v>
      </c>
      <c r="I1099">
        <v>2019</v>
      </c>
      <c r="J1099" t="str">
        <f t="shared" si="150"/>
        <v>9: 300 - 399</v>
      </c>
      <c r="L1099" t="s">
        <v>2395</v>
      </c>
      <c r="M1099" t="s">
        <v>28</v>
      </c>
      <c r="N1099" t="s">
        <v>2396</v>
      </c>
      <c r="O1099">
        <v>0</v>
      </c>
      <c r="P1099" s="2">
        <v>43815</v>
      </c>
      <c r="Q1099" s="1">
        <v>40</v>
      </c>
      <c r="R1099" t="s">
        <v>2277</v>
      </c>
      <c r="S1099">
        <v>1052828926</v>
      </c>
    </row>
    <row r="1100" spans="1:19" x14ac:dyDescent="0.2">
      <c r="A1100" t="str">
        <f t="shared" si="148"/>
        <v>Adult Nonfiction</v>
      </c>
      <c r="B1100" t="str">
        <f>"NEW 305.892 BER"</f>
        <v>NEW 305.892 BER</v>
      </c>
      <c r="C1100" t="str">
        <f>"The accusation: blood libel in an American town"</f>
        <v>The accusation: blood libel in an American town</v>
      </c>
      <c r="D1100">
        <v>357876</v>
      </c>
      <c r="E1100" t="str">
        <f>"Berenson, Edward,"</f>
        <v>Berenson, Edward,</v>
      </c>
      <c r="G1100" t="str">
        <f>"271 pages, 22 cm, illustrations"</f>
        <v>271 pages, 22 cm, illustrations</v>
      </c>
      <c r="H1100" s="1">
        <v>19</v>
      </c>
      <c r="I1100">
        <v>2019</v>
      </c>
      <c r="J1100" t="str">
        <f t="shared" si="150"/>
        <v>9: 300 - 399</v>
      </c>
      <c r="L1100" t="s">
        <v>2395</v>
      </c>
      <c r="M1100" t="s">
        <v>28</v>
      </c>
      <c r="N1100" t="s">
        <v>2396</v>
      </c>
      <c r="O1100">
        <v>3</v>
      </c>
      <c r="P1100" s="2">
        <v>43733</v>
      </c>
      <c r="Q1100" s="1">
        <v>32</v>
      </c>
      <c r="R1100" t="s">
        <v>2278</v>
      </c>
      <c r="S1100">
        <v>1084394164</v>
      </c>
    </row>
    <row r="1101" spans="1:19" x14ac:dyDescent="0.2">
      <c r="A1101" t="str">
        <f t="shared" si="148"/>
        <v>Adult Nonfiction</v>
      </c>
      <c r="B1101" t="str">
        <f>"NEW 305.896 BUC"</f>
        <v>NEW 305.896 BUC</v>
      </c>
      <c r="C1101" t="str">
        <f>"The fire is upon us: James Baldwin, William F. Buckley Jr., and the debate over race in America"</f>
        <v>The fire is upon us: James Baldwin, William F. Buckley Jr., and the debate over race in America</v>
      </c>
      <c r="D1101">
        <v>359775</v>
      </c>
      <c r="E1101" t="str">
        <f>"Buccola, Nicholas"</f>
        <v>Buccola, Nicholas</v>
      </c>
      <c r="G1101" t="str">
        <f>"xii, 482 pages, 25 cm, illustrations"</f>
        <v>xii, 482 pages, 25 cm, illustrations</v>
      </c>
      <c r="H1101" s="1">
        <v>19</v>
      </c>
      <c r="I1101">
        <v>2019</v>
      </c>
      <c r="J1101" t="str">
        <f t="shared" si="150"/>
        <v>9: 300 - 399</v>
      </c>
      <c r="L1101" t="s">
        <v>2395</v>
      </c>
      <c r="M1101" t="s">
        <v>28</v>
      </c>
      <c r="N1101" t="s">
        <v>2396</v>
      </c>
      <c r="O1101">
        <v>0</v>
      </c>
      <c r="P1101" s="2">
        <v>43811</v>
      </c>
      <c r="Q1101" s="1">
        <v>35</v>
      </c>
      <c r="R1101" t="s">
        <v>2279</v>
      </c>
      <c r="S1101">
        <v>1089438547</v>
      </c>
    </row>
    <row r="1102" spans="1:19" x14ac:dyDescent="0.2">
      <c r="A1102" t="str">
        <f t="shared" si="148"/>
        <v>Adult Nonfiction</v>
      </c>
      <c r="B1102" t="str">
        <f>"NEW 306 CAR"</f>
        <v>NEW 306 CAR</v>
      </c>
      <c r="C1102" t="str">
        <f>"Alienated America: why some places thrive while others collapse"</f>
        <v>Alienated America: why some places thrive while others collapse</v>
      </c>
      <c r="D1102">
        <v>353469</v>
      </c>
      <c r="E1102" t="str">
        <f>"Carney, Timothy P.,"</f>
        <v>Carney, Timothy P.,</v>
      </c>
      <c r="G1102" t="str">
        <f>"xiv, 348 pages, 24 cm, illustrations"</f>
        <v>xiv, 348 pages, 24 cm, illustrations</v>
      </c>
      <c r="H1102" s="1">
        <v>19</v>
      </c>
      <c r="I1102">
        <v>2019</v>
      </c>
      <c r="J1102" t="str">
        <f t="shared" si="150"/>
        <v>9: 300 - 399</v>
      </c>
      <c r="L1102" t="s">
        <v>2395</v>
      </c>
      <c r="M1102" t="s">
        <v>28</v>
      </c>
      <c r="N1102" t="s">
        <v>2401</v>
      </c>
      <c r="O1102">
        <v>6</v>
      </c>
      <c r="P1102" s="2">
        <v>43532</v>
      </c>
      <c r="Q1102" s="1">
        <v>33</v>
      </c>
      <c r="R1102" t="s">
        <v>405</v>
      </c>
      <c r="S1102">
        <v>1085670504</v>
      </c>
    </row>
    <row r="1103" spans="1:19" x14ac:dyDescent="0.2">
      <c r="A1103" t="str">
        <f t="shared" ref="A1103:A1166" si="151">"Adult Nonfiction"</f>
        <v>Adult Nonfiction</v>
      </c>
      <c r="B1103" t="str">
        <f>"NEW 306 DAU"</f>
        <v>NEW 306 DAU</v>
      </c>
      <c r="C1103" t="str">
        <f>"The problem with everything: my journey through the new culture wars"</f>
        <v>The problem with everything: my journey through the new culture wars</v>
      </c>
      <c r="D1103">
        <v>359209</v>
      </c>
      <c r="E1103" t="str">
        <f>"Daum, Meghan,"</f>
        <v>Daum, Meghan,</v>
      </c>
      <c r="G1103" t="str">
        <f>"xxiii, 224 pages, 24 cm"</f>
        <v>xxiii, 224 pages, 24 cm</v>
      </c>
      <c r="H1103" s="1">
        <v>19</v>
      </c>
      <c r="I1103">
        <v>2019</v>
      </c>
      <c r="J1103" t="str">
        <f t="shared" si="150"/>
        <v>9: 300 - 399</v>
      </c>
      <c r="L1103" t="s">
        <v>2395</v>
      </c>
      <c r="M1103" t="s">
        <v>28</v>
      </c>
      <c r="N1103" t="s">
        <v>2396</v>
      </c>
      <c r="O1103">
        <v>1</v>
      </c>
      <c r="P1103" s="2">
        <v>43782</v>
      </c>
      <c r="Q1103" s="1">
        <v>32</v>
      </c>
      <c r="R1103" t="s">
        <v>2280</v>
      </c>
      <c r="S1103">
        <v>1119123631</v>
      </c>
    </row>
    <row r="1104" spans="1:19" x14ac:dyDescent="0.2">
      <c r="A1104" t="str">
        <f t="shared" si="151"/>
        <v>Adult Nonfiction</v>
      </c>
      <c r="B1104" t="str">
        <f>"NEW 306 STI"</f>
        <v>NEW 306 STI</v>
      </c>
      <c r="C1104" t="str">
        <f>"Measuring what counts: the global movement for well-being"</f>
        <v>Measuring what counts: the global movement for well-being</v>
      </c>
      <c r="D1104">
        <v>359564</v>
      </c>
      <c r="E1104" t="str">
        <f>"Stiglitz, Joseph E."</f>
        <v>Stiglitz, Joseph E.</v>
      </c>
      <c r="G1104" t="str">
        <f>"pages cm"</f>
        <v>pages cm</v>
      </c>
      <c r="H1104" s="1">
        <v>19</v>
      </c>
      <c r="I1104">
        <v>2019</v>
      </c>
      <c r="J1104" t="str">
        <f t="shared" si="150"/>
        <v>9: 300 - 399</v>
      </c>
      <c r="L1104" t="s">
        <v>2395</v>
      </c>
      <c r="M1104" t="s">
        <v>28</v>
      </c>
      <c r="N1104" t="s">
        <v>2396</v>
      </c>
      <c r="O1104">
        <v>0</v>
      </c>
      <c r="P1104" s="2">
        <v>43802</v>
      </c>
      <c r="Q1104" s="1">
        <v>23</v>
      </c>
      <c r="R1104" t="s">
        <v>2281</v>
      </c>
      <c r="S1104">
        <v>1113294301</v>
      </c>
    </row>
    <row r="1105" spans="1:19" x14ac:dyDescent="0.2">
      <c r="A1105" t="str">
        <f t="shared" si="151"/>
        <v>Adult Nonfiction</v>
      </c>
      <c r="B1105" t="str">
        <f>"NEW 306.2 BRY"</f>
        <v>NEW 306.2 BRY</v>
      </c>
      <c r="C1105" t="str">
        <f>"Full dissidence: notes from an uneven playing field"</f>
        <v>Full dissidence: notes from an uneven playing field</v>
      </c>
      <c r="D1105">
        <v>360433</v>
      </c>
      <c r="E1105" t="str">
        <f>"Bryant, Howard,"</f>
        <v>Bryant, Howard,</v>
      </c>
      <c r="G1105" t="str">
        <f>"187 p."</f>
        <v>187 p.</v>
      </c>
      <c r="H1105" s="1">
        <v>20</v>
      </c>
      <c r="I1105">
        <v>2020</v>
      </c>
      <c r="J1105" t="str">
        <f t="shared" si="150"/>
        <v>9: 300 - 399</v>
      </c>
      <c r="L1105" t="s">
        <v>2395</v>
      </c>
      <c r="M1105" t="s">
        <v>28</v>
      </c>
      <c r="N1105" t="s">
        <v>2404</v>
      </c>
      <c r="O1105">
        <v>1</v>
      </c>
      <c r="P1105" s="2">
        <v>43851</v>
      </c>
      <c r="Q1105" s="1">
        <v>30</v>
      </c>
      <c r="R1105" t="s">
        <v>2282</v>
      </c>
      <c r="S1105">
        <v>1098304423</v>
      </c>
    </row>
    <row r="1106" spans="1:19" x14ac:dyDescent="0.2">
      <c r="A1106" t="str">
        <f t="shared" si="151"/>
        <v>Adult Nonfiction</v>
      </c>
      <c r="B1106" t="str">
        <f>"NEW 306.2 DON"</f>
        <v>NEW 306.2 DON</v>
      </c>
      <c r="C1106" t="str">
        <f>"Polarized: the collapse of truth, civility, and community in divided times and how we can find common ground"</f>
        <v>Polarized: the collapse of truth, civility, and community in divided times and how we can find common ground</v>
      </c>
      <c r="D1106">
        <v>360319</v>
      </c>
      <c r="E1106" t="str">
        <f>"Donehoo, Paris,"</f>
        <v>Donehoo, Paris,</v>
      </c>
      <c r="G1106" t="str">
        <f>"372 pages, 24 cm"</f>
        <v>372 pages, 24 cm</v>
      </c>
      <c r="H1106" s="1">
        <v>19</v>
      </c>
      <c r="I1106">
        <v>2019</v>
      </c>
      <c r="J1106" t="str">
        <f t="shared" si="150"/>
        <v>9: 300 - 399</v>
      </c>
      <c r="L1106" t="s">
        <v>2395</v>
      </c>
      <c r="M1106" t="s">
        <v>28</v>
      </c>
      <c r="N1106" t="s">
        <v>2396</v>
      </c>
      <c r="O1106">
        <v>0</v>
      </c>
      <c r="P1106" s="2">
        <v>43844</v>
      </c>
      <c r="Q1106" s="1">
        <v>31</v>
      </c>
      <c r="R1106" t="s">
        <v>2283</v>
      </c>
      <c r="S1106">
        <v>1057238403</v>
      </c>
    </row>
    <row r="1107" spans="1:19" x14ac:dyDescent="0.2">
      <c r="A1107" t="str">
        <f t="shared" si="151"/>
        <v>Adult Nonfiction</v>
      </c>
      <c r="B1107" t="str">
        <f>"NEW 306.3 BEL"</f>
        <v>NEW 306.3 BEL</v>
      </c>
      <c r="C1107" t="str">
        <f>"Stolen: five free boys kidnapped into slavery and their astonishing odyssey home"</f>
        <v>Stolen: five free boys kidnapped into slavery and their astonishing odyssey home</v>
      </c>
      <c r="D1107">
        <v>358897</v>
      </c>
      <c r="E1107" t="str">
        <f>"Bell, Richard,"</f>
        <v>Bell, Richard,</v>
      </c>
      <c r="G1107" t="str">
        <f>"318 p., 24 cm, illustrations"</f>
        <v>318 p., 24 cm, illustrations</v>
      </c>
      <c r="H1107" s="1">
        <v>19</v>
      </c>
      <c r="I1107">
        <v>2019</v>
      </c>
      <c r="J1107" t="str">
        <f t="shared" si="150"/>
        <v>9: 300 - 399</v>
      </c>
      <c r="L1107" t="s">
        <v>2395</v>
      </c>
      <c r="M1107" t="s">
        <v>28</v>
      </c>
      <c r="N1107" t="s">
        <v>2404</v>
      </c>
      <c r="O1107">
        <v>1</v>
      </c>
      <c r="P1107" s="2">
        <v>43769</v>
      </c>
      <c r="Q1107" s="1">
        <v>32</v>
      </c>
      <c r="R1107" t="s">
        <v>2284</v>
      </c>
      <c r="S1107">
        <v>1110127438</v>
      </c>
    </row>
    <row r="1108" spans="1:19" x14ac:dyDescent="0.2">
      <c r="A1108" t="str">
        <f t="shared" si="151"/>
        <v>Adult Nonfiction</v>
      </c>
      <c r="B1108" t="str">
        <f>"NEW 306.7 BUS"</f>
        <v>NEW 306.7 BUS</v>
      </c>
      <c r="C1108" t="str">
        <f>"Is there still sex in the city?"</f>
        <v>Is there still sex in the city?</v>
      </c>
      <c r="D1108">
        <v>356827</v>
      </c>
      <c r="E1108" t="str">
        <f>"Bushnell, Candace"</f>
        <v>Bushnell, Candace</v>
      </c>
      <c r="G1108" t="str">
        <f>"261 pages, 22 cm"</f>
        <v>261 pages, 22 cm</v>
      </c>
      <c r="H1108" s="1">
        <v>19</v>
      </c>
      <c r="I1108">
        <v>2019</v>
      </c>
      <c r="J1108" t="str">
        <f t="shared" si="150"/>
        <v>9: 300 - 399</v>
      </c>
      <c r="L1108" t="s">
        <v>2395</v>
      </c>
      <c r="M1108" t="s">
        <v>28</v>
      </c>
      <c r="N1108" t="s">
        <v>2396</v>
      </c>
      <c r="O1108">
        <v>5</v>
      </c>
      <c r="P1108" s="2">
        <v>43691</v>
      </c>
      <c r="Q1108" s="1">
        <v>31</v>
      </c>
      <c r="R1108" t="s">
        <v>2285</v>
      </c>
      <c r="S1108">
        <v>1089259302</v>
      </c>
    </row>
    <row r="1109" spans="1:19" x14ac:dyDescent="0.2">
      <c r="A1109" t="str">
        <f t="shared" si="151"/>
        <v>Adult Nonfiction</v>
      </c>
      <c r="B1109" t="str">
        <f>"NEW 306.87 HEF"</f>
        <v>NEW 306.87 HEF</v>
      </c>
      <c r="C1109" t="str">
        <f>"Grown and flown: how to support your teen, stay close as a family, and raise independent adults"</f>
        <v>Grown and flown: how to support your teen, stay close as a family, and raise independent adults</v>
      </c>
      <c r="D1109">
        <v>357253</v>
      </c>
      <c r="E1109" t="str">
        <f>"Heffernan, Lisa,"</f>
        <v>Heffernan, Lisa,</v>
      </c>
      <c r="G1109" t="str">
        <f>"330 p."</f>
        <v>330 p.</v>
      </c>
      <c r="H1109" s="1">
        <v>19</v>
      </c>
      <c r="I1109">
        <v>2019</v>
      </c>
      <c r="J1109" t="str">
        <f t="shared" si="150"/>
        <v>9: 300 - 399</v>
      </c>
      <c r="L1109" t="s">
        <v>2395</v>
      </c>
      <c r="M1109" t="s">
        <v>28</v>
      </c>
      <c r="N1109" t="s">
        <v>2396</v>
      </c>
      <c r="O1109">
        <v>4</v>
      </c>
      <c r="P1109" s="2">
        <v>43711</v>
      </c>
      <c r="Q1109" s="1">
        <v>32</v>
      </c>
      <c r="R1109" t="s">
        <v>2286</v>
      </c>
    </row>
    <row r="1110" spans="1:19" x14ac:dyDescent="0.2">
      <c r="A1110" t="str">
        <f t="shared" si="151"/>
        <v>Adult Nonfiction</v>
      </c>
      <c r="B1110" t="str">
        <f>"NEW 306.9 DOU"</f>
        <v>NEW 306.9 DOU</v>
      </c>
      <c r="C1110" t="str">
        <f>"Will my cat eat my eyeballs?: big questions from tiny mortals about death"</f>
        <v>Will my cat eat my eyeballs?: big questions from tiny mortals about death</v>
      </c>
      <c r="D1110">
        <v>357944</v>
      </c>
      <c r="E1110" t="str">
        <f>"Doughty, Caitlin."</f>
        <v>Doughty, Caitlin.</v>
      </c>
      <c r="G1110" t="str">
        <f>"xv, 222 pages, 22 cm, illustrations"</f>
        <v>xv, 222 pages, 22 cm, illustrations</v>
      </c>
      <c r="H1110" s="1">
        <v>19</v>
      </c>
      <c r="I1110">
        <v>2019</v>
      </c>
      <c r="J1110" t="str">
        <f t="shared" si="150"/>
        <v>9: 300 - 399</v>
      </c>
      <c r="L1110" t="s">
        <v>2395</v>
      </c>
      <c r="M1110" t="s">
        <v>28</v>
      </c>
      <c r="N1110" t="s">
        <v>2396</v>
      </c>
      <c r="O1110">
        <v>3</v>
      </c>
      <c r="P1110" s="2">
        <v>43733</v>
      </c>
      <c r="Q1110" s="1">
        <v>31</v>
      </c>
      <c r="R1110" t="s">
        <v>2287</v>
      </c>
      <c r="S1110">
        <v>1109804981</v>
      </c>
    </row>
    <row r="1111" spans="1:19" x14ac:dyDescent="0.2">
      <c r="A1111" t="str">
        <f t="shared" si="151"/>
        <v>Adult Nonfiction</v>
      </c>
      <c r="B1111" t="str">
        <f>"NEW 306.9 MIL"</f>
        <v>NEW 306.9 MIL</v>
      </c>
      <c r="C1111" t="str">
        <f>"A beginner's guide to the end: practical advice for living life and facing death"</f>
        <v>A beginner's guide to the end: practical advice for living life and facing death</v>
      </c>
      <c r="D1111">
        <v>358851</v>
      </c>
      <c r="E1111" t="str">
        <f>"Miller, Bruce J.,"</f>
        <v>Miller, Bruce J.,</v>
      </c>
      <c r="G1111" t="str">
        <f>"520 p."</f>
        <v>520 p.</v>
      </c>
      <c r="H1111" s="1">
        <v>19</v>
      </c>
      <c r="I1111">
        <v>2019</v>
      </c>
      <c r="J1111" t="str">
        <f t="shared" si="150"/>
        <v>9: 300 - 399</v>
      </c>
      <c r="L1111" t="s">
        <v>2395</v>
      </c>
      <c r="M1111" t="s">
        <v>28</v>
      </c>
      <c r="N1111" t="s">
        <v>2396</v>
      </c>
      <c r="O1111">
        <v>2</v>
      </c>
      <c r="P1111" s="2">
        <v>43769</v>
      </c>
      <c r="Q1111" s="1">
        <v>33</v>
      </c>
      <c r="R1111" t="s">
        <v>534</v>
      </c>
      <c r="S1111">
        <v>1083703038</v>
      </c>
    </row>
    <row r="1112" spans="1:19" x14ac:dyDescent="0.2">
      <c r="A1112" t="str">
        <f t="shared" si="151"/>
        <v>Adult Nonfiction</v>
      </c>
      <c r="B1112" t="str">
        <f>"NEW 307.76 SHA"</f>
        <v>NEW 307.76 SHA</v>
      </c>
      <c r="C1112" t="str">
        <f>"Generation priced out: who gets to live in the new urban America"</f>
        <v>Generation priced out: who gets to live in the new urban America</v>
      </c>
      <c r="D1112">
        <v>356822</v>
      </c>
      <c r="E1112" t="str">
        <f>"Shaw, Randy,"</f>
        <v>Shaw, Randy,</v>
      </c>
      <c r="G1112" t="str">
        <f>"249 p."</f>
        <v>249 p.</v>
      </c>
      <c r="H1112" s="1">
        <v>19</v>
      </c>
      <c r="I1112">
        <v>2018</v>
      </c>
      <c r="J1112" t="str">
        <f t="shared" si="150"/>
        <v>9: 300 - 399</v>
      </c>
      <c r="L1112" t="s">
        <v>2403</v>
      </c>
      <c r="M1112" t="s">
        <v>28</v>
      </c>
      <c r="N1112" t="s">
        <v>2396</v>
      </c>
      <c r="O1112">
        <v>3</v>
      </c>
      <c r="P1112" s="2">
        <v>43691</v>
      </c>
      <c r="Q1112" s="1">
        <v>35</v>
      </c>
      <c r="R1112" t="s">
        <v>2288</v>
      </c>
      <c r="S1112">
        <v>1029247639</v>
      </c>
    </row>
    <row r="1113" spans="1:19" x14ac:dyDescent="0.2">
      <c r="A1113" t="str">
        <f t="shared" si="151"/>
        <v>Adult Nonfiction</v>
      </c>
      <c r="B1113" t="str">
        <f>"NEW 320.51 TRA"</f>
        <v>NEW 320.51 TRA</v>
      </c>
      <c r="C1113" t="str">
        <f>"What was liberalism?: the past, present and promise of a noble idea"</f>
        <v>What was liberalism?: the past, present and promise of a noble idea</v>
      </c>
      <c r="D1113">
        <v>358362</v>
      </c>
      <c r="E1113" t="str">
        <f>"Traub, James."</f>
        <v>Traub, James.</v>
      </c>
      <c r="G1113" t="str">
        <f>"vii, 311 pages, 25 cm"</f>
        <v>vii, 311 pages, 25 cm</v>
      </c>
      <c r="H1113" s="1">
        <v>19</v>
      </c>
      <c r="I1113">
        <v>2019</v>
      </c>
      <c r="J1113" t="str">
        <f t="shared" si="150"/>
        <v>9: 300 - 399</v>
      </c>
      <c r="L1113" t="s">
        <v>2395</v>
      </c>
      <c r="M1113" t="s">
        <v>28</v>
      </c>
      <c r="N1113" t="s">
        <v>2396</v>
      </c>
      <c r="O1113">
        <v>2</v>
      </c>
      <c r="P1113" s="2">
        <v>43749</v>
      </c>
      <c r="Q1113" s="1">
        <v>35</v>
      </c>
      <c r="R1113" t="s">
        <v>2289</v>
      </c>
      <c r="S1113">
        <v>1085644770</v>
      </c>
    </row>
    <row r="1114" spans="1:19" x14ac:dyDescent="0.2">
      <c r="A1114" t="str">
        <f t="shared" si="151"/>
        <v>Adult Nonfiction</v>
      </c>
      <c r="B1114" t="str">
        <f>"NEW 320.52 TRU"</f>
        <v>NEW 320.52 TRU</v>
      </c>
      <c r="C1114" t="str">
        <f>"Triggered: how the left thrives on hate and wants to silence us"</f>
        <v>Triggered: how the left thrives on hate and wants to silence us</v>
      </c>
      <c r="D1114">
        <v>360256</v>
      </c>
      <c r="E1114" t="str">
        <f>"Trump, Donald"</f>
        <v>Trump, Donald</v>
      </c>
      <c r="G1114" t="str">
        <f>"294 pages, 24 cm, illustrations (chiefly color)"</f>
        <v>294 pages, 24 cm, illustrations (chiefly color)</v>
      </c>
      <c r="H1114" s="1">
        <v>19</v>
      </c>
      <c r="I1114">
        <v>2019</v>
      </c>
      <c r="J1114" t="str">
        <f t="shared" si="150"/>
        <v>9: 300 - 399</v>
      </c>
      <c r="L1114" t="s">
        <v>2395</v>
      </c>
      <c r="M1114" t="s">
        <v>28</v>
      </c>
      <c r="N1114" t="str">
        <f>"Reserve Cart"</f>
        <v>Reserve Cart</v>
      </c>
      <c r="O1114">
        <v>0</v>
      </c>
      <c r="P1114" s="2">
        <v>43844</v>
      </c>
      <c r="Q1114" s="1">
        <v>35</v>
      </c>
      <c r="R1114" t="s">
        <v>2290</v>
      </c>
      <c r="S1114">
        <v>1106171594</v>
      </c>
    </row>
    <row r="1115" spans="1:19" x14ac:dyDescent="0.2">
      <c r="A1115" t="str">
        <f t="shared" si="151"/>
        <v>Adult Nonfiction</v>
      </c>
      <c r="B1115" t="str">
        <f>"NEW 320.97 LES"</f>
        <v>NEW 320.97 LES</v>
      </c>
      <c r="C1115" t="str">
        <f>"They don't represent us: reclaiming our democracy"</f>
        <v>They don't represent us: reclaiming our democracy</v>
      </c>
      <c r="D1115">
        <v>360251</v>
      </c>
      <c r="E1115" t="str">
        <f>"Lessig, Lawrence."</f>
        <v>Lessig, Lawrence.</v>
      </c>
      <c r="G1115" t="str">
        <f>"xv, 334 pages, 24 cm"</f>
        <v>xv, 334 pages, 24 cm</v>
      </c>
      <c r="H1115" s="1">
        <v>19</v>
      </c>
      <c r="I1115">
        <v>2019</v>
      </c>
      <c r="J1115" t="str">
        <f t="shared" si="150"/>
        <v>9: 300 - 399</v>
      </c>
      <c r="L1115" t="s">
        <v>2395</v>
      </c>
      <c r="M1115" t="s">
        <v>28</v>
      </c>
      <c r="N1115" t="s">
        <v>2396</v>
      </c>
      <c r="O1115">
        <v>0</v>
      </c>
      <c r="P1115" s="2">
        <v>43844</v>
      </c>
      <c r="Q1115" s="1">
        <v>32</v>
      </c>
      <c r="R1115" t="s">
        <v>2291</v>
      </c>
      <c r="S1115">
        <v>1085162815</v>
      </c>
    </row>
    <row r="1116" spans="1:19" x14ac:dyDescent="0.2">
      <c r="A1116" t="str">
        <f t="shared" si="151"/>
        <v>Adult Nonfiction</v>
      </c>
      <c r="B1116" t="str">
        <f>"NEW 320.97 SIT"</f>
        <v>NEW 320.97 SIT</v>
      </c>
      <c r="C1116" t="str">
        <f>"The great democracy: how to fix our politics, unrig the economy, and unite America"</f>
        <v>The great democracy: how to fix our politics, unrig the economy, and unite America</v>
      </c>
      <c r="D1116">
        <v>360219</v>
      </c>
      <c r="E1116" t="str">
        <f>"Sitaraman, Ganesh"</f>
        <v>Sitaraman, Ganesh</v>
      </c>
      <c r="G1116" t="str">
        <f>"v, 253 pages, 25 cm"</f>
        <v>v, 253 pages, 25 cm</v>
      </c>
      <c r="H1116" s="1">
        <v>19</v>
      </c>
      <c r="I1116">
        <v>2019</v>
      </c>
      <c r="J1116" t="str">
        <f t="shared" si="150"/>
        <v>9: 300 - 399</v>
      </c>
      <c r="L1116" t="s">
        <v>2403</v>
      </c>
      <c r="M1116" t="s">
        <v>28</v>
      </c>
      <c r="N1116" t="s">
        <v>2396</v>
      </c>
      <c r="O1116">
        <v>0</v>
      </c>
      <c r="P1116" s="2">
        <v>43844</v>
      </c>
      <c r="Q1116" s="1">
        <v>33</v>
      </c>
      <c r="R1116" t="s">
        <v>2292</v>
      </c>
      <c r="S1116">
        <v>1129229217</v>
      </c>
    </row>
    <row r="1117" spans="1:19" x14ac:dyDescent="0.2">
      <c r="A1117" t="str">
        <f t="shared" si="151"/>
        <v>Adult Nonfiction</v>
      </c>
      <c r="B1117" t="str">
        <f>"NEW 322 LEN"</f>
        <v>NEW 322 LEN</v>
      </c>
      <c r="C1117" t="str">
        <f>"God land: a story of faith, loss, and renewal in middle America"</f>
        <v>God land: a story of faith, loss, and renewal in middle America</v>
      </c>
      <c r="D1117">
        <v>356859</v>
      </c>
      <c r="E1117" t="str">
        <f>"Lenz, Lyz"</f>
        <v>Lenz, Lyz</v>
      </c>
      <c r="G1117" t="str">
        <f>"viii, 151 pages, 24 cm"</f>
        <v>viii, 151 pages, 24 cm</v>
      </c>
      <c r="H1117" s="1">
        <v>19</v>
      </c>
      <c r="I1117">
        <v>2019</v>
      </c>
      <c r="J1117" t="str">
        <f t="shared" si="150"/>
        <v>9: 300 - 399</v>
      </c>
      <c r="L1117" t="s">
        <v>2403</v>
      </c>
      <c r="M1117" t="s">
        <v>28</v>
      </c>
      <c r="N1117" t="s">
        <v>2396</v>
      </c>
      <c r="O1117">
        <v>2</v>
      </c>
      <c r="P1117" s="2">
        <v>43691</v>
      </c>
      <c r="Q1117" s="1">
        <v>27</v>
      </c>
      <c r="R1117" t="s">
        <v>2293</v>
      </c>
      <c r="S1117">
        <v>1109845954</v>
      </c>
    </row>
    <row r="1118" spans="1:19" x14ac:dyDescent="0.2">
      <c r="A1118" t="str">
        <f t="shared" si="151"/>
        <v>Adult Nonfiction</v>
      </c>
      <c r="B1118" t="str">
        <f>"NEW 323 STR"</f>
        <v>NEW 323 STR</v>
      </c>
      <c r="C1118" t="str">
        <f>"Resistance (at all costs): how Trump haters are breaking America"</f>
        <v>Resistance (at all costs): how Trump haters are breaking America</v>
      </c>
      <c r="D1118">
        <v>358558</v>
      </c>
      <c r="E1118" t="str">
        <f>"Strassel, Kimberley A."</f>
        <v>Strassel, Kimberley A.</v>
      </c>
      <c r="G1118" t="str">
        <f>"220 p."</f>
        <v>220 p.</v>
      </c>
      <c r="H1118" s="1">
        <v>19</v>
      </c>
      <c r="I1118">
        <v>2019</v>
      </c>
      <c r="J1118" t="str">
        <f t="shared" si="150"/>
        <v>9: 300 - 399</v>
      </c>
      <c r="L1118" t="s">
        <v>2395</v>
      </c>
      <c r="M1118" t="s">
        <v>28</v>
      </c>
      <c r="N1118" t="s">
        <v>2396</v>
      </c>
      <c r="O1118">
        <v>4</v>
      </c>
      <c r="P1118" s="2">
        <v>43756</v>
      </c>
      <c r="Q1118" s="1">
        <v>33</v>
      </c>
      <c r="R1118" t="s">
        <v>2294</v>
      </c>
      <c r="S1118">
        <v>1120188734</v>
      </c>
    </row>
    <row r="1119" spans="1:19" x14ac:dyDescent="0.2">
      <c r="A1119" t="str">
        <f t="shared" si="151"/>
        <v>Adult Nonfiction</v>
      </c>
      <c r="B1119" t="str">
        <f>"NEW 323.4 FIS"</f>
        <v>NEW 323.4 FIS</v>
      </c>
      <c r="C1119" t="str">
        <f>"The first: how to think about hate speech, campus speech, religious speech, fake news, post-truth, and Donald Trump"</f>
        <v>The first: how to think about hate speech, campus speech, religious speech, fake news, post-truth, and Donald Trump</v>
      </c>
      <c r="D1119">
        <v>359190</v>
      </c>
      <c r="E1119" t="str">
        <f>"Fish, Stanley Eugene."</f>
        <v>Fish, Stanley Eugene.</v>
      </c>
      <c r="G1119" t="str">
        <f>"228 pages, 22 cm"</f>
        <v>228 pages, 22 cm</v>
      </c>
      <c r="H1119" s="1">
        <v>19</v>
      </c>
      <c r="I1119">
        <v>2019</v>
      </c>
      <c r="J1119" t="str">
        <f t="shared" si="150"/>
        <v>9: 300 - 399</v>
      </c>
      <c r="L1119" t="s">
        <v>2395</v>
      </c>
      <c r="M1119" t="s">
        <v>28</v>
      </c>
      <c r="N1119" t="s">
        <v>2396</v>
      </c>
      <c r="O1119">
        <v>1</v>
      </c>
      <c r="P1119" s="2">
        <v>43782</v>
      </c>
      <c r="Q1119" s="1">
        <v>31</v>
      </c>
      <c r="R1119" t="s">
        <v>2295</v>
      </c>
      <c r="S1119">
        <v>1054374511</v>
      </c>
    </row>
    <row r="1120" spans="1:19" x14ac:dyDescent="0.2">
      <c r="A1120" t="str">
        <f t="shared" si="151"/>
        <v>Adult Nonfiction</v>
      </c>
      <c r="B1120" t="str">
        <f>"NEW 323.4 MUR"</f>
        <v>NEW 323.4 MUR</v>
      </c>
      <c r="C1120" t="str">
        <f>"The madness of crowds: gender, race and identity"</f>
        <v>The madness of crowds: gender, race and identity</v>
      </c>
      <c r="D1120">
        <v>359380</v>
      </c>
      <c r="E1120" t="str">
        <f>"Murray, Douglas"</f>
        <v>Murray, Douglas</v>
      </c>
      <c r="G1120" t="str">
        <f>"280 p., 25 cm"</f>
        <v>280 p., 25 cm</v>
      </c>
      <c r="H1120" s="1">
        <v>19</v>
      </c>
      <c r="I1120">
        <v>2019</v>
      </c>
      <c r="J1120" t="str">
        <f t="shared" si="150"/>
        <v>9: 300 - 399</v>
      </c>
      <c r="L1120" t="s">
        <v>2395</v>
      </c>
      <c r="M1120" t="s">
        <v>28</v>
      </c>
      <c r="N1120" t="s">
        <v>2396</v>
      </c>
      <c r="O1120">
        <v>2</v>
      </c>
      <c r="P1120" s="2">
        <v>43788</v>
      </c>
      <c r="Q1120" s="1">
        <v>33</v>
      </c>
      <c r="R1120" t="s">
        <v>2296</v>
      </c>
      <c r="S1120">
        <v>1119529087</v>
      </c>
    </row>
    <row r="1121" spans="1:19" x14ac:dyDescent="0.2">
      <c r="A1121" t="str">
        <f t="shared" si="151"/>
        <v>Adult Nonfiction</v>
      </c>
      <c r="B1121" t="str">
        <f>"NEW 324 HER"</f>
        <v>NEW 324 HER</v>
      </c>
      <c r="C1121" t="str">
        <f>"Politics Is for power: how to move beyond political hobbyism, take action, and make real change"</f>
        <v>Politics Is for power: how to move beyond political hobbyism, take action, and make real change</v>
      </c>
      <c r="D1121">
        <v>360398</v>
      </c>
      <c r="E1121" t="str">
        <f>"Hersh, Eitan."</f>
        <v>Hersh, Eitan.</v>
      </c>
      <c r="H1121" s="1">
        <v>20</v>
      </c>
      <c r="I1121">
        <v>2020</v>
      </c>
      <c r="J1121" t="str">
        <f t="shared" si="150"/>
        <v>9: 300 - 399</v>
      </c>
      <c r="L1121" t="s">
        <v>2395</v>
      </c>
      <c r="M1121" t="s">
        <v>28</v>
      </c>
      <c r="N1121" t="s">
        <v>2415</v>
      </c>
      <c r="O1121">
        <v>0</v>
      </c>
      <c r="P1121" s="2">
        <v>43851</v>
      </c>
      <c r="Q1121" s="1">
        <v>32</v>
      </c>
      <c r="R1121" t="s">
        <v>2297</v>
      </c>
      <c r="S1121">
        <v>1105946303</v>
      </c>
    </row>
    <row r="1122" spans="1:19" x14ac:dyDescent="0.2">
      <c r="A1122" t="str">
        <f t="shared" si="151"/>
        <v>Adult Nonfiction</v>
      </c>
      <c r="B1122" t="str">
        <f>"NEW 324.2 GRE"</f>
        <v>NEW 324.2 GRE</v>
      </c>
      <c r="C1122" t="str">
        <f>"RIP GOP: How the new America is dooming the Republicans"</f>
        <v>RIP GOP: How the new America is dooming the Republicans</v>
      </c>
      <c r="D1122">
        <v>357919</v>
      </c>
      <c r="E1122" t="str">
        <f>"Greenberg, Stanley B.,"</f>
        <v>Greenberg, Stanley B.,</v>
      </c>
      <c r="G1122" t="str">
        <f>"328 pages, 25 cm, illustrations, map"</f>
        <v>328 pages, 25 cm, illustrations, map</v>
      </c>
      <c r="H1122" s="1">
        <v>19</v>
      </c>
      <c r="I1122">
        <v>2019</v>
      </c>
      <c r="J1122" t="str">
        <f t="shared" si="150"/>
        <v>9: 300 - 399</v>
      </c>
      <c r="L1122" t="s">
        <v>2403</v>
      </c>
      <c r="M1122" t="s">
        <v>28</v>
      </c>
      <c r="N1122" t="s">
        <v>2396</v>
      </c>
      <c r="O1122">
        <v>2</v>
      </c>
      <c r="P1122" s="2">
        <v>43733</v>
      </c>
      <c r="Q1122" s="1">
        <v>35</v>
      </c>
      <c r="R1122" t="s">
        <v>2298</v>
      </c>
      <c r="S1122">
        <v>1079843909</v>
      </c>
    </row>
    <row r="1123" spans="1:19" x14ac:dyDescent="0.2">
      <c r="A1123" t="str">
        <f t="shared" si="151"/>
        <v>Adult Nonfiction</v>
      </c>
      <c r="B1123" t="str">
        <f>"NEW 324.2 KUT"</f>
        <v>NEW 324.2 KUT</v>
      </c>
      <c r="C1123" t="str">
        <f>"The stakes: 2020 and the survival of American democracy"</f>
        <v>The stakes: 2020 and the survival of American democracy</v>
      </c>
      <c r="D1123">
        <v>357455</v>
      </c>
      <c r="E1123" t="str">
        <f>"Kuttner, Robert"</f>
        <v>Kuttner, Robert</v>
      </c>
      <c r="G1123" t="str">
        <f>"xviii, 282 pages, 25 cm"</f>
        <v>xviii, 282 pages, 25 cm</v>
      </c>
      <c r="H1123" s="1">
        <v>19</v>
      </c>
      <c r="I1123">
        <v>2019</v>
      </c>
      <c r="J1123" t="str">
        <f t="shared" si="150"/>
        <v>9: 300 - 399</v>
      </c>
      <c r="L1123" t="s">
        <v>2395</v>
      </c>
      <c r="M1123" t="s">
        <v>28</v>
      </c>
      <c r="N1123" t="s">
        <v>2396</v>
      </c>
      <c r="O1123">
        <v>2</v>
      </c>
      <c r="P1123" s="2">
        <v>43718</v>
      </c>
      <c r="Q1123" s="1">
        <v>32</v>
      </c>
      <c r="R1123" t="s">
        <v>2299</v>
      </c>
    </row>
    <row r="1124" spans="1:19" x14ac:dyDescent="0.2">
      <c r="A1124" t="str">
        <f t="shared" si="151"/>
        <v>Adult Nonfiction</v>
      </c>
      <c r="B1124" t="str">
        <f>"NEW 324.2 LIM"</f>
        <v>NEW 324.2 LIM</v>
      </c>
      <c r="C1124" t="str">
        <f>"Guilty by reason of insanity: why the Democrats must not win"</f>
        <v>Guilty by reason of insanity: why the Democrats must not win</v>
      </c>
      <c r="D1124">
        <v>359192</v>
      </c>
      <c r="E1124" t="str">
        <f>"Limbaugh, David."</f>
        <v>Limbaugh, David.</v>
      </c>
      <c r="G1124" t="str">
        <f>"xiii, 482 pages, 24 cm"</f>
        <v>xiii, 482 pages, 24 cm</v>
      </c>
      <c r="H1124" s="1">
        <v>19</v>
      </c>
      <c r="I1124">
        <v>2019</v>
      </c>
      <c r="J1124" t="str">
        <f t="shared" si="150"/>
        <v>9: 300 - 399</v>
      </c>
      <c r="L1124" t="s">
        <v>2403</v>
      </c>
      <c r="M1124" t="s">
        <v>28</v>
      </c>
      <c r="N1124" t="s">
        <v>2404</v>
      </c>
      <c r="O1124">
        <v>2</v>
      </c>
      <c r="P1124" s="2">
        <v>43782</v>
      </c>
      <c r="Q1124" s="1">
        <v>35</v>
      </c>
      <c r="R1124" t="s">
        <v>2300</v>
      </c>
      <c r="S1124">
        <v>1123192739</v>
      </c>
    </row>
    <row r="1125" spans="1:19" x14ac:dyDescent="0.2">
      <c r="A1125" t="str">
        <f t="shared" si="151"/>
        <v>Adult Nonfiction</v>
      </c>
      <c r="B1125" t="str">
        <f>"NEW 324.2 MAX"</f>
        <v>NEW 324.2 MAX</v>
      </c>
      <c r="C1125" t="str">
        <f>"The long southern strategy: how chasing white voters in the South changed American politics"</f>
        <v>The long southern strategy: how chasing white voters in the South changed American politics</v>
      </c>
      <c r="D1125">
        <v>357652</v>
      </c>
      <c r="E1125" t="str">
        <f>"Maxwell, Angie,"</f>
        <v>Maxwell, Angie,</v>
      </c>
      <c r="G1125" t="str">
        <f>"534 p."</f>
        <v>534 p.</v>
      </c>
      <c r="H1125" s="1">
        <v>19</v>
      </c>
      <c r="I1125">
        <v>2019</v>
      </c>
      <c r="J1125" t="str">
        <f t="shared" si="150"/>
        <v>9: 300 - 399</v>
      </c>
      <c r="L1125" t="s">
        <v>2403</v>
      </c>
      <c r="M1125" t="s">
        <v>28</v>
      </c>
      <c r="N1125" t="s">
        <v>2396</v>
      </c>
      <c r="O1125">
        <v>1</v>
      </c>
      <c r="P1125" s="2">
        <v>43725</v>
      </c>
      <c r="Q1125" s="1">
        <v>40</v>
      </c>
      <c r="R1125" t="s">
        <v>2301</v>
      </c>
      <c r="S1125">
        <v>1088528885</v>
      </c>
    </row>
    <row r="1126" spans="1:19" x14ac:dyDescent="0.2">
      <c r="A1126" t="str">
        <f t="shared" si="151"/>
        <v>Adult Nonfiction</v>
      </c>
      <c r="B1126" t="str">
        <f>"NEW 324.6 JAR"</f>
        <v>NEW 324.6 JAR</v>
      </c>
      <c r="C1126" t="str">
        <f>"Witch hunt: the story of the greatest mass delusion in American political history"</f>
        <v>Witch hunt: the story of the greatest mass delusion in American political history</v>
      </c>
      <c r="D1126">
        <v>358904</v>
      </c>
      <c r="E1126" t="str">
        <f>"Jarrett, Gregg."</f>
        <v>Jarrett, Gregg.</v>
      </c>
      <c r="G1126" t="str">
        <f>"xxii, 516 pages, 24 cm"</f>
        <v>xxii, 516 pages, 24 cm</v>
      </c>
      <c r="H1126" s="1">
        <v>19</v>
      </c>
      <c r="I1126">
        <v>2019</v>
      </c>
      <c r="J1126" t="str">
        <f t="shared" si="150"/>
        <v>9: 300 - 399</v>
      </c>
      <c r="L1126" t="s">
        <v>2395</v>
      </c>
      <c r="M1126" t="s">
        <v>28</v>
      </c>
      <c r="N1126" t="s">
        <v>2396</v>
      </c>
      <c r="O1126">
        <v>4</v>
      </c>
      <c r="P1126" s="2">
        <v>43769</v>
      </c>
      <c r="Q1126" s="1">
        <v>35</v>
      </c>
      <c r="R1126" t="s">
        <v>2302</v>
      </c>
      <c r="S1126">
        <v>1113432522</v>
      </c>
    </row>
    <row r="1127" spans="1:19" x14ac:dyDescent="0.2">
      <c r="A1127" t="str">
        <f t="shared" si="151"/>
        <v>Adult Nonfiction</v>
      </c>
      <c r="B1127" t="str">
        <f>"NEW 324.6 MCC"</f>
        <v>NEW 324.6 MCC</v>
      </c>
      <c r="C1127" t="str">
        <f>"Ball of collusion: the plot to rig an election and destroy a presidency"</f>
        <v>Ball of collusion: the plot to rig an election and destroy a presidency</v>
      </c>
      <c r="D1127">
        <v>357544</v>
      </c>
      <c r="E1127" t="str">
        <f>"McCarthy, Andrew C."</f>
        <v>McCarthy, Andrew C.</v>
      </c>
      <c r="G1127" t="str">
        <f>"350 p."</f>
        <v>350 p.</v>
      </c>
      <c r="H1127" s="1">
        <v>19</v>
      </c>
      <c r="I1127">
        <v>2019</v>
      </c>
      <c r="J1127" t="str">
        <f t="shared" si="150"/>
        <v>9: 300 - 399</v>
      </c>
      <c r="L1127" t="s">
        <v>2395</v>
      </c>
      <c r="M1127" t="s">
        <v>28</v>
      </c>
      <c r="N1127" t="s">
        <v>2396</v>
      </c>
      <c r="O1127">
        <v>4</v>
      </c>
      <c r="P1127" s="2">
        <v>43719</v>
      </c>
      <c r="Q1127" s="1">
        <v>41</v>
      </c>
      <c r="R1127" t="s">
        <v>2303</v>
      </c>
      <c r="S1127">
        <v>1088916079</v>
      </c>
    </row>
    <row r="1128" spans="1:19" x14ac:dyDescent="0.2">
      <c r="A1128" t="str">
        <f t="shared" si="151"/>
        <v>Adult Nonfiction</v>
      </c>
      <c r="B1128" t="str">
        <f>"NEW 324.6 MUE"</f>
        <v>NEW 324.6 MUE</v>
      </c>
      <c r="C1128" t="str">
        <f>"The Mueller report"</f>
        <v>The Mueller report</v>
      </c>
      <c r="D1128">
        <v>354788</v>
      </c>
      <c r="G1128" t="str">
        <f>"729 pages, 23 cm, illustrations"</f>
        <v>729 pages, 23 cm, illustrations</v>
      </c>
      <c r="H1128" s="1">
        <v>19</v>
      </c>
      <c r="I1128">
        <v>2019</v>
      </c>
      <c r="J1128" t="str">
        <f t="shared" si="150"/>
        <v>9: 300 - 399</v>
      </c>
      <c r="L1128" t="s">
        <v>2395</v>
      </c>
      <c r="M1128" t="s">
        <v>28</v>
      </c>
      <c r="N1128" t="s">
        <v>2401</v>
      </c>
      <c r="O1128">
        <v>6</v>
      </c>
      <c r="P1128" s="2">
        <v>43602</v>
      </c>
      <c r="Q1128" s="1">
        <v>20</v>
      </c>
      <c r="R1128" t="s">
        <v>2304</v>
      </c>
      <c r="S1128">
        <v>1089005299</v>
      </c>
    </row>
    <row r="1129" spans="1:19" x14ac:dyDescent="0.2">
      <c r="A1129" t="str">
        <f t="shared" si="151"/>
        <v>Adult Nonfiction</v>
      </c>
      <c r="B1129" t="str">
        <f>"NEW 324.6 SIM"</f>
        <v>NEW 324.6 SIM</v>
      </c>
      <c r="C1129" t="str">
        <f>"Crime in progress: inside the Steele dossier and the Fusion GPS investigation of Donald Trump"</f>
        <v>Crime in progress: inside the Steele dossier and the Fusion GPS investigation of Donald Trump</v>
      </c>
      <c r="D1129">
        <v>359849</v>
      </c>
      <c r="E1129" t="str">
        <f>"Simpson, Glenn R."</f>
        <v>Simpson, Glenn R.</v>
      </c>
      <c r="G1129" t="str">
        <f>"346 pages, 25 cm"</f>
        <v>346 pages, 25 cm</v>
      </c>
      <c r="H1129" s="1">
        <v>19</v>
      </c>
      <c r="I1129">
        <v>2019</v>
      </c>
      <c r="J1129" t="str">
        <f t="shared" ref="J1129:J1192" si="152">"9: 300 - 399"</f>
        <v>9: 300 - 399</v>
      </c>
      <c r="L1129" t="s">
        <v>2395</v>
      </c>
      <c r="M1129" t="s">
        <v>28</v>
      </c>
      <c r="N1129" t="s">
        <v>2404</v>
      </c>
      <c r="O1129">
        <v>2</v>
      </c>
      <c r="P1129" s="2">
        <v>43815</v>
      </c>
      <c r="Q1129" s="1">
        <v>35</v>
      </c>
      <c r="R1129" t="s">
        <v>2305</v>
      </c>
      <c r="S1129">
        <v>1121610391</v>
      </c>
    </row>
    <row r="1130" spans="1:19" x14ac:dyDescent="0.2">
      <c r="A1130" t="str">
        <f t="shared" si="151"/>
        <v>Adult Nonfiction</v>
      </c>
      <c r="B1130" t="str">
        <f>"NEW 324.7 KAI"</f>
        <v>NEW 324.7 KAI</v>
      </c>
      <c r="C1130" t="str">
        <f>"Targeted: the Cambridge Analytica whistleblower's inside story of how big data, Trump, and Facebook broke democracy and how it can happen again"</f>
        <v>Targeted: the Cambridge Analytica whistleblower's inside story of how big data, Trump, and Facebook broke democracy and how it can happen again</v>
      </c>
      <c r="D1130">
        <v>359058</v>
      </c>
      <c r="E1130" t="str">
        <f>"Kaiser, Brittany"</f>
        <v>Kaiser, Brittany</v>
      </c>
      <c r="G1130" t="str">
        <f>"392 pages, 8 unnumbered pages of plates, 24 cm, color illustrations"</f>
        <v>392 pages, 8 unnumbered pages of plates, 24 cm, color illustrations</v>
      </c>
      <c r="H1130" s="1">
        <v>19</v>
      </c>
      <c r="I1130">
        <v>2019</v>
      </c>
      <c r="J1130" t="str">
        <f t="shared" si="152"/>
        <v>9: 300 - 399</v>
      </c>
      <c r="L1130" t="s">
        <v>2395</v>
      </c>
      <c r="M1130" t="s">
        <v>28</v>
      </c>
      <c r="N1130" t="s">
        <v>2396</v>
      </c>
      <c r="O1130">
        <v>0</v>
      </c>
      <c r="P1130" s="2">
        <v>43776</v>
      </c>
      <c r="Q1130" s="1">
        <v>34</v>
      </c>
      <c r="R1130" t="s">
        <v>2306</v>
      </c>
      <c r="S1130">
        <v>1120193535</v>
      </c>
    </row>
    <row r="1131" spans="1:19" x14ac:dyDescent="0.2">
      <c r="A1131" t="str">
        <f t="shared" si="151"/>
        <v>Adult Nonfiction</v>
      </c>
      <c r="B1131" t="str">
        <f>"NEW 324.7 PON"</f>
        <v>NEW 324.7 PON</v>
      </c>
      <c r="C1131" t="str">
        <f>"Audience of one: Donald Trump, television, and the fracturing of America"</f>
        <v>Audience of one: Donald Trump, television, and the fracturing of America</v>
      </c>
      <c r="D1131">
        <v>357622</v>
      </c>
      <c r="E1131" t="str">
        <f>"Poniewozik, James"</f>
        <v>Poniewozik, James</v>
      </c>
      <c r="G1131" t="str">
        <f>"xxiii, 325 pages, 25 cm"</f>
        <v>xxiii, 325 pages, 25 cm</v>
      </c>
      <c r="H1131" s="1">
        <v>19</v>
      </c>
      <c r="I1131">
        <v>2019</v>
      </c>
      <c r="J1131" t="str">
        <f t="shared" si="152"/>
        <v>9: 300 - 399</v>
      </c>
      <c r="L1131" t="s">
        <v>2395</v>
      </c>
      <c r="M1131" t="s">
        <v>28</v>
      </c>
      <c r="N1131" t="s">
        <v>2396</v>
      </c>
      <c r="O1131">
        <v>1</v>
      </c>
      <c r="P1131" s="2">
        <v>43725</v>
      </c>
      <c r="Q1131" s="1">
        <v>33</v>
      </c>
      <c r="R1131" t="s">
        <v>2307</v>
      </c>
      <c r="S1131">
        <v>1114281145</v>
      </c>
    </row>
    <row r="1132" spans="1:19" x14ac:dyDescent="0.2">
      <c r="A1132" t="str">
        <f t="shared" si="151"/>
        <v>Adult Nonfiction</v>
      </c>
      <c r="B1132" t="str">
        <f>"NEW 324.7 ROD"</f>
        <v>NEW 324.7 ROD</v>
      </c>
      <c r="C1132" t="str">
        <f>"Run Jane run...we need you in office: why women are a natural for politics and how to get more of them elected"</f>
        <v>Run Jane run...we need you in office: why women are a natural for politics and how to get more of them elected</v>
      </c>
      <c r="D1132">
        <v>357568</v>
      </c>
      <c r="E1132" t="str">
        <f>"Rodriguez, Maria."</f>
        <v>Rodriguez, Maria.</v>
      </c>
      <c r="G1132" t="str">
        <f>"232 p."</f>
        <v>232 p.</v>
      </c>
      <c r="H1132" s="1">
        <v>19</v>
      </c>
      <c r="I1132">
        <v>2018</v>
      </c>
      <c r="J1132" t="str">
        <f t="shared" si="152"/>
        <v>9: 300 - 399</v>
      </c>
      <c r="L1132" t="s">
        <v>2403</v>
      </c>
      <c r="M1132" t="s">
        <v>28</v>
      </c>
      <c r="N1132" t="s">
        <v>2396</v>
      </c>
      <c r="O1132">
        <v>0</v>
      </c>
      <c r="P1132" s="2">
        <v>43719</v>
      </c>
      <c r="Q1132" s="1">
        <v>25</v>
      </c>
      <c r="R1132" t="s">
        <v>2308</v>
      </c>
    </row>
    <row r="1133" spans="1:19" x14ac:dyDescent="0.2">
      <c r="A1133" t="str">
        <f t="shared" si="151"/>
        <v>Adult Nonfiction</v>
      </c>
      <c r="B1133" t="str">
        <f>"NEW 325 DAV"</f>
        <v>NEW 325 DAV</v>
      </c>
      <c r="C1133" t="str">
        <f>"Border wars: inside Trump's assault on immigration"</f>
        <v>Border wars: inside Trump's assault on immigration</v>
      </c>
      <c r="D1133">
        <v>358679</v>
      </c>
      <c r="E1133" t="str">
        <f>"Davis, Julie Hirschfeld"</f>
        <v>Davis, Julie Hirschfeld</v>
      </c>
      <c r="G1133" t="str">
        <f>"viii, 468 pages, 24 cm, illustrations"</f>
        <v>viii, 468 pages, 24 cm, illustrations</v>
      </c>
      <c r="H1133" s="1">
        <v>19</v>
      </c>
      <c r="I1133">
        <v>2019</v>
      </c>
      <c r="J1133" t="str">
        <f t="shared" si="152"/>
        <v>9: 300 - 399</v>
      </c>
      <c r="L1133" t="s">
        <v>2395</v>
      </c>
      <c r="M1133" t="s">
        <v>28</v>
      </c>
      <c r="N1133" t="s">
        <v>2396</v>
      </c>
      <c r="O1133">
        <v>1</v>
      </c>
      <c r="P1133" s="2">
        <v>43762</v>
      </c>
      <c r="Q1133" s="1">
        <v>33</v>
      </c>
      <c r="R1133" t="s">
        <v>2309</v>
      </c>
      <c r="S1133">
        <v>1120721897</v>
      </c>
    </row>
    <row r="1134" spans="1:19" x14ac:dyDescent="0.2">
      <c r="A1134" t="str">
        <f t="shared" si="151"/>
        <v>Adult Nonfiction</v>
      </c>
      <c r="B1134" t="str">
        <f>"NEW 325 DEP"</f>
        <v>NEW 325 DEP</v>
      </c>
      <c r="C1134" t="str">
        <f>"A good provider is one who leaves: one family and migration in the 21st century"</f>
        <v>A good provider is one who leaves: one family and migration in the 21st century</v>
      </c>
      <c r="D1134">
        <v>356962</v>
      </c>
      <c r="E1134" t="str">
        <f>"DeParle, Jason"</f>
        <v>DeParle, Jason</v>
      </c>
      <c r="G1134" t="str">
        <f>"pages cm"</f>
        <v>pages cm</v>
      </c>
      <c r="H1134" s="1">
        <v>19</v>
      </c>
      <c r="I1134">
        <v>2019</v>
      </c>
      <c r="J1134" t="str">
        <f t="shared" si="152"/>
        <v>9: 300 - 399</v>
      </c>
      <c r="L1134" t="s">
        <v>2395</v>
      </c>
      <c r="M1134" t="s">
        <v>28</v>
      </c>
      <c r="N1134" t="s">
        <v>2404</v>
      </c>
      <c r="O1134">
        <v>5</v>
      </c>
      <c r="P1134" s="2">
        <v>43696</v>
      </c>
      <c r="Q1134" s="1">
        <v>33</v>
      </c>
      <c r="R1134" t="s">
        <v>2310</v>
      </c>
      <c r="S1134">
        <v>1076512354</v>
      </c>
    </row>
    <row r="1135" spans="1:19" x14ac:dyDescent="0.2">
      <c r="A1135" t="str">
        <f t="shared" si="151"/>
        <v>Adult Nonfiction</v>
      </c>
      <c r="B1135" t="str">
        <f>"NEW 327.12 AND"</f>
        <v>NEW 327.12 AND</v>
      </c>
      <c r="C1135" t="str">
        <f>"The secret world: a history of intelligence"</f>
        <v>The secret world: a history of intelligence</v>
      </c>
      <c r="D1135">
        <v>358008</v>
      </c>
      <c r="E1135" t="str">
        <f>"Andrew, Christopher"</f>
        <v>Andrew, Christopher</v>
      </c>
      <c r="G1135" t="str">
        <f>"760 p."</f>
        <v>760 p.</v>
      </c>
      <c r="H1135" s="1">
        <v>19</v>
      </c>
      <c r="I1135">
        <v>2019</v>
      </c>
      <c r="J1135" t="str">
        <f t="shared" si="152"/>
        <v>9: 300 - 399</v>
      </c>
      <c r="L1135" t="s">
        <v>2395</v>
      </c>
      <c r="M1135" t="s">
        <v>28</v>
      </c>
      <c r="N1135" t="s">
        <v>2404</v>
      </c>
      <c r="O1135">
        <v>4</v>
      </c>
      <c r="P1135" s="2">
        <v>43739</v>
      </c>
      <c r="Q1135" s="1">
        <v>31</v>
      </c>
      <c r="R1135" t="s">
        <v>2311</v>
      </c>
      <c r="S1135">
        <v>1089888202</v>
      </c>
    </row>
    <row r="1136" spans="1:19" x14ac:dyDescent="0.2">
      <c r="A1136" t="str">
        <f t="shared" si="151"/>
        <v>Adult Nonfiction</v>
      </c>
      <c r="B1136" t="str">
        <f>"NEW 327.12 FAL"</f>
        <v>NEW 327.12 FAL</v>
      </c>
      <c r="C1136" t="str">
        <f>"Chinese spies: from Chairman Mao to Xi Jinping"</f>
        <v>Chinese spies: from Chairman Mao to Xi Jinping</v>
      </c>
      <c r="D1136">
        <v>408361</v>
      </c>
      <c r="E1136" t="str">
        <f>"Faligot, Roger"</f>
        <v>Faligot, Roger</v>
      </c>
      <c r="G1136" t="str">
        <f>"xi, 507 pages, 24 cm"</f>
        <v>xi, 507 pages, 24 cm</v>
      </c>
      <c r="H1136" s="1">
        <v>19</v>
      </c>
      <c r="I1136">
        <v>2019</v>
      </c>
      <c r="J1136" t="str">
        <f t="shared" si="152"/>
        <v>9: 300 - 399</v>
      </c>
      <c r="L1136" t="s">
        <v>2403</v>
      </c>
      <c r="M1136" t="s">
        <v>28</v>
      </c>
      <c r="N1136" t="s">
        <v>2396</v>
      </c>
      <c r="O1136">
        <v>2</v>
      </c>
      <c r="P1136" s="2">
        <v>43769</v>
      </c>
      <c r="Q1136" s="1">
        <v>40</v>
      </c>
      <c r="R1136" t="s">
        <v>2312</v>
      </c>
      <c r="S1136">
        <v>1050132753</v>
      </c>
    </row>
    <row r="1137" spans="1:19" x14ac:dyDescent="0.2">
      <c r="A1137" t="str">
        <f t="shared" si="151"/>
        <v>Adult Nonfiction</v>
      </c>
      <c r="B1137" t="str">
        <f>"NEW 327.12 KIN"</f>
        <v>NEW 327.12 KIN</v>
      </c>
      <c r="C1137" t="str">
        <f>"Poisoner in chief: Sidney Gottlieb and the CIA search for mind control"</f>
        <v>Poisoner in chief: Sidney Gottlieb and the CIA search for mind control</v>
      </c>
      <c r="D1137">
        <v>357914</v>
      </c>
      <c r="E1137" t="str">
        <f>"Kinzer, Stephen"</f>
        <v>Kinzer, Stephen</v>
      </c>
      <c r="G1137" t="str">
        <f>"354 pages, 8 unnumbered pages of plates, 25 cm, illustrations"</f>
        <v>354 pages, 8 unnumbered pages of plates, 25 cm, illustrations</v>
      </c>
      <c r="H1137" s="1">
        <v>19</v>
      </c>
      <c r="I1137">
        <v>2019</v>
      </c>
      <c r="J1137" t="str">
        <f t="shared" si="152"/>
        <v>9: 300 - 399</v>
      </c>
      <c r="L1137" t="s">
        <v>2395</v>
      </c>
      <c r="M1137" t="s">
        <v>28</v>
      </c>
      <c r="N1137" t="s">
        <v>2404</v>
      </c>
      <c r="O1137">
        <v>3</v>
      </c>
      <c r="P1137" s="2">
        <v>43733</v>
      </c>
      <c r="Q1137" s="1">
        <v>35</v>
      </c>
      <c r="R1137" t="s">
        <v>2313</v>
      </c>
      <c r="S1137">
        <v>1089258836</v>
      </c>
    </row>
    <row r="1138" spans="1:19" x14ac:dyDescent="0.2">
      <c r="A1138" t="str">
        <f t="shared" si="151"/>
        <v>Adult Nonfiction</v>
      </c>
      <c r="B1138" t="str">
        <f>"NEW 327.12 MEN"</f>
        <v>NEW 327.12 MEN</v>
      </c>
      <c r="C1138" t="str">
        <f>"The Moscow rules: the secret CIA tactics that helped America win the Cold War"</f>
        <v>The Moscow rules: the secret CIA tactics that helped America win the Cold War</v>
      </c>
      <c r="D1138">
        <v>360445</v>
      </c>
      <c r="E1138" t="str">
        <f>"Mendez, Antonio J."</f>
        <v>Mendez, Antonio J.</v>
      </c>
      <c r="G1138" t="str">
        <f>"xii, 238 pages, 25 cm, illustrations"</f>
        <v>xii, 238 pages, 25 cm, illustrations</v>
      </c>
      <c r="H1138" s="1">
        <v>20</v>
      </c>
      <c r="I1138">
        <v>2019</v>
      </c>
      <c r="J1138" t="str">
        <f t="shared" si="152"/>
        <v>9: 300 - 399</v>
      </c>
      <c r="L1138" t="s">
        <v>2403</v>
      </c>
      <c r="M1138" t="s">
        <v>28</v>
      </c>
      <c r="N1138" t="s">
        <v>2415</v>
      </c>
      <c r="O1138">
        <v>0</v>
      </c>
      <c r="P1138" s="2">
        <v>43851</v>
      </c>
      <c r="Q1138" s="1">
        <v>33</v>
      </c>
      <c r="R1138" t="s">
        <v>2314</v>
      </c>
      <c r="S1138">
        <v>1078953368</v>
      </c>
    </row>
    <row r="1139" spans="1:19" x14ac:dyDescent="0.2">
      <c r="A1139" t="str">
        <f t="shared" si="151"/>
        <v>Adult Nonfiction</v>
      </c>
      <c r="B1139" t="str">
        <f>"NEW 327.12 OLS"</f>
        <v>NEW 327.12 OLS</v>
      </c>
      <c r="C1139" t="str">
        <f>"To catch a spy: the art of counterintelligence"</f>
        <v>To catch a spy: the art of counterintelligence</v>
      </c>
      <c r="D1139">
        <v>358725</v>
      </c>
      <c r="E1139" t="str">
        <f>"Olson, James M.,"</f>
        <v>Olson, James M.,</v>
      </c>
      <c r="G1139" t="str">
        <f>"xiv, 232 pages, 24 cm"</f>
        <v>xiv, 232 pages, 24 cm</v>
      </c>
      <c r="H1139" s="1">
        <v>19</v>
      </c>
      <c r="I1139">
        <v>2019</v>
      </c>
      <c r="J1139" t="str">
        <f t="shared" si="152"/>
        <v>9: 300 - 399</v>
      </c>
      <c r="L1139" t="s">
        <v>2395</v>
      </c>
      <c r="M1139" t="s">
        <v>28</v>
      </c>
      <c r="N1139" t="str">
        <f>"Reserve Cart"</f>
        <v>Reserve Cart</v>
      </c>
      <c r="O1139">
        <v>3</v>
      </c>
      <c r="P1139" s="2">
        <v>43762</v>
      </c>
      <c r="Q1139" s="1">
        <v>35</v>
      </c>
      <c r="R1139" t="s">
        <v>2315</v>
      </c>
      <c r="S1139">
        <v>1055568332</v>
      </c>
    </row>
    <row r="1140" spans="1:19" x14ac:dyDescent="0.2">
      <c r="A1140" t="str">
        <f t="shared" si="151"/>
        <v>Adult Nonfiction</v>
      </c>
      <c r="B1140" t="str">
        <f>"NEW 327.12 VOG"</f>
        <v>NEW 327.12 VOG</v>
      </c>
      <c r="C1140" t="str">
        <f>"Betrayal in Berlin: the true story of the Cold War's most audacious espionage operation"</f>
        <v>Betrayal in Berlin: the true story of the Cold War's most audacious espionage operation</v>
      </c>
      <c r="D1140">
        <v>358298</v>
      </c>
      <c r="E1140" t="str">
        <f>"Vogel, Steven,"</f>
        <v>Vogel, Steven,</v>
      </c>
      <c r="G1140" t="str">
        <f>"x, 530 pages, 16 unnumbered pages of plates, 24 cm, illustrations, maps"</f>
        <v>x, 530 pages, 16 unnumbered pages of plates, 24 cm, illustrations, maps</v>
      </c>
      <c r="H1140" s="1">
        <v>19</v>
      </c>
      <c r="I1140">
        <v>2019</v>
      </c>
      <c r="J1140" t="str">
        <f t="shared" si="152"/>
        <v>9: 300 - 399</v>
      </c>
      <c r="L1140" t="s">
        <v>2395</v>
      </c>
      <c r="M1140" t="s">
        <v>28</v>
      </c>
      <c r="N1140" t="s">
        <v>2396</v>
      </c>
      <c r="O1140">
        <v>4</v>
      </c>
      <c r="P1140" s="2">
        <v>43749</v>
      </c>
      <c r="Q1140" s="1">
        <v>35</v>
      </c>
      <c r="R1140" t="s">
        <v>2316</v>
      </c>
      <c r="S1140">
        <v>1119554502</v>
      </c>
    </row>
    <row r="1141" spans="1:19" x14ac:dyDescent="0.2">
      <c r="A1141" t="str">
        <f t="shared" si="151"/>
        <v>Adult Nonfiction</v>
      </c>
      <c r="B1141" t="str">
        <f>"NEW 327.73 GER"</f>
        <v>NEW 327.73 GER</v>
      </c>
      <c r="C1141" t="str">
        <f>"Deceiving the sky: inside Communist China's drive for global supremacy"</f>
        <v>Deceiving the sky: inside Communist China's drive for global supremacy</v>
      </c>
      <c r="D1141">
        <v>357888</v>
      </c>
      <c r="E1141" t="str">
        <f>"Gertz, Bill"</f>
        <v>Gertz, Bill</v>
      </c>
      <c r="G1141" t="str">
        <f>"pages cm"</f>
        <v>pages cm</v>
      </c>
      <c r="H1141" s="1">
        <v>19</v>
      </c>
      <c r="I1141">
        <v>2019</v>
      </c>
      <c r="J1141" t="str">
        <f t="shared" si="152"/>
        <v>9: 300 - 399</v>
      </c>
      <c r="L1141" t="s">
        <v>2403</v>
      </c>
      <c r="M1141" t="s">
        <v>28</v>
      </c>
      <c r="N1141" t="s">
        <v>2396</v>
      </c>
      <c r="O1141">
        <v>2</v>
      </c>
      <c r="P1141" s="2">
        <v>43732</v>
      </c>
      <c r="Q1141" s="1">
        <v>31</v>
      </c>
      <c r="R1141" t="s">
        <v>2317</v>
      </c>
      <c r="S1141">
        <v>1112796579</v>
      </c>
    </row>
    <row r="1142" spans="1:19" x14ac:dyDescent="0.2">
      <c r="A1142" t="str">
        <f t="shared" si="151"/>
        <v>Adult Nonfiction</v>
      </c>
      <c r="B1142" t="str">
        <f>"NEW 327.73 KAG"</f>
        <v>NEW 327.73 KAG</v>
      </c>
      <c r="C1142" t="str">
        <f>"The jungle grows back: America and our imperiled world"</f>
        <v>The jungle grows back: America and our imperiled world</v>
      </c>
      <c r="D1142">
        <v>357707</v>
      </c>
      <c r="E1142" t="str">
        <f>"Kagan, Robert"</f>
        <v>Kagan, Robert</v>
      </c>
      <c r="G1142" t="str">
        <f>"179 pages, 20 cm"</f>
        <v>179 pages, 20 cm</v>
      </c>
      <c r="H1142" s="1">
        <v>19</v>
      </c>
      <c r="I1142">
        <v>2019</v>
      </c>
      <c r="J1142" t="str">
        <f t="shared" si="152"/>
        <v>9: 300 - 399</v>
      </c>
      <c r="L1142" t="s">
        <v>2403</v>
      </c>
      <c r="M1142" t="s">
        <v>28</v>
      </c>
      <c r="N1142" t="s">
        <v>2404</v>
      </c>
      <c r="O1142">
        <v>4</v>
      </c>
      <c r="P1142" s="2">
        <v>43725</v>
      </c>
      <c r="Q1142" s="1">
        <v>21</v>
      </c>
      <c r="R1142" t="s">
        <v>2318</v>
      </c>
      <c r="S1142">
        <v>1076515443</v>
      </c>
    </row>
    <row r="1143" spans="1:19" x14ac:dyDescent="0.2">
      <c r="A1143" t="str">
        <f t="shared" si="151"/>
        <v>Adult Nonfiction</v>
      </c>
      <c r="B1143" t="str">
        <f>"NEW 327.73 NGO"</f>
        <v>NEW 327.73 NGO</v>
      </c>
      <c r="C1143" t="str">
        <f>"Arc of Containment: Britain, the United States, and Anticommunism in Southeast Asia"</f>
        <v>Arc of Containment: Britain, the United States, and Anticommunism in Southeast Asia</v>
      </c>
      <c r="D1143">
        <v>357980</v>
      </c>
      <c r="E1143" t="str">
        <f>"Ngoei, Wen-Qing,"</f>
        <v>Ngoei, Wen-Qing,</v>
      </c>
      <c r="G1143" t="str">
        <f>"x, 254 pages, 24 cm, illustrations, maps"</f>
        <v>x, 254 pages, 24 cm, illustrations, maps</v>
      </c>
      <c r="H1143" s="1">
        <v>19</v>
      </c>
      <c r="I1143">
        <v>2019</v>
      </c>
      <c r="J1143" t="str">
        <f t="shared" si="152"/>
        <v>9: 300 - 399</v>
      </c>
      <c r="L1143" t="s">
        <v>2403</v>
      </c>
      <c r="M1143" t="s">
        <v>28</v>
      </c>
      <c r="N1143" t="s">
        <v>2396</v>
      </c>
      <c r="O1143">
        <v>2</v>
      </c>
      <c r="P1143" s="2">
        <v>43739</v>
      </c>
      <c r="Q1143" s="1">
        <v>50</v>
      </c>
      <c r="R1143" t="s">
        <v>2319</v>
      </c>
      <c r="S1143">
        <v>1050143998</v>
      </c>
    </row>
    <row r="1144" spans="1:19" x14ac:dyDescent="0.2">
      <c r="A1144" t="str">
        <f t="shared" si="151"/>
        <v>Adult Nonfiction</v>
      </c>
      <c r="B1144" t="str">
        <f>"NEW 328.73 WOM"</f>
        <v>NEW 328.73 WOM</v>
      </c>
      <c r="C1144" t="str">
        <f>"The women of the 116th Congress: portraits of power"</f>
        <v>The women of the 116th Congress: portraits of power</v>
      </c>
      <c r="D1144">
        <v>408864</v>
      </c>
      <c r="G1144" t="str">
        <f>"207 pages, 24 cm, illustrations (chiefly color), portraits (chiefly color),, 1 poster (folded to 22 x 16 cm)"</f>
        <v>207 pages, 24 cm, illustrations (chiefly color), portraits (chiefly color),, 1 poster (folded to 22 x 16 cm)</v>
      </c>
      <c r="H1144" s="1">
        <v>20</v>
      </c>
      <c r="I1144">
        <v>2019</v>
      </c>
      <c r="J1144" t="str">
        <f t="shared" si="152"/>
        <v>9: 300 - 399</v>
      </c>
      <c r="L1144" t="s">
        <v>2395</v>
      </c>
      <c r="M1144" t="s">
        <v>28</v>
      </c>
      <c r="N1144" t="s">
        <v>2396</v>
      </c>
      <c r="O1144">
        <v>0</v>
      </c>
      <c r="P1144" s="2">
        <v>43858</v>
      </c>
      <c r="Q1144" s="1">
        <v>30</v>
      </c>
      <c r="R1144" t="s">
        <v>2320</v>
      </c>
      <c r="S1144">
        <v>1088915032</v>
      </c>
    </row>
    <row r="1145" spans="1:19" x14ac:dyDescent="0.2">
      <c r="A1145" t="str">
        <f t="shared" si="151"/>
        <v>Adult Nonfiction</v>
      </c>
      <c r="B1145" t="str">
        <f>"NEW 330 SHI"</f>
        <v>NEW 330 SHI</v>
      </c>
      <c r="C1145" t="str">
        <f>"Narrative economics: how stories go viral &amp; drive major economic events"</f>
        <v>Narrative economics: how stories go viral &amp; drive major economic events</v>
      </c>
      <c r="D1145">
        <v>408246</v>
      </c>
      <c r="E1145" t="str">
        <f>"Shiller, Robert J."</f>
        <v>Shiller, Robert J.</v>
      </c>
      <c r="G1145" t="str">
        <f>"xxii, 377 pages, 25 cm"</f>
        <v>xxii, 377 pages, 25 cm</v>
      </c>
      <c r="H1145" s="1">
        <v>19</v>
      </c>
      <c r="I1145">
        <v>2019</v>
      </c>
      <c r="J1145" t="str">
        <f t="shared" si="152"/>
        <v>9: 300 - 399</v>
      </c>
      <c r="L1145" t="s">
        <v>2395</v>
      </c>
      <c r="M1145" t="s">
        <v>28</v>
      </c>
      <c r="N1145" t="s">
        <v>2404</v>
      </c>
      <c r="O1145">
        <v>4</v>
      </c>
      <c r="P1145" s="2">
        <v>43761</v>
      </c>
      <c r="Q1145" s="1">
        <v>0</v>
      </c>
      <c r="R1145" t="s">
        <v>2321</v>
      </c>
      <c r="S1145">
        <v>1108803485</v>
      </c>
    </row>
    <row r="1146" spans="1:19" x14ac:dyDescent="0.2">
      <c r="A1146" t="str">
        <f t="shared" si="151"/>
        <v>Adult Nonfiction</v>
      </c>
      <c r="B1146" t="str">
        <f>"NEW 330.9 DAV"</f>
        <v>NEW 330.9 DAV</v>
      </c>
      <c r="C1146" t="str">
        <f>"The passion economy: the new rules for thriving in the twenty-first century"</f>
        <v>The passion economy: the new rules for thriving in the twenty-first century</v>
      </c>
      <c r="D1146">
        <v>360238</v>
      </c>
      <c r="E1146" t="str">
        <f>"Davidson, Adam,"</f>
        <v>Davidson, Adam,</v>
      </c>
      <c r="G1146" t="str">
        <f>"xxi, 307 pages, 25 cm"</f>
        <v>xxi, 307 pages, 25 cm</v>
      </c>
      <c r="H1146" s="1">
        <v>19</v>
      </c>
      <c r="I1146">
        <v>2020</v>
      </c>
      <c r="J1146" t="str">
        <f t="shared" si="152"/>
        <v>9: 300 - 399</v>
      </c>
      <c r="L1146" t="s">
        <v>2403</v>
      </c>
      <c r="M1146" t="s">
        <v>28</v>
      </c>
      <c r="N1146" t="s">
        <v>2404</v>
      </c>
      <c r="O1146">
        <v>1</v>
      </c>
      <c r="P1146" s="2">
        <v>43844</v>
      </c>
      <c r="Q1146" s="1">
        <v>33</v>
      </c>
      <c r="R1146" t="s">
        <v>2322</v>
      </c>
      <c r="S1146">
        <v>1132722524</v>
      </c>
    </row>
    <row r="1147" spans="1:19" x14ac:dyDescent="0.2">
      <c r="A1147" t="str">
        <f t="shared" si="151"/>
        <v>Adult Nonfiction</v>
      </c>
      <c r="B1147" t="str">
        <f>"NEW 330.97 APP"</f>
        <v>NEW 330.97 APP</v>
      </c>
      <c r="C1147" t="str">
        <f>"The economists' hour: false prophets, free markets, and the fracture of society"</f>
        <v>The economists' hour: false prophets, free markets, and the fracture of society</v>
      </c>
      <c r="D1147">
        <v>358533</v>
      </c>
      <c r="E1147" t="str">
        <f>"Appelbaum, Binyamin"</f>
        <v>Appelbaum, Binyamin</v>
      </c>
      <c r="G1147" t="str">
        <f>"439 pages, 8 unnumbered pages of plates, 25 cm, illustrations (some color)"</f>
        <v>439 pages, 8 unnumbered pages of plates, 25 cm, illustrations (some color)</v>
      </c>
      <c r="H1147" s="1">
        <v>19</v>
      </c>
      <c r="I1147">
        <v>2019</v>
      </c>
      <c r="J1147" t="str">
        <f t="shared" si="152"/>
        <v>9: 300 - 399</v>
      </c>
      <c r="L1147" t="s">
        <v>2403</v>
      </c>
      <c r="M1147" t="s">
        <v>28</v>
      </c>
      <c r="N1147" t="s">
        <v>2396</v>
      </c>
      <c r="O1147">
        <v>3</v>
      </c>
      <c r="P1147" s="2">
        <v>43756</v>
      </c>
      <c r="Q1147" s="1">
        <v>35</v>
      </c>
      <c r="R1147" t="s">
        <v>2323</v>
      </c>
      <c r="S1147">
        <v>1082177228</v>
      </c>
    </row>
    <row r="1148" spans="1:19" x14ac:dyDescent="0.2">
      <c r="A1148" t="str">
        <f t="shared" si="151"/>
        <v>Adult Nonfiction</v>
      </c>
      <c r="B1148" t="str">
        <f>"NEW 330.97 LEM"</f>
        <v>NEW 330.97 LEM</v>
      </c>
      <c r="C1148" t="str">
        <f>"Transaction man: the rise of the deal and the decline of the American dream"</f>
        <v>Transaction man: the rise of the deal and the decline of the American dream</v>
      </c>
      <c r="D1148">
        <v>358353</v>
      </c>
      <c r="E1148" t="str">
        <f>"Lemann, Nicholas"</f>
        <v>Lemann, Nicholas</v>
      </c>
      <c r="G1148" t="str">
        <f>"306 pages, 24 cm"</f>
        <v>306 pages, 24 cm</v>
      </c>
      <c r="H1148" s="1">
        <v>19</v>
      </c>
      <c r="I1148">
        <v>2019</v>
      </c>
      <c r="J1148" t="str">
        <f t="shared" si="152"/>
        <v>9: 300 - 399</v>
      </c>
      <c r="L1148" t="s">
        <v>2395</v>
      </c>
      <c r="M1148" t="s">
        <v>28</v>
      </c>
      <c r="N1148" t="s">
        <v>2404</v>
      </c>
      <c r="O1148">
        <v>3</v>
      </c>
      <c r="P1148" s="2">
        <v>43749</v>
      </c>
      <c r="Q1148" s="1">
        <v>33</v>
      </c>
      <c r="R1148" t="s">
        <v>2324</v>
      </c>
      <c r="S1148">
        <v>1082560305</v>
      </c>
    </row>
    <row r="1149" spans="1:19" x14ac:dyDescent="0.2">
      <c r="A1149" t="str">
        <f t="shared" si="151"/>
        <v>Adult Nonfiction</v>
      </c>
      <c r="B1149" t="str">
        <f>"NEW 330.97 STI"</f>
        <v>NEW 330.97 STI</v>
      </c>
      <c r="C1149" t="str">
        <f>"People, power, and profits: progressive capitalism for an age of discontent"</f>
        <v>People, power, and profits: progressive capitalism for an age of discontent</v>
      </c>
      <c r="D1149">
        <v>357306</v>
      </c>
      <c r="E1149" t="str">
        <f>"Stiglitz, Joseph E."</f>
        <v>Stiglitz, Joseph E.</v>
      </c>
      <c r="G1149" t="str">
        <f>"xxvii, 371 pages, 25 cm, illustrations"</f>
        <v>xxvii, 371 pages, 25 cm, illustrations</v>
      </c>
      <c r="H1149" s="1">
        <v>19</v>
      </c>
      <c r="I1149">
        <v>2019</v>
      </c>
      <c r="J1149" t="str">
        <f t="shared" si="152"/>
        <v>9: 300 - 399</v>
      </c>
      <c r="L1149" t="s">
        <v>2403</v>
      </c>
      <c r="M1149" t="s">
        <v>28</v>
      </c>
      <c r="N1149" t="s">
        <v>2404</v>
      </c>
      <c r="O1149">
        <v>4</v>
      </c>
      <c r="P1149" s="2">
        <v>43711</v>
      </c>
      <c r="Q1149" s="1">
        <v>33</v>
      </c>
      <c r="R1149" t="s">
        <v>2325</v>
      </c>
      <c r="S1149">
        <v>1097200732</v>
      </c>
    </row>
    <row r="1150" spans="1:19" x14ac:dyDescent="0.2">
      <c r="A1150" t="str">
        <f t="shared" si="151"/>
        <v>Adult Nonfiction</v>
      </c>
      <c r="B1150" t="str">
        <f>"NEW 331.1 BLA"</f>
        <v>NEW 331.1 BLA</v>
      </c>
      <c r="C1150" t="str">
        <f>"Not working: where have all the good jobs gone?"</f>
        <v>Not working: where have all the good jobs gone?</v>
      </c>
      <c r="D1150">
        <v>408297</v>
      </c>
      <c r="E1150" t="str">
        <f>"Blanchflower, David G."</f>
        <v>Blanchflower, David G.</v>
      </c>
      <c r="G1150" t="str">
        <f>"440 pages, 25 cm, illustrations (black and white)"</f>
        <v>440 pages, 25 cm, illustrations (black and white)</v>
      </c>
      <c r="H1150" s="1">
        <v>19</v>
      </c>
      <c r="I1150">
        <v>2019</v>
      </c>
      <c r="J1150" t="str">
        <f t="shared" si="152"/>
        <v>9: 300 - 399</v>
      </c>
      <c r="L1150" t="s">
        <v>2395</v>
      </c>
      <c r="M1150" t="s">
        <v>28</v>
      </c>
      <c r="N1150" t="s">
        <v>2396</v>
      </c>
      <c r="O1150">
        <v>2</v>
      </c>
      <c r="P1150" s="2">
        <v>43767</v>
      </c>
      <c r="Q1150" s="1">
        <v>35</v>
      </c>
      <c r="R1150" t="s">
        <v>2326</v>
      </c>
      <c r="S1150">
        <v>1059259906</v>
      </c>
    </row>
    <row r="1151" spans="1:19" x14ac:dyDescent="0.2">
      <c r="A1151" t="str">
        <f t="shared" si="151"/>
        <v>Adult Nonfiction</v>
      </c>
      <c r="B1151" t="str">
        <f>"NEW 331.4 KAN"</f>
        <v>NEW 331.4 KAN</v>
      </c>
      <c r="C1151" t="str">
        <f>"She said: breaking the sexual harassment story that helped ignite a movement"</f>
        <v>She said: breaking the sexual harassment story that helped ignite a movement</v>
      </c>
      <c r="D1151">
        <v>357925</v>
      </c>
      <c r="E1151" t="str">
        <f>"Kantor, Jodi,"</f>
        <v>Kantor, Jodi,</v>
      </c>
      <c r="G1151" t="str">
        <f>"310 pages, 25 cm"</f>
        <v>310 pages, 25 cm</v>
      </c>
      <c r="H1151" s="1">
        <v>19</v>
      </c>
      <c r="I1151">
        <v>2019</v>
      </c>
      <c r="J1151" t="str">
        <f t="shared" si="152"/>
        <v>9: 300 - 399</v>
      </c>
      <c r="L1151" t="s">
        <v>2395</v>
      </c>
      <c r="M1151" t="s">
        <v>28</v>
      </c>
      <c r="N1151" t="s">
        <v>2404</v>
      </c>
      <c r="O1151">
        <v>7</v>
      </c>
      <c r="P1151" s="2">
        <v>43733</v>
      </c>
      <c r="Q1151" s="1">
        <v>33</v>
      </c>
      <c r="R1151" t="s">
        <v>2327</v>
      </c>
      <c r="S1151">
        <v>1114336879</v>
      </c>
    </row>
    <row r="1152" spans="1:19" x14ac:dyDescent="0.2">
      <c r="A1152" t="str">
        <f t="shared" si="151"/>
        <v>Adult Nonfiction</v>
      </c>
      <c r="B1152" t="str">
        <f>"NEW 332.024 CHA"</f>
        <v>NEW 332.024 CHA</v>
      </c>
      <c r="C1152" t="str">
        <f>"Women with money: the judgment-free guide to creating the joyful, less stressed, purposeful (and, yes, rich) life you deserve"</f>
        <v>Women with money: the judgment-free guide to creating the joyful, less stressed, purposeful (and, yes, rich) life you deserve</v>
      </c>
      <c r="D1152">
        <v>356430</v>
      </c>
      <c r="E1152" t="str">
        <f>"Chatzky, Jean Sherman"</f>
        <v>Chatzky, Jean Sherman</v>
      </c>
      <c r="G1152" t="str">
        <f>"xviii, 269 pages, 24 cm"</f>
        <v>xviii, 269 pages, 24 cm</v>
      </c>
      <c r="H1152" s="1">
        <v>19</v>
      </c>
      <c r="I1152">
        <v>2019</v>
      </c>
      <c r="J1152" t="str">
        <f t="shared" si="152"/>
        <v>9: 300 - 399</v>
      </c>
      <c r="L1152" t="s">
        <v>2403</v>
      </c>
      <c r="M1152" t="s">
        <v>28</v>
      </c>
      <c r="N1152" t="s">
        <v>2396</v>
      </c>
      <c r="O1152">
        <v>6</v>
      </c>
      <c r="P1152" s="2">
        <v>43671</v>
      </c>
      <c r="Q1152" s="1">
        <v>33</v>
      </c>
      <c r="R1152" t="s">
        <v>2328</v>
      </c>
      <c r="S1152">
        <v>1036743394</v>
      </c>
    </row>
    <row r="1153" spans="1:19" x14ac:dyDescent="0.2">
      <c r="A1153" t="str">
        <f t="shared" si="151"/>
        <v>Adult Nonfiction</v>
      </c>
      <c r="B1153" t="str">
        <f>"NEW 332.024 DUN"</f>
        <v>NEW 332.024 DUN</v>
      </c>
      <c r="C1153" t="str">
        <f>"Bad with money: the imperfect art of getting your financial sh*t together"</f>
        <v>Bad with money: the imperfect art of getting your financial sh*t together</v>
      </c>
      <c r="D1153">
        <v>352241</v>
      </c>
      <c r="E1153" t="str">
        <f>"Dunn, Gaby"</f>
        <v>Dunn, Gaby</v>
      </c>
      <c r="G1153" t="str">
        <f>"xiv, 290 pages, 22 cm"</f>
        <v>xiv, 290 pages, 22 cm</v>
      </c>
      <c r="H1153" s="1">
        <v>19</v>
      </c>
      <c r="I1153">
        <v>2019</v>
      </c>
      <c r="J1153" t="str">
        <f t="shared" si="152"/>
        <v>9: 300 - 399</v>
      </c>
      <c r="L1153" t="s">
        <v>2395</v>
      </c>
      <c r="M1153" t="s">
        <v>28</v>
      </c>
      <c r="N1153" t="s">
        <v>2401</v>
      </c>
      <c r="O1153">
        <v>1</v>
      </c>
      <c r="P1153" s="2">
        <v>43479</v>
      </c>
      <c r="Q1153" s="1">
        <v>21</v>
      </c>
      <c r="R1153" t="s">
        <v>2329</v>
      </c>
      <c r="S1153">
        <v>1043960582</v>
      </c>
    </row>
    <row r="1154" spans="1:19" x14ac:dyDescent="0.2">
      <c r="A1154" t="str">
        <f t="shared" si="151"/>
        <v>Adult Nonfiction</v>
      </c>
      <c r="B1154" t="str">
        <f>"NEW 332.024 HON"</f>
        <v>NEW 332.024 HON</v>
      </c>
      <c r="C1154" t="str">
        <f>"Happy money: the Japanese art of making peace with your money"</f>
        <v>Happy money: the Japanese art of making peace with your money</v>
      </c>
      <c r="D1154">
        <v>359194</v>
      </c>
      <c r="E1154" t="str">
        <f>"Honda, Ken,"</f>
        <v>Honda, Ken,</v>
      </c>
      <c r="G1154" t="str">
        <f>"xvii, 217 pages, 19 cm"</f>
        <v>xvii, 217 pages, 19 cm</v>
      </c>
      <c r="H1154" s="1">
        <v>19</v>
      </c>
      <c r="I1154">
        <v>2019</v>
      </c>
      <c r="J1154" t="str">
        <f t="shared" si="152"/>
        <v>9: 300 - 399</v>
      </c>
      <c r="L1154" t="s">
        <v>2395</v>
      </c>
      <c r="M1154" t="s">
        <v>28</v>
      </c>
      <c r="N1154" t="s">
        <v>2404</v>
      </c>
      <c r="O1154">
        <v>3</v>
      </c>
      <c r="P1154" s="2">
        <v>43782</v>
      </c>
      <c r="Q1154" s="1">
        <v>25</v>
      </c>
      <c r="R1154" t="s">
        <v>2330</v>
      </c>
      <c r="S1154">
        <v>1077481914</v>
      </c>
    </row>
    <row r="1155" spans="1:19" x14ac:dyDescent="0.2">
      <c r="A1155" t="str">
        <f t="shared" si="151"/>
        <v>Adult Nonfiction</v>
      </c>
      <c r="B1155" t="str">
        <f>"NEW 333.7 KET"</f>
        <v>NEW 333.7 KET</v>
      </c>
      <c r="C1155" t="str">
        <f>"This land: how cowboys, capitalism, and corruption are ruining the American West"</f>
        <v>This land: how cowboys, capitalism, and corruption are ruining the American West</v>
      </c>
      <c r="D1155">
        <v>356286</v>
      </c>
      <c r="E1155" t="str">
        <f>"Ketcham, Christopher,"</f>
        <v>Ketcham, Christopher,</v>
      </c>
      <c r="G1155" t="str">
        <f>"422 p., 24 cm, map"</f>
        <v>422 p., 24 cm, map</v>
      </c>
      <c r="H1155" s="1">
        <v>19</v>
      </c>
      <c r="I1155">
        <v>2019</v>
      </c>
      <c r="J1155" t="str">
        <f t="shared" si="152"/>
        <v>9: 300 - 399</v>
      </c>
      <c r="L1155" t="s">
        <v>2403</v>
      </c>
      <c r="M1155" t="s">
        <v>28</v>
      </c>
      <c r="N1155" t="s">
        <v>2396</v>
      </c>
      <c r="O1155">
        <v>5</v>
      </c>
      <c r="P1155" s="2">
        <v>43661</v>
      </c>
      <c r="Q1155" s="1">
        <v>34</v>
      </c>
      <c r="R1155" t="s">
        <v>2331</v>
      </c>
      <c r="S1155">
        <v>1057859593</v>
      </c>
    </row>
    <row r="1156" spans="1:19" x14ac:dyDescent="0.2">
      <c r="A1156" t="str">
        <f t="shared" si="151"/>
        <v>Adult Nonfiction</v>
      </c>
      <c r="B1156" t="str">
        <f>"NEW 333.79 MAD"</f>
        <v>NEW 333.79 MAD</v>
      </c>
      <c r="C1156" t="str">
        <f>"Blowout: corrupted democracy, rogue state Russia, and the richest, most destructive industry on earth"</f>
        <v>Blowout: corrupted democracy, rogue state Russia, and the richest, most destructive industry on earth</v>
      </c>
      <c r="D1156">
        <v>358523</v>
      </c>
      <c r="E1156" t="str">
        <f>"Maddow, Rachel."</f>
        <v>Maddow, Rachel.</v>
      </c>
      <c r="G1156" t="str">
        <f>"xxi, 406 pages, 25 cm"</f>
        <v>xxi, 406 pages, 25 cm</v>
      </c>
      <c r="H1156" s="1">
        <v>19</v>
      </c>
      <c r="I1156">
        <v>2019</v>
      </c>
      <c r="J1156" t="str">
        <f t="shared" si="152"/>
        <v>9: 300 - 399</v>
      </c>
      <c r="L1156" t="s">
        <v>2395</v>
      </c>
      <c r="M1156" t="s">
        <v>28</v>
      </c>
      <c r="N1156" t="s">
        <v>2404</v>
      </c>
      <c r="O1156">
        <v>6</v>
      </c>
      <c r="P1156" s="2">
        <v>43756</v>
      </c>
      <c r="Q1156" s="1">
        <v>35</v>
      </c>
      <c r="R1156" t="s">
        <v>2332</v>
      </c>
      <c r="S1156">
        <v>1108782603</v>
      </c>
    </row>
    <row r="1157" spans="1:19" x14ac:dyDescent="0.2">
      <c r="A1157" t="str">
        <f t="shared" si="151"/>
        <v>Adult Nonfiction</v>
      </c>
      <c r="B1157" t="str">
        <f>"NEW 333.79 MAD"</f>
        <v>NEW 333.79 MAD</v>
      </c>
      <c r="C1157" t="str">
        <f>"Blowout: corrupted democracy, rogue state Russia, and the richest, most destructive industry on earth"</f>
        <v>Blowout: corrupted democracy, rogue state Russia, and the richest, most destructive industry on earth</v>
      </c>
      <c r="D1157">
        <v>359003</v>
      </c>
      <c r="E1157" t="str">
        <f>"Maddow, Rachel."</f>
        <v>Maddow, Rachel.</v>
      </c>
      <c r="G1157" t="str">
        <f>"xxi, 406 pages, 25 cm"</f>
        <v>xxi, 406 pages, 25 cm</v>
      </c>
      <c r="H1157" s="1">
        <v>19</v>
      </c>
      <c r="I1157">
        <v>2019</v>
      </c>
      <c r="J1157" t="str">
        <f t="shared" si="152"/>
        <v>9: 300 - 399</v>
      </c>
      <c r="L1157" t="s">
        <v>2403</v>
      </c>
      <c r="M1157" t="s">
        <v>28</v>
      </c>
      <c r="N1157" t="s">
        <v>2396</v>
      </c>
      <c r="O1157">
        <v>2</v>
      </c>
      <c r="P1157" s="2">
        <v>43776</v>
      </c>
      <c r="Q1157" s="1">
        <v>35</v>
      </c>
      <c r="R1157" t="s">
        <v>2332</v>
      </c>
      <c r="S1157">
        <v>1108782603</v>
      </c>
    </row>
    <row r="1158" spans="1:19" x14ac:dyDescent="0.2">
      <c r="A1158" t="str">
        <f t="shared" si="151"/>
        <v>Adult Nonfiction</v>
      </c>
      <c r="B1158" t="str">
        <f>"NEW 333.91 BIL"</f>
        <v>NEW 333.91 BIL</v>
      </c>
      <c r="C1158" t="str">
        <f>"Exposure: poisoned water, corporate greed, and one lawyer's twenty-year battle against DuPont"</f>
        <v>Exposure: poisoned water, corporate greed, and one lawyer's twenty-year battle against DuPont</v>
      </c>
      <c r="D1158">
        <v>407204</v>
      </c>
      <c r="E1158" t="str">
        <f>"Bilott, Robert,"</f>
        <v>Bilott, Robert,</v>
      </c>
      <c r="G1158" t="str">
        <f>"xii, 386 p., 24 cm"</f>
        <v>xii, 386 p., 24 cm</v>
      </c>
      <c r="H1158" s="1">
        <v>19</v>
      </c>
      <c r="I1158">
        <v>2019</v>
      </c>
      <c r="J1158" t="str">
        <f t="shared" si="152"/>
        <v>9: 300 - 399</v>
      </c>
      <c r="L1158" t="s">
        <v>2403</v>
      </c>
      <c r="M1158" t="s">
        <v>28</v>
      </c>
      <c r="N1158" t="str">
        <f>"Reserve Cart"</f>
        <v>Reserve Cart</v>
      </c>
      <c r="O1158">
        <v>3</v>
      </c>
      <c r="P1158" s="2">
        <v>43787</v>
      </c>
      <c r="Q1158" s="1">
        <v>33</v>
      </c>
      <c r="R1158" t="s">
        <v>2333</v>
      </c>
      <c r="S1158">
        <v>1121183510</v>
      </c>
    </row>
    <row r="1159" spans="1:19" x14ac:dyDescent="0.2">
      <c r="A1159" t="str">
        <f t="shared" si="151"/>
        <v>Adult Nonfiction</v>
      </c>
      <c r="B1159" t="str">
        <f>"NEW 333.91 SIE"</f>
        <v>NEW 333.91 SIE</v>
      </c>
      <c r="C1159" t="str">
        <f>"Troubled water: what's wrong with what we drink"</f>
        <v>Troubled water: what's wrong with what we drink</v>
      </c>
      <c r="D1159">
        <v>359063</v>
      </c>
      <c r="G1159" t="str">
        <f>"xvii, 330 pages, 25 cm"</f>
        <v>xvii, 330 pages, 25 cm</v>
      </c>
      <c r="H1159" s="1">
        <v>19</v>
      </c>
      <c r="I1159">
        <v>2019</v>
      </c>
      <c r="J1159" t="str">
        <f t="shared" si="152"/>
        <v>9: 300 - 399</v>
      </c>
      <c r="L1159" t="s">
        <v>2395</v>
      </c>
      <c r="M1159" t="s">
        <v>28</v>
      </c>
      <c r="N1159" t="s">
        <v>2404</v>
      </c>
      <c r="O1159">
        <v>2</v>
      </c>
      <c r="P1159" s="2">
        <v>43776</v>
      </c>
      <c r="Q1159" s="1">
        <v>35</v>
      </c>
      <c r="R1159" t="s">
        <v>2334</v>
      </c>
      <c r="S1159">
        <v>1108817660</v>
      </c>
    </row>
    <row r="1160" spans="1:19" x14ac:dyDescent="0.2">
      <c r="A1160" t="str">
        <f t="shared" si="151"/>
        <v>Adult Nonfiction</v>
      </c>
      <c r="B1160" t="str">
        <f>"NEW 336.7 SCH"</f>
        <v>NEW 336.7 SCH</v>
      </c>
      <c r="C1160" t="str">
        <f>"Inconspicuous consumption: the environmental impact you don't know you have"</f>
        <v>Inconspicuous consumption: the environmental impact you don't know you have</v>
      </c>
      <c r="D1160">
        <v>357509</v>
      </c>
      <c r="E1160" t="str">
        <f>"Schlossberg, Tatiana"</f>
        <v>Schlossberg, Tatiana</v>
      </c>
      <c r="G1160" t="str">
        <f>"277 p., 24 cm"</f>
        <v>277 p., 24 cm</v>
      </c>
      <c r="H1160" s="1">
        <v>19</v>
      </c>
      <c r="I1160">
        <v>2019</v>
      </c>
      <c r="J1160" t="str">
        <f t="shared" si="152"/>
        <v>9: 300 - 399</v>
      </c>
      <c r="L1160" t="s">
        <v>2403</v>
      </c>
      <c r="M1160" t="s">
        <v>28</v>
      </c>
      <c r="N1160" t="s">
        <v>2396</v>
      </c>
      <c r="O1160">
        <v>3</v>
      </c>
      <c r="P1160" s="2">
        <v>43719</v>
      </c>
      <c r="Q1160" s="1">
        <v>33</v>
      </c>
      <c r="R1160" t="s">
        <v>2335</v>
      </c>
      <c r="S1160">
        <v>1078892564</v>
      </c>
    </row>
    <row r="1161" spans="1:19" x14ac:dyDescent="0.2">
      <c r="A1161" t="str">
        <f t="shared" si="151"/>
        <v>Adult Nonfiction</v>
      </c>
      <c r="B1161" t="str">
        <f>"NEW 338.4 FOR"</f>
        <v>NEW 338.4 FOR</v>
      </c>
      <c r="C1161" t="str">
        <f>"Don't be evil: how big tech betrayed its founding principles--and all of us"</f>
        <v>Don't be evil: how big tech betrayed its founding principles--and all of us</v>
      </c>
      <c r="D1161">
        <v>359549</v>
      </c>
      <c r="E1161" t="str">
        <f>"Foroohar, Rana"</f>
        <v>Foroohar, Rana</v>
      </c>
      <c r="G1161" t="str">
        <f>"xxi, 337 pages, 25 cm"</f>
        <v>xxi, 337 pages, 25 cm</v>
      </c>
      <c r="H1161" s="1">
        <v>19</v>
      </c>
      <c r="I1161">
        <v>2019</v>
      </c>
      <c r="J1161" t="str">
        <f t="shared" si="152"/>
        <v>9: 300 - 399</v>
      </c>
      <c r="L1161" t="s">
        <v>2403</v>
      </c>
      <c r="M1161" t="s">
        <v>28</v>
      </c>
      <c r="N1161" t="s">
        <v>2404</v>
      </c>
      <c r="O1161">
        <v>3</v>
      </c>
      <c r="P1161" s="2">
        <v>43802</v>
      </c>
      <c r="Q1161" s="1">
        <v>33</v>
      </c>
      <c r="R1161" t="s">
        <v>2336</v>
      </c>
      <c r="S1161">
        <v>1110147963</v>
      </c>
    </row>
    <row r="1162" spans="1:19" x14ac:dyDescent="0.2">
      <c r="A1162" t="str">
        <f t="shared" si="151"/>
        <v>Adult Nonfiction</v>
      </c>
      <c r="B1162" t="str">
        <f>"NEW 338.4 STE"</f>
        <v>NEW 338.4 STE</v>
      </c>
      <c r="C1162" t="str">
        <f>"One Day at Disney: meet the people who make the magic across the globe"</f>
        <v>One Day at Disney: meet the people who make the magic across the globe</v>
      </c>
      <c r="D1162">
        <v>359680</v>
      </c>
      <c r="E1162" t="str">
        <f>"Steele, Bruce."</f>
        <v>Steele, Bruce.</v>
      </c>
      <c r="G1162" t="str">
        <f>"224 p."</f>
        <v>224 p.</v>
      </c>
      <c r="H1162" s="1">
        <v>19</v>
      </c>
      <c r="I1162">
        <v>2019</v>
      </c>
      <c r="J1162" t="str">
        <f t="shared" si="152"/>
        <v>9: 300 - 399</v>
      </c>
      <c r="L1162" t="s">
        <v>2395</v>
      </c>
      <c r="M1162" t="s">
        <v>28</v>
      </c>
      <c r="N1162" t="s">
        <v>2396</v>
      </c>
      <c r="O1162">
        <v>0</v>
      </c>
      <c r="P1162" s="2">
        <v>43804</v>
      </c>
      <c r="Q1162" s="1">
        <v>55</v>
      </c>
      <c r="R1162" t="s">
        <v>2337</v>
      </c>
      <c r="S1162">
        <v>1114778195</v>
      </c>
    </row>
    <row r="1163" spans="1:19" x14ac:dyDescent="0.2">
      <c r="A1163" t="str">
        <f t="shared" si="151"/>
        <v>Adult Nonfiction</v>
      </c>
      <c r="B1163" t="str">
        <f>"NEW 338.4 THO"</f>
        <v>NEW 338.4 THO</v>
      </c>
      <c r="C1163" t="str">
        <f>"Fashionopolis: the price of fast fashion- and the future of clothes"</f>
        <v>Fashionopolis: the price of fast fashion- and the future of clothes</v>
      </c>
      <c r="D1163">
        <v>357892</v>
      </c>
      <c r="E1163" t="str">
        <f>"Thomas, Dana,"</f>
        <v>Thomas, Dana,</v>
      </c>
      <c r="G1163" t="str">
        <f>"306 pages, 25 cm, illustrations"</f>
        <v>306 pages, 25 cm, illustrations</v>
      </c>
      <c r="H1163" s="1">
        <v>19</v>
      </c>
      <c r="I1163">
        <v>2019</v>
      </c>
      <c r="J1163" t="str">
        <f t="shared" si="152"/>
        <v>9: 300 - 399</v>
      </c>
      <c r="L1163" t="s">
        <v>2403</v>
      </c>
      <c r="M1163" t="s">
        <v>28</v>
      </c>
      <c r="N1163" t="s">
        <v>2396</v>
      </c>
      <c r="O1163">
        <v>5</v>
      </c>
      <c r="P1163" s="2">
        <v>43733</v>
      </c>
      <c r="Q1163" s="1">
        <v>33</v>
      </c>
      <c r="R1163" t="s">
        <v>2338</v>
      </c>
      <c r="S1163">
        <v>1082437469</v>
      </c>
    </row>
    <row r="1164" spans="1:19" x14ac:dyDescent="0.2">
      <c r="A1164" t="str">
        <f t="shared" si="151"/>
        <v>Adult Nonfiction</v>
      </c>
      <c r="B1164" t="str">
        <f>"NEW 338.6 CUR"</f>
        <v>NEW 338.6 CUR</v>
      </c>
      <c r="C1164" t="str">
        <f>"Why Texas: how business discovered the Lone Star state"</f>
        <v>Why Texas: how business discovered the Lone Star state</v>
      </c>
      <c r="D1164">
        <v>359069</v>
      </c>
      <c r="E1164" t="str">
        <f>"Curtis, Ed,"</f>
        <v>Curtis, Ed,</v>
      </c>
      <c r="G1164" t="str">
        <f>"xv, 231 p., 24 cm"</f>
        <v>xv, 231 p., 24 cm</v>
      </c>
      <c r="H1164" s="1">
        <v>19</v>
      </c>
      <c r="I1164">
        <v>2019</v>
      </c>
      <c r="J1164" t="str">
        <f t="shared" si="152"/>
        <v>9: 300 - 399</v>
      </c>
      <c r="L1164" t="s">
        <v>2395</v>
      </c>
      <c r="M1164" t="s">
        <v>28</v>
      </c>
      <c r="N1164" t="s">
        <v>2404</v>
      </c>
      <c r="O1164">
        <v>2</v>
      </c>
      <c r="P1164" s="2">
        <v>43776</v>
      </c>
      <c r="Q1164" s="1">
        <v>30</v>
      </c>
      <c r="R1164" t="s">
        <v>2339</v>
      </c>
      <c r="S1164">
        <v>1114259274</v>
      </c>
    </row>
    <row r="1165" spans="1:19" x14ac:dyDescent="0.2">
      <c r="A1165" t="str">
        <f t="shared" si="151"/>
        <v>Adult Nonfiction</v>
      </c>
      <c r="B1165" t="str">
        <f>"NEW 338.7 NIE"</f>
        <v>NEW 338.7 NIE</v>
      </c>
      <c r="C1165" t="str">
        <f>"Ludicrous: the unvarnished story of Tesla Motors"</f>
        <v>Ludicrous: the unvarnished story of Tesla Motors</v>
      </c>
      <c r="D1165">
        <v>357339</v>
      </c>
      <c r="E1165" t="str">
        <f>"Niedermeyer, Edward"</f>
        <v>Niedermeyer, Edward</v>
      </c>
      <c r="G1165" t="str">
        <f>"234 p."</f>
        <v>234 p.</v>
      </c>
      <c r="H1165" s="1">
        <v>19</v>
      </c>
      <c r="I1165">
        <v>2019</v>
      </c>
      <c r="J1165" t="str">
        <f t="shared" si="152"/>
        <v>9: 300 - 399</v>
      </c>
      <c r="L1165" t="s">
        <v>2395</v>
      </c>
      <c r="M1165" t="s">
        <v>28</v>
      </c>
      <c r="N1165" t="s">
        <v>2404</v>
      </c>
      <c r="O1165">
        <v>4</v>
      </c>
      <c r="P1165" s="2">
        <v>43711</v>
      </c>
      <c r="Q1165" s="1">
        <v>33</v>
      </c>
      <c r="R1165" t="s">
        <v>2340</v>
      </c>
    </row>
    <row r="1166" spans="1:19" x14ac:dyDescent="0.2">
      <c r="A1166" t="str">
        <f t="shared" si="151"/>
        <v>Adult Nonfiction</v>
      </c>
      <c r="B1166" t="str">
        <f>"NEW 338.7 SEC"</f>
        <v>NEW 338.7 SEC</v>
      </c>
      <c r="C1166" t="str">
        <f>"The mysterious affair at Olivetti: IBM, the CIA, and the Cold War conspiracy to shut down production of the world's first desktop computer"</f>
        <v>The mysterious affair at Olivetti: IBM, the CIA, and the Cold War conspiracy to shut down production of the world's first desktop computer</v>
      </c>
      <c r="D1166">
        <v>360235</v>
      </c>
      <c r="E1166" t="str">
        <f>"Secrest, Meryle"</f>
        <v>Secrest, Meryle</v>
      </c>
      <c r="G1166" t="str">
        <f>"304 pages, 25 cm, illustrations"</f>
        <v>304 pages, 25 cm, illustrations</v>
      </c>
      <c r="H1166" s="1">
        <v>19</v>
      </c>
      <c r="I1166">
        <v>2019</v>
      </c>
      <c r="J1166" t="str">
        <f t="shared" si="152"/>
        <v>9: 300 - 399</v>
      </c>
      <c r="L1166" t="s">
        <v>2403</v>
      </c>
      <c r="M1166" t="s">
        <v>28</v>
      </c>
      <c r="N1166" t="s">
        <v>2396</v>
      </c>
      <c r="O1166">
        <v>0</v>
      </c>
      <c r="P1166" s="2">
        <v>43844</v>
      </c>
      <c r="Q1166" s="1">
        <v>35</v>
      </c>
      <c r="R1166" t="s">
        <v>2341</v>
      </c>
      <c r="S1166">
        <v>1085594159</v>
      </c>
    </row>
    <row r="1167" spans="1:19" x14ac:dyDescent="0.2">
      <c r="A1167" t="str">
        <f t="shared" ref="A1167:A1230" si="153">"Adult Nonfiction"</f>
        <v>Adult Nonfiction</v>
      </c>
      <c r="B1167" t="str">
        <f>"NEW 339 BAN"</f>
        <v>NEW 339 BAN</v>
      </c>
      <c r="C1167" t="str">
        <f>"Good economics for hard times"</f>
        <v>Good economics for hard times</v>
      </c>
      <c r="D1167">
        <v>360006</v>
      </c>
      <c r="E1167" t="str">
        <f>"Banerjee, Abhijit V.,"</f>
        <v>Banerjee, Abhijit V.,</v>
      </c>
      <c r="G1167" t="str">
        <f>"x, 403 p., 25 cm"</f>
        <v>x, 403 p., 25 cm</v>
      </c>
      <c r="H1167" s="1">
        <v>20</v>
      </c>
      <c r="I1167">
        <v>2019</v>
      </c>
      <c r="J1167" t="str">
        <f t="shared" si="152"/>
        <v>9: 300 - 399</v>
      </c>
      <c r="L1167" t="s">
        <v>2395</v>
      </c>
      <c r="M1167" t="s">
        <v>28</v>
      </c>
      <c r="N1167" t="s">
        <v>2396</v>
      </c>
      <c r="O1167">
        <v>0</v>
      </c>
      <c r="P1167" s="2">
        <v>43826</v>
      </c>
      <c r="Q1167" s="1">
        <v>35</v>
      </c>
      <c r="R1167" t="s">
        <v>2342</v>
      </c>
      <c r="S1167">
        <v>1126008074</v>
      </c>
    </row>
    <row r="1168" spans="1:19" x14ac:dyDescent="0.2">
      <c r="A1168" t="str">
        <f t="shared" si="153"/>
        <v>Adult Nonfiction</v>
      </c>
      <c r="B1168" t="str">
        <f>"NEW 341.2 OTO"</f>
        <v>NEW 341.2 OTO</v>
      </c>
      <c r="C1168" t="str">
        <f>"The politics of pain: postwar England and the rise of nationalism"</f>
        <v>The politics of pain: postwar England and the rise of nationalism</v>
      </c>
      <c r="D1168">
        <v>359569</v>
      </c>
      <c r="E1168" t="str">
        <f>"O'Toole, Fintan,"</f>
        <v>O'Toole, Fintan,</v>
      </c>
      <c r="G1168" t="str">
        <f>"pages cm"</f>
        <v>pages cm</v>
      </c>
      <c r="H1168" s="1">
        <v>19</v>
      </c>
      <c r="I1168">
        <v>2019</v>
      </c>
      <c r="J1168" t="str">
        <f t="shared" si="152"/>
        <v>9: 300 - 399</v>
      </c>
      <c r="L1168" t="s">
        <v>2395</v>
      </c>
      <c r="M1168" t="s">
        <v>28</v>
      </c>
      <c r="N1168" t="s">
        <v>2396</v>
      </c>
      <c r="O1168">
        <v>1</v>
      </c>
      <c r="P1168" s="2">
        <v>43802</v>
      </c>
      <c r="Q1168" s="1">
        <v>33</v>
      </c>
      <c r="R1168" t="s">
        <v>2343</v>
      </c>
      <c r="S1168">
        <v>1089013442</v>
      </c>
    </row>
    <row r="1169" spans="1:19" x14ac:dyDescent="0.2">
      <c r="A1169" t="str">
        <f t="shared" si="153"/>
        <v>Adult Nonfiction</v>
      </c>
      <c r="B1169" t="str">
        <f>"NEW 342.73 FON"</f>
        <v>NEW 342.73 FON</v>
      </c>
      <c r="C1169" t="str">
        <f>"The second founding: how the Civil War and Reconstruction remade the constitution"</f>
        <v>The second founding: how the Civil War and Reconstruction remade the constitution</v>
      </c>
      <c r="D1169">
        <v>357672</v>
      </c>
      <c r="E1169" t="str">
        <f>"Foner, Eric"</f>
        <v>Foner, Eric</v>
      </c>
      <c r="G1169" t="str">
        <f>"pages cm"</f>
        <v>pages cm</v>
      </c>
      <c r="H1169" s="1">
        <v>19</v>
      </c>
      <c r="I1169">
        <v>2019</v>
      </c>
      <c r="J1169" t="str">
        <f t="shared" si="152"/>
        <v>9: 300 - 399</v>
      </c>
      <c r="L1169" t="s">
        <v>2395</v>
      </c>
      <c r="M1169" t="s">
        <v>28</v>
      </c>
      <c r="N1169" t="s">
        <v>2404</v>
      </c>
      <c r="O1169">
        <v>4</v>
      </c>
      <c r="P1169" s="2">
        <v>43725</v>
      </c>
      <c r="Q1169" s="1">
        <v>32</v>
      </c>
      <c r="R1169" t="s">
        <v>2344</v>
      </c>
      <c r="S1169">
        <v>1084430574</v>
      </c>
    </row>
    <row r="1170" spans="1:19" x14ac:dyDescent="0.2">
      <c r="A1170" t="str">
        <f t="shared" si="153"/>
        <v>Adult Nonfiction</v>
      </c>
      <c r="B1170" t="str">
        <f>"NEW 347.73 DWY"</f>
        <v>NEW 347.73 DWY</v>
      </c>
      <c r="C1170" t="str">
        <f>"The districts: justice and power in New York City"</f>
        <v>The districts: justice and power in New York City</v>
      </c>
      <c r="D1170">
        <v>358531</v>
      </c>
      <c r="E1170" t="str">
        <f>"Dwyer, Johnny."</f>
        <v>Dwyer, Johnny.</v>
      </c>
      <c r="G1170" t="str">
        <f>"315 p."</f>
        <v>315 p.</v>
      </c>
      <c r="H1170" s="1">
        <v>19</v>
      </c>
      <c r="I1170">
        <v>2019</v>
      </c>
      <c r="J1170" t="str">
        <f t="shared" si="152"/>
        <v>9: 300 - 399</v>
      </c>
      <c r="L1170" t="s">
        <v>2395</v>
      </c>
      <c r="M1170" t="s">
        <v>28</v>
      </c>
      <c r="N1170" t="s">
        <v>2404</v>
      </c>
      <c r="O1170">
        <v>2</v>
      </c>
      <c r="P1170" s="2">
        <v>43756</v>
      </c>
      <c r="Q1170" s="1">
        <v>34</v>
      </c>
      <c r="R1170" t="s">
        <v>2345</v>
      </c>
      <c r="S1170">
        <v>1123172437</v>
      </c>
    </row>
    <row r="1171" spans="1:19" x14ac:dyDescent="0.2">
      <c r="A1171" t="str">
        <f t="shared" si="153"/>
        <v>Adult Nonfiction</v>
      </c>
      <c r="B1171" t="str">
        <f>"NEW 347.73 HEM"</f>
        <v>NEW 347.73 HEM</v>
      </c>
      <c r="C1171" t="str">
        <f>"Justice on trial: the Kavanaugh confirmation and the future of the Supreme Court"</f>
        <v>Justice on trial: the Kavanaugh confirmation and the future of the Supreme Court</v>
      </c>
      <c r="D1171">
        <v>356389</v>
      </c>
      <c r="E1171" t="str">
        <f>"Hemingway, Mollie Ziegler"</f>
        <v>Hemingway, Mollie Ziegler</v>
      </c>
      <c r="G1171" t="str">
        <f>"375 pages, 16 unnumbered pages of plates, 24 cm, illustrations (chiefly color)"</f>
        <v>375 pages, 16 unnumbered pages of plates, 24 cm, illustrations (chiefly color)</v>
      </c>
      <c r="H1171" s="1">
        <v>19</v>
      </c>
      <c r="I1171">
        <v>2019</v>
      </c>
      <c r="J1171" t="str">
        <f t="shared" si="152"/>
        <v>9: 300 - 399</v>
      </c>
      <c r="L1171" t="s">
        <v>2395</v>
      </c>
      <c r="M1171" t="s">
        <v>28</v>
      </c>
      <c r="N1171" t="s">
        <v>2404</v>
      </c>
      <c r="O1171">
        <v>7</v>
      </c>
      <c r="P1171" s="2">
        <v>43671</v>
      </c>
      <c r="Q1171" s="1">
        <v>34</v>
      </c>
      <c r="R1171" t="s">
        <v>2346</v>
      </c>
      <c r="S1171">
        <v>1106557219</v>
      </c>
    </row>
    <row r="1172" spans="1:19" x14ac:dyDescent="0.2">
      <c r="A1172" t="str">
        <f t="shared" si="153"/>
        <v>Adult Nonfiction</v>
      </c>
      <c r="B1172" t="str">
        <f>"NEW 347.73 HUL"</f>
        <v>NEW 347.73 HUL</v>
      </c>
      <c r="C1172" t="str">
        <f>"Confirmation bias: inside Washington's war over the Supreme Court, from Scalia's death to Justice Kavanaugh"</f>
        <v>Confirmation bias: inside Washington's war over the Supreme Court, from Scalia's death to Justice Kavanaugh</v>
      </c>
      <c r="D1172">
        <v>357500</v>
      </c>
      <c r="E1172" t="str">
        <f>"Hulse, Carl,"</f>
        <v>Hulse, Carl,</v>
      </c>
      <c r="G1172" t="str">
        <f>"viii, 310 p., 24 cm, color illustrations"</f>
        <v>viii, 310 p., 24 cm, color illustrations</v>
      </c>
      <c r="H1172" s="1">
        <v>19</v>
      </c>
      <c r="I1172">
        <v>2019</v>
      </c>
      <c r="J1172" t="str">
        <f t="shared" si="152"/>
        <v>9: 300 - 399</v>
      </c>
      <c r="L1172" t="s">
        <v>2403</v>
      </c>
      <c r="M1172" t="s">
        <v>28</v>
      </c>
      <c r="N1172" t="s">
        <v>2404</v>
      </c>
      <c r="O1172">
        <v>3</v>
      </c>
      <c r="P1172" s="2">
        <v>43719</v>
      </c>
      <c r="Q1172" s="1">
        <v>34</v>
      </c>
      <c r="R1172" t="s">
        <v>2347</v>
      </c>
      <c r="S1172">
        <v>1104816461</v>
      </c>
    </row>
    <row r="1173" spans="1:19" x14ac:dyDescent="0.2">
      <c r="A1173" t="str">
        <f t="shared" si="153"/>
        <v>Adult Nonfiction</v>
      </c>
      <c r="B1173" t="str">
        <f>"NEW 347.73 MAR"</f>
        <v>NEW 347.73 MAR</v>
      </c>
      <c r="C1173" t="str">
        <f>"Supreme ambition: Brett Kavanaugh and the conservative takeover"</f>
        <v>Supreme ambition: Brett Kavanaugh and the conservative takeover</v>
      </c>
      <c r="D1173">
        <v>359884</v>
      </c>
      <c r="E1173" t="str">
        <f>"Marcus, Ruth"</f>
        <v>Marcus, Ruth</v>
      </c>
      <c r="G1173" t="str">
        <f>"viii, 482 pages, 24 cm"</f>
        <v>viii, 482 pages, 24 cm</v>
      </c>
      <c r="H1173" s="1">
        <v>19</v>
      </c>
      <c r="I1173">
        <v>2019</v>
      </c>
      <c r="J1173" t="str">
        <f t="shared" si="152"/>
        <v>9: 300 - 399</v>
      </c>
      <c r="L1173" t="s">
        <v>2403</v>
      </c>
      <c r="M1173" t="s">
        <v>28</v>
      </c>
      <c r="N1173" t="s">
        <v>2396</v>
      </c>
      <c r="O1173">
        <v>1</v>
      </c>
      <c r="P1173" s="2">
        <v>43815</v>
      </c>
      <c r="Q1173" s="1">
        <v>33</v>
      </c>
      <c r="R1173" t="s">
        <v>2348</v>
      </c>
      <c r="S1173">
        <v>1124477407</v>
      </c>
    </row>
    <row r="1174" spans="1:19" x14ac:dyDescent="0.2">
      <c r="A1174" t="str">
        <f t="shared" si="153"/>
        <v>Adult Nonfiction</v>
      </c>
      <c r="B1174" t="str">
        <f>"NEW 355.3 STE"</f>
        <v>NEW 355.3 STE</v>
      </c>
      <c r="C1174" t="str">
        <f>"Information wars: how we lost the global battle against disinformation &amp; what we can do about it"</f>
        <v>Information wars: how we lost the global battle against disinformation &amp; what we can do about it</v>
      </c>
      <c r="D1174">
        <v>359866</v>
      </c>
      <c r="E1174" t="str">
        <f>"Stengel, Richard"</f>
        <v>Stengel, Richard</v>
      </c>
      <c r="G1174" t="str">
        <f>"357 pages, 24 cm"</f>
        <v>357 pages, 24 cm</v>
      </c>
      <c r="H1174" s="1">
        <v>19</v>
      </c>
      <c r="I1174">
        <v>2019</v>
      </c>
      <c r="J1174" t="str">
        <f t="shared" si="152"/>
        <v>9: 300 - 399</v>
      </c>
      <c r="L1174" t="s">
        <v>2395</v>
      </c>
      <c r="M1174" t="s">
        <v>28</v>
      </c>
      <c r="N1174" t="s">
        <v>2396</v>
      </c>
      <c r="O1174">
        <v>0</v>
      </c>
      <c r="P1174" s="2">
        <v>43815</v>
      </c>
      <c r="Q1174" s="1">
        <v>33</v>
      </c>
      <c r="R1174" t="s">
        <v>2349</v>
      </c>
      <c r="S1174">
        <v>1114281966</v>
      </c>
    </row>
    <row r="1175" spans="1:19" x14ac:dyDescent="0.2">
      <c r="A1175" t="str">
        <f t="shared" si="153"/>
        <v>Adult Nonfiction</v>
      </c>
      <c r="B1175" t="str">
        <f>"NEW 362.1 GAL"</f>
        <v>NEW 362.1 GAL</v>
      </c>
      <c r="C1175" t="str">
        <f>"Well: what we need to talk about when we talk about health"</f>
        <v>Well: what we need to talk about when we talk about health</v>
      </c>
      <c r="D1175">
        <v>355595</v>
      </c>
      <c r="E1175" t="str">
        <f>"Galea, Sandro"</f>
        <v>Galea, Sandro</v>
      </c>
      <c r="G1175" t="str">
        <f>"210 p."</f>
        <v>210 p.</v>
      </c>
      <c r="H1175" s="1">
        <v>19</v>
      </c>
      <c r="I1175">
        <v>2019</v>
      </c>
      <c r="J1175" t="str">
        <f t="shared" si="152"/>
        <v>9: 300 - 399</v>
      </c>
      <c r="L1175" t="s">
        <v>2403</v>
      </c>
      <c r="M1175" t="s">
        <v>28</v>
      </c>
      <c r="N1175" t="s">
        <v>2401</v>
      </c>
      <c r="O1175">
        <v>5</v>
      </c>
      <c r="P1175" s="2">
        <v>43633</v>
      </c>
      <c r="Q1175" s="1">
        <v>30</v>
      </c>
      <c r="R1175" t="s">
        <v>2350</v>
      </c>
    </row>
    <row r="1176" spans="1:19" x14ac:dyDescent="0.2">
      <c r="A1176" t="str">
        <f t="shared" si="153"/>
        <v>Adult Nonfiction</v>
      </c>
      <c r="B1176" t="str">
        <f>"NEW 362.1 GAR"</f>
        <v>NEW 362.1 GAR</v>
      </c>
      <c r="C1176" t="str">
        <f>"Exposing the medical myths: why everything you know about health care is wrong and how we can make it right"</f>
        <v>Exposing the medical myths: why everything you know about health care is wrong and how we can make it right</v>
      </c>
      <c r="D1176">
        <v>359073</v>
      </c>
      <c r="E1176" t="str">
        <f>"Garson, Arthur"</f>
        <v>Garson, Arthur</v>
      </c>
      <c r="G1176" t="str">
        <f>"p., cm"</f>
        <v>p., cm</v>
      </c>
      <c r="H1176" s="1">
        <v>19</v>
      </c>
      <c r="I1176">
        <v>2019</v>
      </c>
      <c r="J1176" t="str">
        <f t="shared" si="152"/>
        <v>9: 300 - 399</v>
      </c>
      <c r="L1176" t="s">
        <v>2395</v>
      </c>
      <c r="M1176" t="s">
        <v>28</v>
      </c>
      <c r="N1176" t="s">
        <v>2404</v>
      </c>
      <c r="O1176">
        <v>3</v>
      </c>
      <c r="P1176" s="2">
        <v>43776</v>
      </c>
      <c r="Q1176" s="1">
        <v>37</v>
      </c>
      <c r="R1176" t="s">
        <v>2351</v>
      </c>
      <c r="S1176">
        <v>1126546348</v>
      </c>
    </row>
    <row r="1177" spans="1:19" x14ac:dyDescent="0.2">
      <c r="A1177" t="str">
        <f t="shared" si="153"/>
        <v>Adult Nonfiction</v>
      </c>
      <c r="B1177" t="str">
        <f>"NEW 362.1 MAK"</f>
        <v>NEW 362.1 MAK</v>
      </c>
      <c r="C1177" t="str">
        <f>"The price we pay: what broke American health care--and how to fix it"</f>
        <v>The price we pay: what broke American health care--and how to fix it</v>
      </c>
      <c r="D1177">
        <v>358129</v>
      </c>
      <c r="E1177" t="str">
        <f>"Makary, Marty"</f>
        <v>Makary, Marty</v>
      </c>
      <c r="G1177" t="str">
        <f>"xii, 267 pages, 25 cm, illustrations, map"</f>
        <v>xii, 267 pages, 25 cm, illustrations, map</v>
      </c>
      <c r="H1177" s="1">
        <v>19</v>
      </c>
      <c r="I1177">
        <v>2019</v>
      </c>
      <c r="J1177" t="str">
        <f t="shared" si="152"/>
        <v>9: 300 - 399</v>
      </c>
      <c r="L1177" t="s">
        <v>2403</v>
      </c>
      <c r="M1177" t="s">
        <v>28</v>
      </c>
      <c r="N1177" t="s">
        <v>2404</v>
      </c>
      <c r="O1177">
        <v>5</v>
      </c>
      <c r="P1177" s="2">
        <v>43740</v>
      </c>
      <c r="Q1177" s="1">
        <v>33</v>
      </c>
      <c r="R1177" t="s">
        <v>2352</v>
      </c>
      <c r="S1177">
        <v>1117277625</v>
      </c>
    </row>
    <row r="1178" spans="1:19" x14ac:dyDescent="0.2">
      <c r="A1178" t="str">
        <f t="shared" si="153"/>
        <v>Adult Nonfiction</v>
      </c>
      <c r="B1178" t="str">
        <f>"NEW 362.1 SHU"</f>
        <v>NEW 362.1 SHU</v>
      </c>
      <c r="C1178" t="str">
        <f>"It shouldn't be this hard to serve your country: our broken government and the plight of veterans"</f>
        <v>It shouldn't be this hard to serve your country: our broken government and the plight of veterans</v>
      </c>
      <c r="D1178">
        <v>358881</v>
      </c>
      <c r="E1178" t="str">
        <f>"Shulkin, David J."</f>
        <v>Shulkin, David J.</v>
      </c>
      <c r="G1178" t="str">
        <f>"viii, 360 pages, 8 pages of unnumbered plates, 25 cm, illustrations (chiefly color)"</f>
        <v>viii, 360 pages, 8 pages of unnumbered plates, 25 cm, illustrations (chiefly color)</v>
      </c>
      <c r="H1178" s="1">
        <v>19</v>
      </c>
      <c r="I1178">
        <v>2019</v>
      </c>
      <c r="J1178" t="str">
        <f t="shared" si="152"/>
        <v>9: 300 - 399</v>
      </c>
      <c r="L1178" t="s">
        <v>2403</v>
      </c>
      <c r="M1178" t="s">
        <v>28</v>
      </c>
      <c r="N1178" t="s">
        <v>2396</v>
      </c>
      <c r="O1178">
        <v>0</v>
      </c>
      <c r="P1178" s="2">
        <v>43769</v>
      </c>
      <c r="Q1178" s="1">
        <v>34</v>
      </c>
      <c r="R1178" t="s">
        <v>2353</v>
      </c>
      <c r="S1178">
        <v>1122792631</v>
      </c>
    </row>
    <row r="1179" spans="1:19" x14ac:dyDescent="0.2">
      <c r="A1179" t="str">
        <f t="shared" si="153"/>
        <v>Adult Nonfiction</v>
      </c>
      <c r="B1179" t="str">
        <f>"NEW 362.73 CHR"</f>
        <v>NEW 362.73 CHR</v>
      </c>
      <c r="C1179" t="str">
        <f>"Before and after: the incredible real-life stories of orphans who survived the Tennessee Children's Home Society"</f>
        <v>Before and after: the incredible real-life stories of orphans who survived the Tennessee Children's Home Society</v>
      </c>
      <c r="D1179">
        <v>360589</v>
      </c>
      <c r="E1179" t="str">
        <f>"Christie, Judy Pace,"</f>
        <v>Christie, Judy Pace,</v>
      </c>
      <c r="G1179" t="str">
        <f>"xiv, 292 pages, 22 cm, illustrations"</f>
        <v>xiv, 292 pages, 22 cm, illustrations</v>
      </c>
      <c r="H1179" s="1">
        <v>20</v>
      </c>
      <c r="I1179">
        <v>2019</v>
      </c>
      <c r="J1179" t="str">
        <f t="shared" si="152"/>
        <v>9: 300 - 399</v>
      </c>
      <c r="L1179" t="s">
        <v>2395</v>
      </c>
      <c r="M1179" t="s">
        <v>28</v>
      </c>
      <c r="N1179" t="s">
        <v>2495</v>
      </c>
      <c r="O1179">
        <v>0</v>
      </c>
      <c r="P1179" s="2">
        <v>43859</v>
      </c>
      <c r="Q1179" s="1">
        <v>31</v>
      </c>
      <c r="R1179" t="s">
        <v>3106</v>
      </c>
      <c r="S1179">
        <v>1110886872</v>
      </c>
    </row>
    <row r="1180" spans="1:19" x14ac:dyDescent="0.2">
      <c r="A1180" t="str">
        <f t="shared" si="153"/>
        <v>Adult Nonfiction</v>
      </c>
      <c r="B1180" t="str">
        <f>"NEW 363.25 GER"</f>
        <v>NEW 363.25 GER</v>
      </c>
      <c r="C1180" t="str">
        <f>"Disrupt, discredit, and divide: how the new FBI damages our democracy"</f>
        <v>Disrupt, discredit, and divide: how the new FBI damages our democracy</v>
      </c>
      <c r="D1180">
        <v>358305</v>
      </c>
      <c r="E1180" t="str">
        <f>"German, Mike,"</f>
        <v>German, Mike,</v>
      </c>
      <c r="G1180" t="str">
        <f>"339 pages, 24 cm"</f>
        <v>339 pages, 24 cm</v>
      </c>
      <c r="H1180" s="1">
        <v>19</v>
      </c>
      <c r="I1180">
        <v>2019</v>
      </c>
      <c r="J1180" t="str">
        <f t="shared" si="152"/>
        <v>9: 300 - 399</v>
      </c>
      <c r="L1180" t="s">
        <v>2395</v>
      </c>
      <c r="M1180" t="s">
        <v>28</v>
      </c>
      <c r="N1180" t="s">
        <v>2396</v>
      </c>
      <c r="O1180">
        <v>2</v>
      </c>
      <c r="P1180" s="2">
        <v>43749</v>
      </c>
      <c r="Q1180" s="1">
        <v>33</v>
      </c>
      <c r="R1180" t="s">
        <v>2354</v>
      </c>
      <c r="S1180">
        <v>1078552115</v>
      </c>
    </row>
    <row r="1181" spans="1:19" x14ac:dyDescent="0.2">
      <c r="A1181" t="str">
        <f t="shared" si="153"/>
        <v>Adult Nonfiction</v>
      </c>
      <c r="B1181" t="str">
        <f>"NEW 363.25 JEN"</f>
        <v>NEW 363.25 JEN</v>
      </c>
      <c r="C1181" t="str">
        <f>"Chase darkness with me: how one true-crime writer started solving murders"</f>
        <v>Chase darkness with me: how one true-crime writer started solving murders</v>
      </c>
      <c r="D1181">
        <v>357498</v>
      </c>
      <c r="E1181" t="str">
        <f>"Jensen, Billy"</f>
        <v>Jensen, Billy</v>
      </c>
      <c r="G1181" t="str">
        <f>"ix, 316 pages, 24 cm"</f>
        <v>ix, 316 pages, 24 cm</v>
      </c>
      <c r="H1181" s="1">
        <v>19</v>
      </c>
      <c r="I1181">
        <v>2019</v>
      </c>
      <c r="J1181" t="str">
        <f t="shared" si="152"/>
        <v>9: 300 - 399</v>
      </c>
      <c r="L1181" t="s">
        <v>2395</v>
      </c>
      <c r="M1181" t="s">
        <v>28</v>
      </c>
      <c r="N1181" t="s">
        <v>2396</v>
      </c>
      <c r="O1181">
        <v>5</v>
      </c>
      <c r="P1181" s="2">
        <v>43719</v>
      </c>
      <c r="Q1181" s="1">
        <v>31</v>
      </c>
      <c r="R1181" t="s">
        <v>2355</v>
      </c>
      <c r="S1181">
        <v>1055684741</v>
      </c>
    </row>
    <row r="1182" spans="1:19" x14ac:dyDescent="0.2">
      <c r="A1182" t="str">
        <f t="shared" si="153"/>
        <v>Adult Nonfiction</v>
      </c>
      <c r="B1182" t="str">
        <f>"NEW 363.25 STE"</f>
        <v>NEW 363.25 STE</v>
      </c>
      <c r="C1182" t="str">
        <f>"Deep state: Trump, the FBI, and the rule of law"</f>
        <v>Deep state: Trump, the FBI, and the rule of law</v>
      </c>
      <c r="D1182">
        <v>358864</v>
      </c>
      <c r="E1182" t="str">
        <f>"Stewart, James B"</f>
        <v>Stewart, James B</v>
      </c>
      <c r="G1182" t="str">
        <f>"372 pages, 24 cm"</f>
        <v>372 pages, 24 cm</v>
      </c>
      <c r="H1182" s="1">
        <v>19</v>
      </c>
      <c r="I1182">
        <v>2019</v>
      </c>
      <c r="J1182" t="str">
        <f t="shared" si="152"/>
        <v>9: 300 - 399</v>
      </c>
      <c r="L1182" t="s">
        <v>2395</v>
      </c>
      <c r="M1182" t="s">
        <v>28</v>
      </c>
      <c r="N1182" t="s">
        <v>2396</v>
      </c>
      <c r="O1182">
        <v>3</v>
      </c>
      <c r="P1182" s="2">
        <v>43769</v>
      </c>
      <c r="Q1182" s="1">
        <v>35</v>
      </c>
      <c r="R1182" t="s">
        <v>2356</v>
      </c>
      <c r="S1182">
        <v>1100627293</v>
      </c>
    </row>
    <row r="1183" spans="1:19" x14ac:dyDescent="0.2">
      <c r="A1183" t="str">
        <f t="shared" si="153"/>
        <v>Adult Nonfiction</v>
      </c>
      <c r="B1183" t="str">
        <f>"NEW 363.3 MCC"</f>
        <v>NEW 363.3 MCC</v>
      </c>
      <c r="C1183" t="str">
        <f>"Enough is enough: how students can join the fight for gun safety"</f>
        <v>Enough is enough: how students can join the fight for gun safety</v>
      </c>
      <c r="D1183">
        <v>358465</v>
      </c>
      <c r="E1183" t="str">
        <f>"McCann, Michelle Roehm,"</f>
        <v>McCann, Michelle Roehm,</v>
      </c>
      <c r="G1183" t="str">
        <f>"270 p."</f>
        <v>270 p.</v>
      </c>
      <c r="H1183" s="1">
        <v>19</v>
      </c>
      <c r="I1183">
        <v>2019</v>
      </c>
      <c r="J1183" t="str">
        <f t="shared" si="152"/>
        <v>9: 300 - 399</v>
      </c>
      <c r="L1183" t="s">
        <v>2395</v>
      </c>
      <c r="M1183" t="s">
        <v>28</v>
      </c>
      <c r="N1183" t="s">
        <v>2396</v>
      </c>
      <c r="O1183">
        <v>0</v>
      </c>
      <c r="P1183" s="2">
        <v>43753</v>
      </c>
      <c r="Q1183" s="1">
        <v>18</v>
      </c>
      <c r="R1183" t="s">
        <v>2357</v>
      </c>
      <c r="S1183">
        <v>1089842163</v>
      </c>
    </row>
    <row r="1184" spans="1:19" x14ac:dyDescent="0.2">
      <c r="A1184" t="str">
        <f t="shared" si="153"/>
        <v>Adult Nonfiction</v>
      </c>
      <c r="B1184" t="str">
        <f>"NEW 363.34 GAU"</f>
        <v>NEW 363.34 GAU</v>
      </c>
      <c r="C1184" t="str">
        <f>"The geography of risk: epic storms, rising seas, and the costs of America's coasts"</f>
        <v>The geography of risk: epic storms, rising seas, and the costs of America's coasts</v>
      </c>
      <c r="D1184">
        <v>359021</v>
      </c>
      <c r="E1184" t="str">
        <f>"Gaul, Gilbert M,"</f>
        <v>Gaul, Gilbert M,</v>
      </c>
      <c r="G1184" t="str">
        <f>"286 pages, 24 cm, illustrations"</f>
        <v>286 pages, 24 cm, illustrations</v>
      </c>
      <c r="H1184" s="1">
        <v>19</v>
      </c>
      <c r="I1184">
        <v>2019</v>
      </c>
      <c r="J1184" t="str">
        <f t="shared" si="152"/>
        <v>9: 300 - 399</v>
      </c>
      <c r="L1184" t="s">
        <v>2403</v>
      </c>
      <c r="M1184" t="s">
        <v>28</v>
      </c>
      <c r="N1184" t="s">
        <v>2396</v>
      </c>
      <c r="O1184">
        <v>5</v>
      </c>
      <c r="P1184" s="2">
        <v>43776</v>
      </c>
      <c r="Q1184" s="1">
        <v>33</v>
      </c>
      <c r="R1184" t="s">
        <v>2358</v>
      </c>
      <c r="S1184">
        <v>1082542432</v>
      </c>
    </row>
    <row r="1185" spans="1:19" x14ac:dyDescent="0.2">
      <c r="A1185" t="str">
        <f t="shared" si="153"/>
        <v>Adult Nonfiction</v>
      </c>
      <c r="B1185" t="str">
        <f>"NEW 363.46 MAR"</f>
        <v>NEW 363.46 MAR</v>
      </c>
      <c r="C1185" t="str">
        <f>"Handbook for a post-Roe America"</f>
        <v>Handbook for a post-Roe America</v>
      </c>
      <c r="D1185">
        <v>358539</v>
      </c>
      <c r="E1185" t="str">
        <f>"Marty, Robin"</f>
        <v>Marty, Robin</v>
      </c>
      <c r="G1185" t="str">
        <f>"ix, 310 pages, 21 cm, illustrations"</f>
        <v>ix, 310 pages, 21 cm, illustrations</v>
      </c>
      <c r="H1185" s="1">
        <v>19</v>
      </c>
      <c r="I1185">
        <v>2019</v>
      </c>
      <c r="J1185" t="str">
        <f t="shared" si="152"/>
        <v>9: 300 - 399</v>
      </c>
      <c r="L1185" t="s">
        <v>2395</v>
      </c>
      <c r="M1185" t="s">
        <v>28</v>
      </c>
      <c r="N1185" t="s">
        <v>2404</v>
      </c>
      <c r="O1185">
        <v>1</v>
      </c>
      <c r="P1185" s="2">
        <v>43756</v>
      </c>
      <c r="Q1185" s="1">
        <v>20</v>
      </c>
      <c r="R1185" t="s">
        <v>2359</v>
      </c>
      <c r="S1185">
        <v>1057298819</v>
      </c>
    </row>
    <row r="1186" spans="1:19" x14ac:dyDescent="0.2">
      <c r="A1186" t="str">
        <f t="shared" si="153"/>
        <v>Adult Nonfiction</v>
      </c>
      <c r="B1186" t="str">
        <f>"NEW 364 CRU"</f>
        <v>NEW 364 CRU</v>
      </c>
      <c r="C1186" t="str">
        <f>"Open season: legalized genocide of colored people"</f>
        <v>Open season: legalized genocide of colored people</v>
      </c>
      <c r="D1186">
        <v>358550</v>
      </c>
      <c r="E1186" t="str">
        <f>"Crump, Ben."</f>
        <v>Crump, Ben.</v>
      </c>
      <c r="G1186" t="str">
        <f>"272 p."</f>
        <v>272 p.</v>
      </c>
      <c r="H1186" s="1">
        <v>19</v>
      </c>
      <c r="I1186">
        <v>2019</v>
      </c>
      <c r="J1186" t="str">
        <f t="shared" si="152"/>
        <v>9: 300 - 399</v>
      </c>
      <c r="L1186" t="s">
        <v>2403</v>
      </c>
      <c r="M1186" t="s">
        <v>28</v>
      </c>
      <c r="N1186" t="s">
        <v>2396</v>
      </c>
      <c r="O1186">
        <v>0</v>
      </c>
      <c r="P1186" s="2">
        <v>43756</v>
      </c>
      <c r="Q1186" s="1">
        <v>32</v>
      </c>
      <c r="R1186" t="s">
        <v>2360</v>
      </c>
      <c r="S1186">
        <v>1064557121</v>
      </c>
    </row>
    <row r="1187" spans="1:19" x14ac:dyDescent="0.2">
      <c r="A1187" t="str">
        <f t="shared" si="153"/>
        <v>Adult Nonfiction</v>
      </c>
      <c r="B1187" t="str">
        <f>"NEW 364.1 GOL"</f>
        <v>NEW 364.1 GOL</v>
      </c>
      <c r="C1187" t="str">
        <f>"In Hoffa's shadow: a stepfather, a disappearance in Detroit, and my search for the truth"</f>
        <v>In Hoffa's shadow: a stepfather, a disappearance in Detroit, and my search for the truth</v>
      </c>
      <c r="D1187">
        <v>359898</v>
      </c>
      <c r="E1187" t="str">
        <f>"Goldsmith, Jack L"</f>
        <v>Goldsmith, Jack L</v>
      </c>
      <c r="G1187" t="str">
        <f>"354 pages, 8 unnumbered pages of plates, 24 cm, illustrations, map"</f>
        <v>354 pages, 8 unnumbered pages of plates, 24 cm, illustrations, map</v>
      </c>
      <c r="H1187" s="1">
        <v>19</v>
      </c>
      <c r="I1187">
        <v>2019</v>
      </c>
      <c r="J1187" t="str">
        <f t="shared" si="152"/>
        <v>9: 300 - 399</v>
      </c>
      <c r="L1187" t="s">
        <v>2395</v>
      </c>
      <c r="M1187" t="s">
        <v>28</v>
      </c>
      <c r="N1187" t="s">
        <v>2404</v>
      </c>
      <c r="O1187">
        <v>2</v>
      </c>
      <c r="P1187" s="2">
        <v>43815</v>
      </c>
      <c r="Q1187" s="1">
        <v>33</v>
      </c>
      <c r="R1187" t="s">
        <v>2361</v>
      </c>
      <c r="S1187">
        <v>1119735167</v>
      </c>
    </row>
    <row r="1188" spans="1:19" x14ac:dyDescent="0.2">
      <c r="A1188" t="str">
        <f t="shared" si="153"/>
        <v>Adult Nonfiction</v>
      </c>
      <c r="B1188" t="str">
        <f>"NEW 364.15 FAR"</f>
        <v>NEW 364.15 FAR</v>
      </c>
      <c r="C1188" t="str">
        <f>"Catch and kill: lies, spies, and a conspiracy to protect predators"</f>
        <v>Catch and kill: lies, spies, and a conspiracy to protect predators</v>
      </c>
      <c r="D1188">
        <v>358680</v>
      </c>
      <c r="E1188" t="str">
        <f>"Farrow, Ronan,"</f>
        <v>Farrow, Ronan,</v>
      </c>
      <c r="G1188" t="str">
        <f>"xvi, 448 pages, 25 cm"</f>
        <v>xvi, 448 pages, 25 cm</v>
      </c>
      <c r="H1188" s="1">
        <v>19</v>
      </c>
      <c r="I1188">
        <v>2019</v>
      </c>
      <c r="J1188" t="str">
        <f t="shared" si="152"/>
        <v>9: 300 - 399</v>
      </c>
      <c r="L1188" t="s">
        <v>2395</v>
      </c>
      <c r="M1188" t="s">
        <v>28</v>
      </c>
      <c r="N1188" t="s">
        <v>2404</v>
      </c>
      <c r="O1188">
        <v>6</v>
      </c>
      <c r="P1188" s="2">
        <v>43762</v>
      </c>
      <c r="Q1188" s="1">
        <v>35</v>
      </c>
      <c r="R1188" t="s">
        <v>2362</v>
      </c>
      <c r="S1188">
        <v>1115001328</v>
      </c>
    </row>
    <row r="1189" spans="1:19" x14ac:dyDescent="0.2">
      <c r="A1189" t="str">
        <f t="shared" si="153"/>
        <v>Adult Nonfiction</v>
      </c>
      <c r="B1189" t="str">
        <f>"NEW 364.15 FAR"</f>
        <v>NEW 364.15 FAR</v>
      </c>
      <c r="C1189" t="str">
        <f>"Catch and kill: lies, spies, and a conspiracy to protect predators"</f>
        <v>Catch and kill: lies, spies, and a conspiracy to protect predators</v>
      </c>
      <c r="D1189">
        <v>359547</v>
      </c>
      <c r="E1189" t="str">
        <f>"Farrow, Ronan,"</f>
        <v>Farrow, Ronan,</v>
      </c>
      <c r="G1189" t="str">
        <f>"xvi, 448 pages, 25 cm"</f>
        <v>xvi, 448 pages, 25 cm</v>
      </c>
      <c r="H1189" s="1">
        <v>19</v>
      </c>
      <c r="I1189">
        <v>2019</v>
      </c>
      <c r="J1189" t="str">
        <f t="shared" si="152"/>
        <v>9: 300 - 399</v>
      </c>
      <c r="L1189" t="s">
        <v>2395</v>
      </c>
      <c r="M1189" t="s">
        <v>28</v>
      </c>
      <c r="N1189" t="s">
        <v>2404</v>
      </c>
      <c r="O1189">
        <v>5</v>
      </c>
      <c r="P1189" s="2">
        <v>43802</v>
      </c>
      <c r="Q1189" s="1">
        <v>35</v>
      </c>
      <c r="R1189" t="s">
        <v>2362</v>
      </c>
      <c r="S1189">
        <v>1115001328</v>
      </c>
    </row>
    <row r="1190" spans="1:19" x14ac:dyDescent="0.2">
      <c r="A1190" t="str">
        <f t="shared" si="153"/>
        <v>Adult Nonfiction</v>
      </c>
      <c r="B1190" t="str">
        <f>"NEW 364.15 FRA"</f>
        <v>NEW 364.15 FRA</v>
      </c>
      <c r="C1190" t="str">
        <f>"Alice &amp; Gerald: a homicidal love story"</f>
        <v>Alice &amp; Gerald: a homicidal love story</v>
      </c>
      <c r="D1190">
        <v>360145</v>
      </c>
      <c r="E1190" t="str">
        <f>"Franscell, Ron,"</f>
        <v>Franscell, Ron,</v>
      </c>
      <c r="G1190" t="str">
        <f>"314 pages, 16 unnumbered pages of plates, 23 cm, illustrations, color"</f>
        <v>314 pages, 16 unnumbered pages of plates, 23 cm, illustrations, color</v>
      </c>
      <c r="H1190" s="1">
        <v>19</v>
      </c>
      <c r="I1190">
        <v>2019</v>
      </c>
      <c r="J1190" t="str">
        <f t="shared" si="152"/>
        <v>9: 300 - 399</v>
      </c>
      <c r="L1190" t="s">
        <v>2395</v>
      </c>
      <c r="M1190" t="s">
        <v>28</v>
      </c>
      <c r="N1190" t="s">
        <v>2404</v>
      </c>
      <c r="O1190">
        <v>1</v>
      </c>
      <c r="P1190" s="2">
        <v>43833</v>
      </c>
      <c r="Q1190" s="1">
        <v>23</v>
      </c>
      <c r="R1190" t="s">
        <v>2363</v>
      </c>
      <c r="S1190">
        <v>1041799931</v>
      </c>
    </row>
    <row r="1191" spans="1:19" x14ac:dyDescent="0.2">
      <c r="A1191" t="str">
        <f t="shared" si="153"/>
        <v>Adult Nonfiction</v>
      </c>
      <c r="B1191" t="str">
        <f>"NEW 364.15 JOL"</f>
        <v>NEW 364.15 JOL</v>
      </c>
      <c r="C1191" t="str">
        <f>"Red River girl: the life and death of Tina Fontaine"</f>
        <v>Red River girl: the life and death of Tina Fontaine</v>
      </c>
      <c r="D1191">
        <v>358890</v>
      </c>
      <c r="E1191" t="str">
        <f>"Jolly, Joanna"</f>
        <v>Jolly, Joanna</v>
      </c>
      <c r="G1191" t="str">
        <f>"291 pages, 23 cm"</f>
        <v>291 pages, 23 cm</v>
      </c>
      <c r="H1191" s="1">
        <v>19</v>
      </c>
      <c r="I1191">
        <v>2019</v>
      </c>
      <c r="J1191" t="str">
        <f t="shared" si="152"/>
        <v>9: 300 - 399</v>
      </c>
      <c r="L1191" t="s">
        <v>2395</v>
      </c>
      <c r="M1191" t="s">
        <v>28</v>
      </c>
      <c r="N1191" t="s">
        <v>2396</v>
      </c>
      <c r="O1191">
        <v>3</v>
      </c>
      <c r="P1191" s="2">
        <v>43769</v>
      </c>
      <c r="Q1191" s="1">
        <v>22</v>
      </c>
      <c r="R1191" t="s">
        <v>2364</v>
      </c>
      <c r="S1191">
        <v>1080218711</v>
      </c>
    </row>
    <row r="1192" spans="1:19" x14ac:dyDescent="0.2">
      <c r="A1192" t="str">
        <f t="shared" si="153"/>
        <v>Adult Nonfiction</v>
      </c>
      <c r="B1192" t="str">
        <f>"NEW 364.15 KEE"</f>
        <v>NEW 364.15 KEE</v>
      </c>
      <c r="C1192" t="str">
        <f>"Say nothing: a true story of murder and memory in Northern Ireland"</f>
        <v>Say nothing: a true story of murder and memory in Northern Ireland</v>
      </c>
      <c r="D1192">
        <v>360645</v>
      </c>
      <c r="E1192" t="str">
        <f>"Keefe, Patrick Radden"</f>
        <v>Keefe, Patrick Radden</v>
      </c>
      <c r="G1192" t="str">
        <f>"xii, 441 pages, 24 cm, illustrations"</f>
        <v>xii, 441 pages, 24 cm, illustrations</v>
      </c>
      <c r="H1192" s="1">
        <v>20</v>
      </c>
      <c r="I1192">
        <v>2019</v>
      </c>
      <c r="J1192" t="str">
        <f t="shared" si="152"/>
        <v>9: 300 - 399</v>
      </c>
      <c r="L1192" t="s">
        <v>2395</v>
      </c>
      <c r="M1192" t="s">
        <v>28</v>
      </c>
      <c r="N1192" t="str">
        <f>"Reserve Cart"</f>
        <v>Reserve Cart</v>
      </c>
      <c r="O1192">
        <v>0</v>
      </c>
      <c r="P1192" s="2">
        <v>43859</v>
      </c>
      <c r="Q1192" s="1">
        <v>34</v>
      </c>
      <c r="R1192" t="s">
        <v>1558</v>
      </c>
      <c r="S1192">
        <v>1035436434</v>
      </c>
    </row>
    <row r="1193" spans="1:19" x14ac:dyDescent="0.2">
      <c r="A1193" t="str">
        <f t="shared" si="153"/>
        <v>Adult Nonfiction</v>
      </c>
      <c r="B1193" t="str">
        <f>"NEW 364.15 KOT"</f>
        <v>NEW 364.15 KOT</v>
      </c>
      <c r="C1193" t="str">
        <f>"An American summer: love and death in Chicago"</f>
        <v>An American summer: love and death in Chicago</v>
      </c>
      <c r="D1193">
        <v>358520</v>
      </c>
      <c r="E1193" t="str">
        <f>"Kotlowitz, Alex"</f>
        <v>Kotlowitz, Alex</v>
      </c>
      <c r="G1193" t="str">
        <f>"x, 287 pages, 25 cm"</f>
        <v>x, 287 pages, 25 cm</v>
      </c>
      <c r="H1193" s="1">
        <v>19</v>
      </c>
      <c r="I1193">
        <v>2019</v>
      </c>
      <c r="J1193" t="str">
        <f t="shared" ref="J1193:J1214" si="154">"9: 300 - 399"</f>
        <v>9: 300 - 399</v>
      </c>
      <c r="L1193" t="s">
        <v>2403</v>
      </c>
      <c r="M1193" t="s">
        <v>28</v>
      </c>
      <c r="N1193" t="s">
        <v>2396</v>
      </c>
      <c r="O1193">
        <v>1</v>
      </c>
      <c r="P1193" s="2">
        <v>43756</v>
      </c>
      <c r="Q1193" s="1">
        <v>33</v>
      </c>
      <c r="R1193" t="s">
        <v>2365</v>
      </c>
      <c r="S1193">
        <v>1029772025</v>
      </c>
    </row>
    <row r="1194" spans="1:19" x14ac:dyDescent="0.2">
      <c r="A1194" t="str">
        <f t="shared" si="153"/>
        <v>Adult Nonfiction</v>
      </c>
      <c r="B1194" t="str">
        <f>"NEW 364.15 MCD"</f>
        <v>NEW 364.15 MCD</v>
      </c>
      <c r="C1194" t="str">
        <f>"Highway of Tears: a true story of racism, indifference and the pursuit of justice for missing and murdered Indigenous women and girls"</f>
        <v>Highway of Tears: a true story of racism, indifference and the pursuit of justice for missing and murdered Indigenous women and girls</v>
      </c>
      <c r="D1194">
        <v>360158</v>
      </c>
      <c r="E1194" t="str">
        <f>"McDiarmid, Jessica"</f>
        <v>McDiarmid, Jessica</v>
      </c>
      <c r="G1194" t="str">
        <f>"xiii, 331 pages, 24 cm, illustrations, maps"</f>
        <v>xiii, 331 pages, 24 cm, illustrations, maps</v>
      </c>
      <c r="H1194" s="1">
        <v>19</v>
      </c>
      <c r="I1194">
        <v>2019</v>
      </c>
      <c r="J1194" t="str">
        <f t="shared" si="154"/>
        <v>9: 300 - 399</v>
      </c>
      <c r="L1194" t="s">
        <v>2395</v>
      </c>
      <c r="M1194" t="s">
        <v>28</v>
      </c>
      <c r="N1194" t="s">
        <v>2396</v>
      </c>
      <c r="O1194">
        <v>0</v>
      </c>
      <c r="P1194" s="2">
        <v>43833</v>
      </c>
      <c r="Q1194" s="1">
        <v>33</v>
      </c>
      <c r="R1194" t="s">
        <v>2366</v>
      </c>
      <c r="S1194">
        <v>1039356357</v>
      </c>
    </row>
    <row r="1195" spans="1:19" x14ac:dyDescent="0.2">
      <c r="A1195" t="str">
        <f t="shared" si="153"/>
        <v>Adult Nonfiction</v>
      </c>
      <c r="B1195" t="str">
        <f>"NEW 364.15 PHE"</f>
        <v>NEW 364.15 PHE</v>
      </c>
      <c r="C1195" t="str">
        <f>"Where monsters hide: sex, murder, and madness in the Midwest"</f>
        <v>Where monsters hide: sex, murder, and madness in the Midwest</v>
      </c>
      <c r="D1195">
        <v>356158</v>
      </c>
      <c r="E1195" t="str">
        <f>"Phelps, M. William"</f>
        <v>Phelps, M. William</v>
      </c>
      <c r="G1195" t="str">
        <f>"352 pages, 16 unnumbered pages of plates, 23 cm, illustrations"</f>
        <v>352 pages, 16 unnumbered pages of plates, 23 cm, illustrations</v>
      </c>
      <c r="H1195" s="1">
        <v>19</v>
      </c>
      <c r="I1195">
        <v>2019</v>
      </c>
      <c r="J1195" t="str">
        <f t="shared" si="154"/>
        <v>9: 300 - 399</v>
      </c>
      <c r="L1195" t="s">
        <v>2403</v>
      </c>
      <c r="M1195" t="s">
        <v>28</v>
      </c>
      <c r="N1195" t="s">
        <v>2404</v>
      </c>
      <c r="O1195">
        <v>6</v>
      </c>
      <c r="P1195" s="2">
        <v>43655</v>
      </c>
      <c r="Q1195" s="1">
        <v>21</v>
      </c>
      <c r="R1195" t="s">
        <v>2367</v>
      </c>
      <c r="S1195">
        <v>1090071045</v>
      </c>
    </row>
    <row r="1196" spans="1:19" x14ac:dyDescent="0.2">
      <c r="A1196" t="str">
        <f t="shared" si="153"/>
        <v>Adult Nonfiction</v>
      </c>
      <c r="B1196" t="str">
        <f>"NEW 364.16 ABA"</f>
        <v>NEW 364.16 ABA</v>
      </c>
      <c r="C1196" t="str">
        <f>"Scam me if you can: simple strategies to outsmart today's rip-off artists"</f>
        <v>Scam me if you can: simple strategies to outsmart today's rip-off artists</v>
      </c>
      <c r="D1196">
        <v>357921</v>
      </c>
      <c r="E1196" t="str">
        <f>"Abagnale, Frank W."</f>
        <v>Abagnale, Frank W.</v>
      </c>
      <c r="G1196" t="str">
        <f>"xiii, 336 pages, 21 cm"</f>
        <v>xiii, 336 pages, 21 cm</v>
      </c>
      <c r="H1196" s="1">
        <v>19</v>
      </c>
      <c r="I1196">
        <v>2019</v>
      </c>
      <c r="J1196" t="str">
        <f t="shared" si="154"/>
        <v>9: 300 - 399</v>
      </c>
      <c r="L1196" t="s">
        <v>2395</v>
      </c>
      <c r="M1196" t="s">
        <v>28</v>
      </c>
      <c r="N1196" t="s">
        <v>2404</v>
      </c>
      <c r="O1196">
        <v>5</v>
      </c>
      <c r="P1196" s="2">
        <v>43733</v>
      </c>
      <c r="Q1196" s="1">
        <v>24</v>
      </c>
      <c r="R1196" t="s">
        <v>2368</v>
      </c>
      <c r="S1196">
        <v>1077789879</v>
      </c>
    </row>
    <row r="1197" spans="1:19" x14ac:dyDescent="0.2">
      <c r="A1197" t="str">
        <f t="shared" si="153"/>
        <v>Adult Nonfiction</v>
      </c>
      <c r="B1197" t="str">
        <f>"NEW 364.16 GRE"</f>
        <v>NEW 364.16 GRE</v>
      </c>
      <c r="C1197" t="str">
        <f>"Sandworm: a new era of cyberwar and the hunt for the Kremlin's most dangerous hackers"</f>
        <v>Sandworm: a new era of cyberwar and the hunt for the Kremlin's most dangerous hackers</v>
      </c>
      <c r="D1197">
        <v>360176</v>
      </c>
      <c r="E1197" t="str">
        <f>"Greenberg, Andy."</f>
        <v>Greenberg, Andy.</v>
      </c>
      <c r="G1197" t="str">
        <f>"xiii, 348 pages, 25 cm"</f>
        <v>xiii, 348 pages, 25 cm</v>
      </c>
      <c r="H1197" s="1">
        <v>19</v>
      </c>
      <c r="I1197">
        <v>2019</v>
      </c>
      <c r="J1197" t="str">
        <f t="shared" si="154"/>
        <v>9: 300 - 399</v>
      </c>
      <c r="L1197" t="s">
        <v>2403</v>
      </c>
      <c r="M1197" t="s">
        <v>28</v>
      </c>
      <c r="N1197" t="s">
        <v>2404</v>
      </c>
      <c r="O1197">
        <v>2</v>
      </c>
      <c r="P1197" s="2">
        <v>43833</v>
      </c>
      <c r="Q1197" s="1">
        <v>34</v>
      </c>
      <c r="R1197" t="s">
        <v>2369</v>
      </c>
      <c r="S1197">
        <v>1049787879</v>
      </c>
    </row>
    <row r="1198" spans="1:19" x14ac:dyDescent="0.2">
      <c r="A1198" t="str">
        <f t="shared" si="153"/>
        <v>Adult Nonfiction</v>
      </c>
      <c r="B1198" t="str">
        <f>"NEW 364.16 WIL"</f>
        <v>NEW 364.16 WIL</v>
      </c>
      <c r="C1198" t="str">
        <f>"My friend Anna: the true story of a fake heiress"</f>
        <v>My friend Anna: the true story of a fake heiress</v>
      </c>
      <c r="D1198">
        <v>356666</v>
      </c>
      <c r="E1198" t="str">
        <f>"Williams, Rachel DeLoache"</f>
        <v>Williams, Rachel DeLoache</v>
      </c>
      <c r="G1198" t="str">
        <f>"x, 278 pages, 24 cm"</f>
        <v>x, 278 pages, 24 cm</v>
      </c>
      <c r="H1198" s="1">
        <v>19</v>
      </c>
      <c r="I1198">
        <v>2019</v>
      </c>
      <c r="J1198" t="str">
        <f t="shared" si="154"/>
        <v>9: 300 - 399</v>
      </c>
      <c r="L1198" t="s">
        <v>2395</v>
      </c>
      <c r="M1198" t="s">
        <v>28</v>
      </c>
      <c r="N1198" t="s">
        <v>2404</v>
      </c>
      <c r="O1198">
        <v>5</v>
      </c>
      <c r="P1198" s="2">
        <v>43689</v>
      </c>
      <c r="Q1198" s="1">
        <v>32</v>
      </c>
      <c r="R1198" t="s">
        <v>2370</v>
      </c>
      <c r="S1198">
        <v>1104870956</v>
      </c>
    </row>
    <row r="1199" spans="1:19" x14ac:dyDescent="0.2">
      <c r="A1199" t="str">
        <f t="shared" si="153"/>
        <v>Adult Nonfiction</v>
      </c>
      <c r="B1199" t="str">
        <f>"NEW 364.3 MON"</f>
        <v>NEW 364.3 MON</v>
      </c>
      <c r="C1199" t="str">
        <f>"Savage appetites: four true stories of women, crime, and obsession"</f>
        <v>Savage appetites: four true stories of women, crime, and obsession</v>
      </c>
      <c r="D1199">
        <v>357312</v>
      </c>
      <c r="E1199" t="str">
        <f>"Monroe, Rachel"</f>
        <v>Monroe, Rachel</v>
      </c>
      <c r="G1199" t="str">
        <f>"ix, 257 pages, 22 cm, illustrations"</f>
        <v>ix, 257 pages, 22 cm, illustrations</v>
      </c>
      <c r="H1199" s="1">
        <v>19</v>
      </c>
      <c r="I1199">
        <v>2019</v>
      </c>
      <c r="J1199" t="str">
        <f t="shared" si="154"/>
        <v>9: 300 - 399</v>
      </c>
      <c r="L1199" t="s">
        <v>2395</v>
      </c>
      <c r="M1199" t="s">
        <v>28</v>
      </c>
      <c r="N1199" t="s">
        <v>2396</v>
      </c>
      <c r="O1199">
        <v>5</v>
      </c>
      <c r="P1199" s="2">
        <v>43711</v>
      </c>
      <c r="Q1199" s="1">
        <v>31</v>
      </c>
      <c r="R1199" t="s">
        <v>2371</v>
      </c>
      <c r="S1199">
        <v>1056744274</v>
      </c>
    </row>
    <row r="1200" spans="1:19" x14ac:dyDescent="0.2">
      <c r="A1200" t="str">
        <f t="shared" si="153"/>
        <v>Adult Nonfiction</v>
      </c>
      <c r="B1200" t="str">
        <f>"NEW 365 KES"</f>
        <v>NEW 365 KES</v>
      </c>
      <c r="C1200" t="str">
        <f>"A grip of time: when prison is your life"</f>
        <v>A grip of time: when prison is your life</v>
      </c>
      <c r="D1200">
        <v>360156</v>
      </c>
      <c r="E1200" t="str">
        <f>"Kessler, Lauren"</f>
        <v>Kessler, Lauren</v>
      </c>
      <c r="G1200" t="str">
        <f>"ix, 203 pages, 24 cm"</f>
        <v>ix, 203 pages, 24 cm</v>
      </c>
      <c r="H1200" s="1">
        <v>19</v>
      </c>
      <c r="I1200">
        <v>2019</v>
      </c>
      <c r="J1200" t="str">
        <f t="shared" si="154"/>
        <v>9: 300 - 399</v>
      </c>
      <c r="L1200" t="s">
        <v>2403</v>
      </c>
      <c r="M1200" t="s">
        <v>28</v>
      </c>
      <c r="N1200" t="s">
        <v>2404</v>
      </c>
      <c r="O1200">
        <v>1</v>
      </c>
      <c r="P1200" s="2">
        <v>43833</v>
      </c>
      <c r="Q1200" s="1">
        <v>30</v>
      </c>
      <c r="R1200" t="s">
        <v>2372</v>
      </c>
      <c r="S1200">
        <v>1037806554</v>
      </c>
    </row>
    <row r="1201" spans="1:19" x14ac:dyDescent="0.2">
      <c r="A1201" t="str">
        <f t="shared" si="153"/>
        <v>Adult Nonfiction</v>
      </c>
      <c r="B1201" t="str">
        <f>"NEW 370.15 BOA"</f>
        <v>NEW 370.15 BOA</v>
      </c>
      <c r="C1201" t="str">
        <f>"Limitless mind: learn, lead, and live without barriers"</f>
        <v>Limitless mind: learn, lead, and live without barriers</v>
      </c>
      <c r="D1201">
        <v>357513</v>
      </c>
      <c r="E1201" t="str">
        <f>"Boaler, Jo"</f>
        <v>Boaler, Jo</v>
      </c>
      <c r="G1201" t="str">
        <f>"248 pages, 24 cm, illustrations"</f>
        <v>248 pages, 24 cm, illustrations</v>
      </c>
      <c r="H1201" s="1">
        <v>19</v>
      </c>
      <c r="I1201">
        <v>2019</v>
      </c>
      <c r="J1201" t="str">
        <f t="shared" si="154"/>
        <v>9: 300 - 399</v>
      </c>
      <c r="L1201" t="s">
        <v>2395</v>
      </c>
      <c r="M1201" t="s">
        <v>28</v>
      </c>
      <c r="N1201" t="s">
        <v>2404</v>
      </c>
      <c r="O1201">
        <v>4</v>
      </c>
      <c r="P1201" s="2">
        <v>43719</v>
      </c>
      <c r="Q1201" s="1">
        <v>32</v>
      </c>
      <c r="R1201" t="s">
        <v>2373</v>
      </c>
      <c r="S1201">
        <v>1112735369</v>
      </c>
    </row>
    <row r="1202" spans="1:19" x14ac:dyDescent="0.2">
      <c r="A1202" t="str">
        <f t="shared" si="153"/>
        <v>Adult Nonfiction</v>
      </c>
      <c r="B1202" t="str">
        <f>"NEW 370.9 GAB"</f>
        <v>NEW 370.9 GAB</v>
      </c>
      <c r="C1202" t="str">
        <f>"After the education wars: how smart schools upend the business of reform"</f>
        <v>After the education wars: how smart schools upend the business of reform</v>
      </c>
      <c r="D1202">
        <v>349428</v>
      </c>
      <c r="E1202" t="str">
        <f>"Gabor, Andrea"</f>
        <v>Gabor, Andrea</v>
      </c>
      <c r="G1202" t="str">
        <f>"pages cm"</f>
        <v>pages cm</v>
      </c>
      <c r="H1202" s="1">
        <v>18</v>
      </c>
      <c r="I1202">
        <v>2018</v>
      </c>
      <c r="J1202" t="str">
        <f t="shared" si="154"/>
        <v>9: 300 - 399</v>
      </c>
      <c r="L1202" t="s">
        <v>2403</v>
      </c>
      <c r="M1202" t="s">
        <v>28</v>
      </c>
      <c r="N1202" t="s">
        <v>2404</v>
      </c>
      <c r="O1202">
        <v>6</v>
      </c>
      <c r="P1202" s="2">
        <v>43333</v>
      </c>
      <c r="Q1202" s="1">
        <v>33</v>
      </c>
      <c r="R1202" t="s">
        <v>1682</v>
      </c>
      <c r="S1202">
        <v>1031433533</v>
      </c>
    </row>
    <row r="1203" spans="1:19" x14ac:dyDescent="0.2">
      <c r="A1203" t="str">
        <f t="shared" si="153"/>
        <v>Adult Nonfiction</v>
      </c>
      <c r="B1203" t="str">
        <f>"NEW 371.39 TAV"</f>
        <v>NEW 371.39 TAV</v>
      </c>
      <c r="C1203" t="str">
        <f>"Prepared: what kids need for a fulfilled life"</f>
        <v>Prepared: what kids need for a fulfilled life</v>
      </c>
      <c r="D1203">
        <v>360268</v>
      </c>
      <c r="E1203" t="str">
        <f>"Tavenner, Diane,"</f>
        <v>Tavenner, Diane,</v>
      </c>
      <c r="G1203" t="str">
        <f>"viii, 288 p., 22 cm, illustrations"</f>
        <v>viii, 288 p., 22 cm, illustrations</v>
      </c>
      <c r="H1203" s="1">
        <v>19</v>
      </c>
      <c r="I1203">
        <v>2019</v>
      </c>
      <c r="J1203" t="str">
        <f t="shared" si="154"/>
        <v>9: 300 - 399</v>
      </c>
      <c r="L1203" t="s">
        <v>2395</v>
      </c>
      <c r="M1203" t="s">
        <v>28</v>
      </c>
      <c r="N1203" t="s">
        <v>2495</v>
      </c>
      <c r="O1203">
        <v>0</v>
      </c>
      <c r="P1203" s="2">
        <v>43844</v>
      </c>
      <c r="Q1203" s="1">
        <v>33</v>
      </c>
      <c r="R1203" t="s">
        <v>3107</v>
      </c>
      <c r="S1203">
        <v>1105736037</v>
      </c>
    </row>
    <row r="1204" spans="1:19" x14ac:dyDescent="0.2">
      <c r="A1204" t="str">
        <f t="shared" si="153"/>
        <v>Adult Nonfiction</v>
      </c>
      <c r="B1204" t="str">
        <f>"NEW 371.39 TAV"</f>
        <v>NEW 371.39 TAV</v>
      </c>
      <c r="C1204" t="str">
        <f>"Prepared: what kids need for a fulfilled life"</f>
        <v>Prepared: what kids need for a fulfilled life</v>
      </c>
      <c r="D1204">
        <v>360269</v>
      </c>
      <c r="E1204" t="str">
        <f>"Tavenner, Diane,"</f>
        <v>Tavenner, Diane,</v>
      </c>
      <c r="G1204" t="str">
        <f>"viii, 288 p., 22 cm, illustrations"</f>
        <v>viii, 288 p., 22 cm, illustrations</v>
      </c>
      <c r="H1204" s="1">
        <v>19</v>
      </c>
      <c r="I1204">
        <v>2019</v>
      </c>
      <c r="J1204" t="str">
        <f t="shared" si="154"/>
        <v>9: 300 - 399</v>
      </c>
      <c r="L1204" t="s">
        <v>2403</v>
      </c>
      <c r="M1204" t="s">
        <v>28</v>
      </c>
      <c r="N1204" t="s">
        <v>2495</v>
      </c>
      <c r="O1204">
        <v>0</v>
      </c>
      <c r="P1204" s="2">
        <v>43844</v>
      </c>
      <c r="Q1204" s="1">
        <v>33</v>
      </c>
      <c r="R1204" t="s">
        <v>3107</v>
      </c>
      <c r="S1204">
        <v>1105736037</v>
      </c>
    </row>
    <row r="1205" spans="1:19" x14ac:dyDescent="0.2">
      <c r="A1205" t="str">
        <f t="shared" si="153"/>
        <v>Adult Nonfiction</v>
      </c>
      <c r="B1205" t="str">
        <f>"NEW 378 KIR"</f>
        <v>NEW 378 KIR</v>
      </c>
      <c r="C1205" t="str">
        <f>"The college dropout scandal"</f>
        <v>The college dropout scandal</v>
      </c>
      <c r="D1205">
        <v>357499</v>
      </c>
      <c r="E1205" t="str">
        <f>"Kirp, David L."</f>
        <v>Kirp, David L.</v>
      </c>
      <c r="G1205" t="str">
        <f>"175 pages, 25 cm"</f>
        <v>175 pages, 25 cm</v>
      </c>
      <c r="H1205" s="1">
        <v>19</v>
      </c>
      <c r="I1205">
        <v>2019</v>
      </c>
      <c r="J1205" t="str">
        <f t="shared" si="154"/>
        <v>9: 300 - 399</v>
      </c>
      <c r="L1205" t="s">
        <v>2403</v>
      </c>
      <c r="M1205" t="s">
        <v>28</v>
      </c>
      <c r="N1205" t="s">
        <v>2404</v>
      </c>
      <c r="O1205">
        <v>4</v>
      </c>
      <c r="P1205" s="2">
        <v>43719</v>
      </c>
      <c r="Q1205" s="1">
        <v>30</v>
      </c>
      <c r="R1205" t="s">
        <v>2374</v>
      </c>
      <c r="S1205">
        <v>1050133925</v>
      </c>
    </row>
    <row r="1206" spans="1:19" x14ac:dyDescent="0.2">
      <c r="A1206" t="str">
        <f t="shared" si="153"/>
        <v>Adult Nonfiction</v>
      </c>
      <c r="B1206" t="str">
        <f>"NEW 378 PER"</f>
        <v>NEW 378 PER</v>
      </c>
      <c r="C1206" t="str">
        <f>"Yale needs women: how the first group of girls rewrote the rules of an Ivy League giant"</f>
        <v>Yale needs women: how the first group of girls rewrote the rules of an Ivy League giant</v>
      </c>
      <c r="D1206">
        <v>357945</v>
      </c>
      <c r="E1206" t="str">
        <f>"Perkins, Anne Gardiner"</f>
        <v>Perkins, Anne Gardiner</v>
      </c>
      <c r="G1206" t="str">
        <f>"xv, 367 pages, 8 unnumbered pages of plates, 24 cm, illustrations"</f>
        <v>xv, 367 pages, 8 unnumbered pages of plates, 24 cm, illustrations</v>
      </c>
      <c r="H1206" s="1">
        <v>19</v>
      </c>
      <c r="I1206">
        <v>2019</v>
      </c>
      <c r="J1206" t="str">
        <f t="shared" si="154"/>
        <v>9: 300 - 399</v>
      </c>
      <c r="L1206" t="s">
        <v>2403</v>
      </c>
      <c r="M1206" t="s">
        <v>28</v>
      </c>
      <c r="N1206" t="s">
        <v>2396</v>
      </c>
      <c r="O1206">
        <v>3</v>
      </c>
      <c r="P1206" s="2">
        <v>43733</v>
      </c>
      <c r="Q1206" s="1">
        <v>31</v>
      </c>
      <c r="R1206" t="s">
        <v>2375</v>
      </c>
      <c r="S1206">
        <v>1104002479</v>
      </c>
    </row>
    <row r="1207" spans="1:19" x14ac:dyDescent="0.2">
      <c r="A1207" t="str">
        <f t="shared" si="153"/>
        <v>Adult Nonfiction</v>
      </c>
      <c r="B1207" t="str">
        <f>"NEW 378 ROT"</f>
        <v>NEW 378 ROT</v>
      </c>
      <c r="C1207" t="str">
        <f>"Safe enough spaces: a pragmatist's approach to inclusion, free speech, and political correctness on college campuses"</f>
        <v>Safe enough spaces: a pragmatist's approach to inclusion, free speech, and political correctness on college campuses</v>
      </c>
      <c r="D1207">
        <v>407200</v>
      </c>
      <c r="E1207" t="str">
        <f>"Roth, Michael S.,"</f>
        <v>Roth, Michael S.,</v>
      </c>
      <c r="G1207" t="str">
        <f>"xii, 142 p., 22 cm"</f>
        <v>xii, 142 p., 22 cm</v>
      </c>
      <c r="H1207" s="1">
        <v>19</v>
      </c>
      <c r="I1207">
        <v>2019</v>
      </c>
      <c r="J1207" t="str">
        <f t="shared" si="154"/>
        <v>9: 300 - 399</v>
      </c>
      <c r="L1207" t="s">
        <v>2403</v>
      </c>
      <c r="M1207" t="s">
        <v>28</v>
      </c>
      <c r="N1207" t="s">
        <v>2404</v>
      </c>
      <c r="O1207">
        <v>3</v>
      </c>
      <c r="P1207" s="2">
        <v>43738</v>
      </c>
      <c r="Q1207" s="1">
        <v>25</v>
      </c>
      <c r="R1207" t="s">
        <v>2376</v>
      </c>
      <c r="S1207">
        <v>1089843276</v>
      </c>
    </row>
    <row r="1208" spans="1:19" x14ac:dyDescent="0.2">
      <c r="A1208" t="str">
        <f t="shared" si="153"/>
        <v>Adult Nonfiction</v>
      </c>
      <c r="B1208" t="str">
        <f>"NEW 378.19 TOU"</f>
        <v>NEW 378.19 TOU</v>
      </c>
      <c r="C1208" t="str">
        <f>"The years that matter most: how college makes or breaks us"</f>
        <v>The years that matter most: how college makes or breaks us</v>
      </c>
      <c r="D1208">
        <v>359071</v>
      </c>
      <c r="E1208" t="str">
        <f>"Tough, Paul."</f>
        <v>Tough, Paul.</v>
      </c>
      <c r="G1208" t="str">
        <f>"viii, 390 pages, 24 cm"</f>
        <v>viii, 390 pages, 24 cm</v>
      </c>
      <c r="H1208" s="1">
        <v>19</v>
      </c>
      <c r="I1208">
        <v>2019</v>
      </c>
      <c r="J1208" t="str">
        <f t="shared" si="154"/>
        <v>9: 300 - 399</v>
      </c>
      <c r="L1208" t="s">
        <v>2403</v>
      </c>
      <c r="M1208" t="s">
        <v>28</v>
      </c>
      <c r="N1208" t="s">
        <v>2404</v>
      </c>
      <c r="O1208">
        <v>3</v>
      </c>
      <c r="P1208" s="2">
        <v>43776</v>
      </c>
      <c r="Q1208" s="1">
        <v>33</v>
      </c>
      <c r="R1208" t="s">
        <v>2377</v>
      </c>
      <c r="S1208">
        <v>1080247689</v>
      </c>
    </row>
    <row r="1209" spans="1:19" x14ac:dyDescent="0.2">
      <c r="A1209" t="str">
        <f t="shared" si="153"/>
        <v>Adult Nonfiction</v>
      </c>
      <c r="B1209" t="str">
        <f>"NEW 378.3 ZAL"</f>
        <v>NEW 378.3 ZAL</v>
      </c>
      <c r="C1209" t="str">
        <f>"Indebted: how families make college work at any cost"</f>
        <v>Indebted: how families make college work at any cost</v>
      </c>
      <c r="D1209">
        <v>357704</v>
      </c>
      <c r="E1209" t="str">
        <f>"Zaloom, Caitlin"</f>
        <v>Zaloom, Caitlin</v>
      </c>
      <c r="G1209" t="str">
        <f>"ix, 267 pages, 22 cm, illustrations"</f>
        <v>ix, 267 pages, 22 cm, illustrations</v>
      </c>
      <c r="H1209" s="1">
        <v>19</v>
      </c>
      <c r="I1209">
        <v>2019</v>
      </c>
      <c r="J1209" t="str">
        <f t="shared" si="154"/>
        <v>9: 300 - 399</v>
      </c>
      <c r="L1209" t="s">
        <v>2395</v>
      </c>
      <c r="M1209" t="s">
        <v>28</v>
      </c>
      <c r="N1209" t="s">
        <v>2396</v>
      </c>
      <c r="O1209">
        <v>2</v>
      </c>
      <c r="P1209" s="2">
        <v>43725</v>
      </c>
      <c r="Q1209" s="1">
        <v>35</v>
      </c>
      <c r="R1209" t="s">
        <v>2378</v>
      </c>
      <c r="S1209">
        <v>1089417609</v>
      </c>
    </row>
    <row r="1210" spans="1:19" x14ac:dyDescent="0.2">
      <c r="A1210" t="str">
        <f t="shared" si="153"/>
        <v>Adult Nonfiction</v>
      </c>
      <c r="B1210" t="str">
        <f>"NEW 379.2 PON"</f>
        <v>NEW 379.2 PON</v>
      </c>
      <c r="C1210" t="str">
        <f>"How the other half learns: equality, excellence, and the battle over school choice"</f>
        <v>How the other half learns: equality, excellence, and the battle over school choice</v>
      </c>
      <c r="D1210">
        <v>358317</v>
      </c>
      <c r="E1210" t="str">
        <f>"Pondiscio, Robert"</f>
        <v>Pondiscio, Robert</v>
      </c>
      <c r="G1210" t="str">
        <f>"viii, 374 pages, 24 cm"</f>
        <v>viii, 374 pages, 24 cm</v>
      </c>
      <c r="H1210" s="1">
        <v>19</v>
      </c>
      <c r="I1210">
        <v>2019</v>
      </c>
      <c r="J1210" t="str">
        <f t="shared" si="154"/>
        <v>9: 300 - 399</v>
      </c>
      <c r="L1210" t="s">
        <v>2403</v>
      </c>
      <c r="M1210" t="s">
        <v>28</v>
      </c>
      <c r="N1210" t="s">
        <v>2396</v>
      </c>
      <c r="O1210">
        <v>2</v>
      </c>
      <c r="P1210" s="2">
        <v>43749</v>
      </c>
      <c r="Q1210" s="1">
        <v>32</v>
      </c>
      <c r="R1210" t="s">
        <v>2379</v>
      </c>
      <c r="S1210">
        <v>1089856617</v>
      </c>
    </row>
    <row r="1211" spans="1:19" x14ac:dyDescent="0.2">
      <c r="A1211" t="str">
        <f t="shared" si="153"/>
        <v>Adult Nonfiction</v>
      </c>
      <c r="B1211" t="str">
        <f>"NEW 381 JAC"</f>
        <v>NEW 381 JAC</v>
      </c>
      <c r="C1211" t="str">
        <f>"The truffle underground: a tale of mystery, mayhem, and manipulation in the shadowy market of the world's most expensive fungus"</f>
        <v>The truffle underground: a tale of mystery, mayhem, and manipulation in the shadowy market of the world's most expensive fungus</v>
      </c>
      <c r="D1211">
        <v>357538</v>
      </c>
      <c r="E1211" t="str">
        <f>"Jacobs, Ryan"</f>
        <v>Jacobs, Ryan</v>
      </c>
      <c r="G1211" t="str">
        <f>"vi, 279 p., 21 cm, map"</f>
        <v>vi, 279 p., 21 cm, map</v>
      </c>
      <c r="H1211" s="1">
        <v>19</v>
      </c>
      <c r="I1211">
        <v>2019</v>
      </c>
      <c r="J1211" t="str">
        <f t="shared" si="154"/>
        <v>9: 300 - 399</v>
      </c>
      <c r="L1211" t="s">
        <v>2403</v>
      </c>
      <c r="M1211" t="s">
        <v>28</v>
      </c>
      <c r="N1211" t="s">
        <v>2396</v>
      </c>
      <c r="O1211">
        <v>1</v>
      </c>
      <c r="P1211" s="2">
        <v>43719</v>
      </c>
      <c r="Q1211" s="1">
        <v>21</v>
      </c>
      <c r="R1211" t="s">
        <v>2380</v>
      </c>
      <c r="S1211">
        <v>1074271560</v>
      </c>
    </row>
    <row r="1212" spans="1:19" x14ac:dyDescent="0.2">
      <c r="A1212" t="str">
        <f t="shared" si="153"/>
        <v>Adult Nonfiction</v>
      </c>
      <c r="B1212" t="str">
        <f>"NEW 381 MIN"</f>
        <v>NEW 381 MIN</v>
      </c>
      <c r="C1212" t="str">
        <f>"Secondhand: travels in the new global garage sale"</f>
        <v>Secondhand: travels in the new global garage sale</v>
      </c>
      <c r="D1212">
        <v>359572</v>
      </c>
      <c r="E1212" t="str">
        <f>"Minter, Adam,"</f>
        <v>Minter, Adam,</v>
      </c>
      <c r="G1212" t="str">
        <f>"xix, 299 pages, 25 cm, illustrations"</f>
        <v>xix, 299 pages, 25 cm, illustrations</v>
      </c>
      <c r="H1212" s="1">
        <v>19</v>
      </c>
      <c r="I1212">
        <v>2019</v>
      </c>
      <c r="J1212" t="str">
        <f t="shared" si="154"/>
        <v>9: 300 - 399</v>
      </c>
      <c r="L1212" t="s">
        <v>2395</v>
      </c>
      <c r="M1212" t="s">
        <v>28</v>
      </c>
      <c r="N1212" t="s">
        <v>2396</v>
      </c>
      <c r="O1212">
        <v>2</v>
      </c>
      <c r="P1212" s="2">
        <v>43802</v>
      </c>
      <c r="Q1212" s="1">
        <v>33</v>
      </c>
      <c r="R1212" t="s">
        <v>2381</v>
      </c>
      <c r="S1212">
        <v>1076498560</v>
      </c>
    </row>
    <row r="1213" spans="1:19" x14ac:dyDescent="0.2">
      <c r="A1213" t="str">
        <f t="shared" si="153"/>
        <v>Adult Nonfiction</v>
      </c>
      <c r="B1213" t="str">
        <f>"NEW 384.54 ROS"</f>
        <v>NEW 384.54 ROS</v>
      </c>
      <c r="C1213" t="str">
        <f>"Talk radio's America: how an industry took over a political party that took over the United States"</f>
        <v>Talk radio's America: how an industry took over a political party that took over the United States</v>
      </c>
      <c r="D1213">
        <v>358135</v>
      </c>
      <c r="E1213" t="str">
        <f>"Rosenwald, Brian"</f>
        <v>Rosenwald, Brian</v>
      </c>
      <c r="G1213" t="str">
        <f>"pages cm"</f>
        <v>pages cm</v>
      </c>
      <c r="H1213" s="1">
        <v>19</v>
      </c>
      <c r="I1213">
        <v>2019</v>
      </c>
      <c r="J1213" t="str">
        <f t="shared" si="154"/>
        <v>9: 300 - 399</v>
      </c>
      <c r="L1213" t="s">
        <v>2403</v>
      </c>
      <c r="M1213" t="s">
        <v>28</v>
      </c>
      <c r="N1213" t="s">
        <v>2396</v>
      </c>
      <c r="O1213">
        <v>1</v>
      </c>
      <c r="P1213" s="2">
        <v>43740</v>
      </c>
      <c r="Q1213" s="1">
        <v>35</v>
      </c>
      <c r="R1213" t="s">
        <v>2382</v>
      </c>
      <c r="S1213">
        <v>1089996653</v>
      </c>
    </row>
    <row r="1214" spans="1:19" x14ac:dyDescent="0.2">
      <c r="A1214" t="str">
        <f t="shared" si="153"/>
        <v>Adult Nonfiction</v>
      </c>
      <c r="B1214" t="str">
        <f>"NEW 388.4 ISA"</f>
        <v>NEW 388.4 ISA</v>
      </c>
      <c r="C1214" t="str">
        <f>"Super pumped: the battle for Uber"</f>
        <v>Super pumped: the battle for Uber</v>
      </c>
      <c r="D1214">
        <v>357726</v>
      </c>
      <c r="E1214" t="str">
        <f>"Isaac, Mike"</f>
        <v>Isaac, Mike</v>
      </c>
      <c r="G1214" t="str">
        <f>"xx, 387 pages, 25 cm"</f>
        <v>xx, 387 pages, 25 cm</v>
      </c>
      <c r="H1214" s="1">
        <v>19</v>
      </c>
      <c r="I1214">
        <v>2019</v>
      </c>
      <c r="J1214" t="str">
        <f t="shared" si="154"/>
        <v>9: 300 - 399</v>
      </c>
      <c r="L1214" t="s">
        <v>2403</v>
      </c>
      <c r="M1214" t="s">
        <v>28</v>
      </c>
      <c r="N1214" t="s">
        <v>2396</v>
      </c>
      <c r="O1214">
        <v>3</v>
      </c>
      <c r="P1214" s="2">
        <v>43725</v>
      </c>
      <c r="Q1214" s="1">
        <v>33</v>
      </c>
      <c r="R1214" t="s">
        <v>2383</v>
      </c>
      <c r="S1214">
        <v>1090686951</v>
      </c>
    </row>
    <row r="1215" spans="1:19" x14ac:dyDescent="0.2">
      <c r="A1215" t="str">
        <f t="shared" si="153"/>
        <v>Adult Nonfiction</v>
      </c>
      <c r="B1215" t="str">
        <f>"NEW 410 SHA"</f>
        <v>NEW 410 SHA</v>
      </c>
      <c r="C1215" t="str">
        <f>"Don't believe a word: the surprising truth about language"</f>
        <v>Don't believe a word: the surprising truth about language</v>
      </c>
      <c r="D1215">
        <v>360215</v>
      </c>
      <c r="E1215" t="str">
        <f>"Shariatmadari, David"</f>
        <v>Shariatmadari, David</v>
      </c>
      <c r="G1215" t="str">
        <f>"324 pages, 24 cm"</f>
        <v>324 pages, 24 cm</v>
      </c>
      <c r="H1215" s="1">
        <v>19</v>
      </c>
      <c r="I1215">
        <v>2020</v>
      </c>
      <c r="J1215" t="str">
        <f>"10: 400 - 499"</f>
        <v>10: 400 - 499</v>
      </c>
      <c r="L1215" t="s">
        <v>2395</v>
      </c>
      <c r="M1215" t="s">
        <v>28</v>
      </c>
      <c r="N1215" t="s">
        <v>2495</v>
      </c>
      <c r="O1215">
        <v>0</v>
      </c>
      <c r="P1215" s="2">
        <v>43844</v>
      </c>
      <c r="Q1215" s="1">
        <v>33</v>
      </c>
      <c r="R1215" t="s">
        <v>3108</v>
      </c>
      <c r="S1215">
        <v>1102473510</v>
      </c>
    </row>
    <row r="1216" spans="1:19" x14ac:dyDescent="0.2">
      <c r="A1216" t="str">
        <f t="shared" si="153"/>
        <v>Adult Nonfiction</v>
      </c>
      <c r="B1216" t="str">
        <f>"NEW 425 WAT"</f>
        <v>NEW 425 WAT</v>
      </c>
      <c r="C1216" t="str">
        <f>"Semicolon: the past, present, and future of a misunderstood mark"</f>
        <v>Semicolon: the past, present, and future of a misunderstood mark</v>
      </c>
      <c r="D1216">
        <v>356838</v>
      </c>
      <c r="E1216" t="str">
        <f>"Watson, Cecelia"</f>
        <v>Watson, Cecelia</v>
      </c>
      <c r="G1216" t="str">
        <f>"213 pages, 19 cm, illustrations"</f>
        <v>213 pages, 19 cm, illustrations</v>
      </c>
      <c r="H1216" s="1">
        <v>19</v>
      </c>
      <c r="I1216">
        <v>2019</v>
      </c>
      <c r="J1216" t="str">
        <f>"10: 400 - 499"</f>
        <v>10: 400 - 499</v>
      </c>
      <c r="L1216" t="s">
        <v>2395</v>
      </c>
      <c r="M1216" t="s">
        <v>28</v>
      </c>
      <c r="N1216" t="s">
        <v>2404</v>
      </c>
      <c r="O1216">
        <v>5</v>
      </c>
      <c r="P1216" s="2">
        <v>43691</v>
      </c>
      <c r="Q1216" s="1">
        <v>25</v>
      </c>
      <c r="R1216" t="s">
        <v>3109</v>
      </c>
      <c r="S1216">
        <v>1060579931</v>
      </c>
    </row>
    <row r="1217" spans="1:19" x14ac:dyDescent="0.2">
      <c r="A1217" t="str">
        <f t="shared" si="153"/>
        <v>Adult Nonfiction</v>
      </c>
      <c r="B1217" t="str">
        <f>"NEW 500 BES"</f>
        <v>NEW 500 BES</v>
      </c>
      <c r="C1217" t="str">
        <f>"The best American science and nature writing"</f>
        <v>The best American science and nature writing</v>
      </c>
      <c r="D1217">
        <v>358092</v>
      </c>
      <c r="F1217" t="str">
        <f>"Best American series"</f>
        <v>Best American series</v>
      </c>
      <c r="G1217" t="str">
        <f>"xix, 361 pages, 21 cm"</f>
        <v>xix, 361 pages, 21 cm</v>
      </c>
      <c r="H1217" s="1">
        <v>19</v>
      </c>
      <c r="I1217">
        <v>2019</v>
      </c>
      <c r="J1217" t="str">
        <f t="shared" ref="J1217:J1233" si="155">"11: 500 - 599"</f>
        <v>11: 500 - 599</v>
      </c>
      <c r="L1217" t="s">
        <v>2403</v>
      </c>
      <c r="M1217" t="s">
        <v>28</v>
      </c>
      <c r="N1217" t="s">
        <v>2396</v>
      </c>
      <c r="O1217">
        <v>2</v>
      </c>
      <c r="P1217" s="2">
        <v>43740</v>
      </c>
      <c r="Q1217" s="1">
        <v>15</v>
      </c>
      <c r="R1217" t="s">
        <v>3110</v>
      </c>
      <c r="S1217">
        <v>1121429747</v>
      </c>
    </row>
    <row r="1218" spans="1:19" x14ac:dyDescent="0.2">
      <c r="A1218" t="str">
        <f t="shared" si="153"/>
        <v>Adult Nonfiction</v>
      </c>
      <c r="B1218" t="str">
        <f>"NEW 500 MUN"</f>
        <v>NEW 500 MUN</v>
      </c>
      <c r="C1218" t="str">
        <f>"How to: absurd scientific advice for common real-world problems"</f>
        <v>How to: absurd scientific advice for common real-world problems</v>
      </c>
      <c r="D1218">
        <v>357291</v>
      </c>
      <c r="E1218" t="str">
        <f>"Munroe, Randall,"</f>
        <v>Munroe, Randall,</v>
      </c>
      <c r="G1218" t="str">
        <f>"307 pages, 24 cm, illustrations, maps"</f>
        <v>307 pages, 24 cm, illustrations, maps</v>
      </c>
      <c r="H1218" s="1">
        <v>19</v>
      </c>
      <c r="I1218">
        <v>2019</v>
      </c>
      <c r="J1218" t="str">
        <f t="shared" si="155"/>
        <v>11: 500 - 599</v>
      </c>
      <c r="L1218" t="s">
        <v>2395</v>
      </c>
      <c r="M1218" t="s">
        <v>28</v>
      </c>
      <c r="N1218" t="s">
        <v>2396</v>
      </c>
      <c r="O1218">
        <v>5</v>
      </c>
      <c r="P1218" s="2">
        <v>43711</v>
      </c>
      <c r="Q1218" s="1">
        <v>33</v>
      </c>
      <c r="R1218" t="s">
        <v>3111</v>
      </c>
      <c r="S1218">
        <v>1109803187</v>
      </c>
    </row>
    <row r="1219" spans="1:19" x14ac:dyDescent="0.2">
      <c r="A1219" t="str">
        <f t="shared" si="153"/>
        <v>Adult Nonfiction</v>
      </c>
      <c r="B1219" t="str">
        <f>"NEW 508 FER"</f>
        <v>NEW 508 FER</v>
      </c>
      <c r="C1219" t="str">
        <f>"The eight master lessons of nature: what nature teaches us about living well in the world"</f>
        <v>The eight master lessons of nature: what nature teaches us about living well in the world</v>
      </c>
      <c r="D1219">
        <v>358693</v>
      </c>
      <c r="E1219" t="str">
        <f>"Ferguson, Gary,"</f>
        <v>Ferguson, Gary,</v>
      </c>
      <c r="G1219" t="str">
        <f>"xxi, 249 pages, 22 cm"</f>
        <v>xxi, 249 pages, 22 cm</v>
      </c>
      <c r="H1219" s="1">
        <v>19</v>
      </c>
      <c r="I1219">
        <v>2019</v>
      </c>
      <c r="J1219" t="str">
        <f t="shared" si="155"/>
        <v>11: 500 - 599</v>
      </c>
      <c r="L1219" t="s">
        <v>2395</v>
      </c>
      <c r="M1219" t="s">
        <v>28</v>
      </c>
      <c r="N1219" t="s">
        <v>2396</v>
      </c>
      <c r="O1219">
        <v>4</v>
      </c>
      <c r="P1219" s="2">
        <v>43762</v>
      </c>
      <c r="Q1219" s="1">
        <v>32</v>
      </c>
      <c r="R1219" t="s">
        <v>3112</v>
      </c>
      <c r="S1219">
        <v>1083715579</v>
      </c>
    </row>
    <row r="1220" spans="1:19" x14ac:dyDescent="0.2">
      <c r="A1220" t="str">
        <f t="shared" si="153"/>
        <v>Adult Nonfiction</v>
      </c>
      <c r="B1220" t="str">
        <f>"NEW 508 POS"</f>
        <v>NEW 508 POS</v>
      </c>
      <c r="C1220" t="str">
        <f>"Strange harvests: the hidden histories of seven natural objects"</f>
        <v>Strange harvests: the hidden histories of seven natural objects</v>
      </c>
      <c r="D1220">
        <v>356707</v>
      </c>
      <c r="E1220" t="str">
        <f>"Posnett, Edward"</f>
        <v>Posnett, Edward</v>
      </c>
      <c r="G1220" t="str">
        <f>"323 pages, 22 cm, illustrations"</f>
        <v>323 pages, 22 cm, illustrations</v>
      </c>
      <c r="H1220" s="1">
        <v>19</v>
      </c>
      <c r="I1220">
        <v>2019</v>
      </c>
      <c r="J1220" t="str">
        <f t="shared" si="155"/>
        <v>11: 500 - 599</v>
      </c>
      <c r="L1220" t="s">
        <v>2395</v>
      </c>
      <c r="M1220" t="s">
        <v>28</v>
      </c>
      <c r="N1220" t="s">
        <v>2404</v>
      </c>
      <c r="O1220">
        <v>4</v>
      </c>
      <c r="P1220" s="2">
        <v>43689</v>
      </c>
      <c r="Q1220" s="1">
        <v>32</v>
      </c>
      <c r="R1220" t="s">
        <v>3113</v>
      </c>
      <c r="S1220">
        <v>1065733725</v>
      </c>
    </row>
    <row r="1221" spans="1:19" x14ac:dyDescent="0.2">
      <c r="A1221" t="str">
        <f t="shared" si="153"/>
        <v>Adult Nonfiction</v>
      </c>
      <c r="B1221" t="str">
        <f>"NEW 515 ORL"</f>
        <v>NEW 515 ORL</v>
      </c>
      <c r="C1221" t="str">
        <f>"Change is the only constant: the wisdom of calculus in a madcap world"</f>
        <v>Change is the only constant: the wisdom of calculus in a madcap world</v>
      </c>
      <c r="D1221">
        <v>358526</v>
      </c>
      <c r="E1221" t="str">
        <f>"Orlin, Ben."</f>
        <v>Orlin, Ben.</v>
      </c>
      <c r="G1221" t="str">
        <f>"319 pages, 24 cm, illustration"</f>
        <v>319 pages, 24 cm, illustration</v>
      </c>
      <c r="H1221" s="1">
        <v>19</v>
      </c>
      <c r="I1221">
        <v>2019</v>
      </c>
      <c r="J1221" t="str">
        <f t="shared" si="155"/>
        <v>11: 500 - 599</v>
      </c>
      <c r="L1221" t="s">
        <v>2395</v>
      </c>
      <c r="M1221" t="s">
        <v>28</v>
      </c>
      <c r="N1221" t="s">
        <v>2396</v>
      </c>
      <c r="O1221">
        <v>3</v>
      </c>
      <c r="P1221" s="2">
        <v>43756</v>
      </c>
      <c r="Q1221" s="1">
        <v>33</v>
      </c>
      <c r="R1221" t="s">
        <v>3114</v>
      </c>
      <c r="S1221">
        <v>1121031558</v>
      </c>
    </row>
    <row r="1222" spans="1:19" x14ac:dyDescent="0.2">
      <c r="A1222" t="str">
        <f t="shared" si="153"/>
        <v>Adult Nonfiction</v>
      </c>
      <c r="B1222" t="str">
        <f>"NEW 519.5 SPI"</f>
        <v>NEW 519.5 SPI</v>
      </c>
      <c r="C1222" t="str">
        <f>"The art of statistics: how to learn from data"</f>
        <v>The art of statistics: how to learn from data</v>
      </c>
      <c r="D1222">
        <v>357491</v>
      </c>
      <c r="E1222" t="str">
        <f>"Spiegelhalter, David"</f>
        <v>Spiegelhalter, David</v>
      </c>
      <c r="G1222" t="str">
        <f>"xvi, 426 p., 25 cm, illustrations"</f>
        <v>xvi, 426 p., 25 cm, illustrations</v>
      </c>
      <c r="H1222" s="1">
        <v>19</v>
      </c>
      <c r="I1222">
        <v>2019</v>
      </c>
      <c r="J1222" t="str">
        <f t="shared" si="155"/>
        <v>11: 500 - 599</v>
      </c>
      <c r="L1222" t="s">
        <v>2395</v>
      </c>
      <c r="M1222" t="s">
        <v>28</v>
      </c>
      <c r="N1222" t="s">
        <v>2404</v>
      </c>
      <c r="O1222">
        <v>6</v>
      </c>
      <c r="P1222" s="2">
        <v>43719</v>
      </c>
      <c r="Q1222" s="1">
        <v>37</v>
      </c>
      <c r="R1222" t="s">
        <v>3115</v>
      </c>
      <c r="S1222">
        <v>1112668483</v>
      </c>
    </row>
    <row r="1223" spans="1:19" x14ac:dyDescent="0.2">
      <c r="A1223" t="str">
        <f t="shared" si="153"/>
        <v>Adult Nonfiction</v>
      </c>
      <c r="B1223" t="str">
        <f>"NEW 520 LON"</f>
        <v>NEW 520 LON</v>
      </c>
      <c r="C1223" t="str">
        <f>"The Universe"</f>
        <v>The Universe</v>
      </c>
      <c r="D1223">
        <v>359072</v>
      </c>
      <c r="G1223" t="str">
        <f>"608 p."</f>
        <v>608 p.</v>
      </c>
      <c r="H1223" s="1">
        <v>19</v>
      </c>
      <c r="I1223">
        <v>2019</v>
      </c>
      <c r="J1223" t="str">
        <f t="shared" si="155"/>
        <v>11: 500 - 599</v>
      </c>
      <c r="L1223" t="s">
        <v>2403</v>
      </c>
      <c r="M1223" t="s">
        <v>28</v>
      </c>
      <c r="N1223" t="s">
        <v>2396</v>
      </c>
      <c r="O1223">
        <v>3</v>
      </c>
      <c r="P1223" s="2">
        <v>43776</v>
      </c>
      <c r="Q1223" s="1">
        <v>35</v>
      </c>
      <c r="R1223" t="s">
        <v>3116</v>
      </c>
      <c r="S1223">
        <v>1089005439</v>
      </c>
    </row>
    <row r="1224" spans="1:19" x14ac:dyDescent="0.2">
      <c r="A1224" t="str">
        <f t="shared" si="153"/>
        <v>Adult Nonfiction</v>
      </c>
      <c r="B1224" t="str">
        <f>"NEW 520 LON"</f>
        <v>NEW 520 LON</v>
      </c>
      <c r="C1224" t="str">
        <f>"Dark skies: a practical guide to astrotourism"</f>
        <v>Dark skies: a practical guide to astrotourism</v>
      </c>
      <c r="D1224">
        <v>358071</v>
      </c>
      <c r="E1224" t="str">
        <f>"Lonely Planet Publications (Firm)"</f>
        <v>Lonely Planet Publications (Firm)</v>
      </c>
      <c r="F1224" t="str">
        <f>"Lonely Planet Travel series"</f>
        <v>Lonely Planet Travel series</v>
      </c>
      <c r="G1224" t="str">
        <f>"287 p."</f>
        <v>287 p.</v>
      </c>
      <c r="H1224" s="1">
        <v>19</v>
      </c>
      <c r="I1224">
        <v>2019</v>
      </c>
      <c r="J1224" t="str">
        <f t="shared" si="155"/>
        <v>11: 500 - 599</v>
      </c>
      <c r="L1224" t="s">
        <v>2395</v>
      </c>
      <c r="M1224" t="s">
        <v>28</v>
      </c>
      <c r="N1224" t="s">
        <v>2404</v>
      </c>
      <c r="O1224">
        <v>3</v>
      </c>
      <c r="P1224" s="2">
        <v>43740</v>
      </c>
      <c r="Q1224" s="1">
        <v>25</v>
      </c>
      <c r="R1224" t="s">
        <v>3117</v>
      </c>
      <c r="S1224">
        <v>1108699094</v>
      </c>
    </row>
    <row r="1225" spans="1:19" x14ac:dyDescent="0.2">
      <c r="A1225" t="str">
        <f t="shared" si="153"/>
        <v>Adult Nonfiction</v>
      </c>
      <c r="B1225" t="str">
        <f>"NEW 523.1 TYS"</f>
        <v>NEW 523.1 TYS</v>
      </c>
      <c r="C1225" t="str">
        <f>"Letters from an astrophysicist"</f>
        <v>Letters from an astrophysicist</v>
      </c>
      <c r="D1225">
        <v>358319</v>
      </c>
      <c r="E1225" t="str">
        <f>"Tyson, Neil deGrasse"</f>
        <v>Tyson, Neil deGrasse</v>
      </c>
      <c r="G1225" t="str">
        <f>"xv, 247 pages, 20 cm, illustrations (chiefly color)"</f>
        <v>xv, 247 pages, 20 cm, illustrations (chiefly color)</v>
      </c>
      <c r="H1225" s="1">
        <v>19</v>
      </c>
      <c r="I1225">
        <v>2019</v>
      </c>
      <c r="J1225" t="str">
        <f t="shared" si="155"/>
        <v>11: 500 - 599</v>
      </c>
      <c r="L1225" t="s">
        <v>2395</v>
      </c>
      <c r="M1225" t="s">
        <v>28</v>
      </c>
      <c r="N1225" t="s">
        <v>2404</v>
      </c>
      <c r="O1225">
        <v>4</v>
      </c>
      <c r="P1225" s="2">
        <v>43749</v>
      </c>
      <c r="Q1225" s="1">
        <v>25</v>
      </c>
      <c r="R1225" t="s">
        <v>3118</v>
      </c>
      <c r="S1225">
        <v>1108269480</v>
      </c>
    </row>
    <row r="1226" spans="1:19" x14ac:dyDescent="0.2">
      <c r="A1226" t="str">
        <f t="shared" si="153"/>
        <v>Adult Nonfiction</v>
      </c>
      <c r="B1226" t="str">
        <f>"NEW 530 AGU"</f>
        <v>NEW 530 AGU</v>
      </c>
      <c r="C1226" t="str">
        <f>"Cosmological koans: a journey to the heart of physical reality"</f>
        <v>Cosmological koans: a journey to the heart of physical reality</v>
      </c>
      <c r="D1226">
        <v>355226</v>
      </c>
      <c r="E1226" t="str">
        <f>"Aguirre, Anthony"</f>
        <v>Aguirre, Anthony</v>
      </c>
      <c r="G1226" t="str">
        <f>"xvi, 373 pages, 25 cm, illustrations, maps"</f>
        <v>xvi, 373 pages, 25 cm, illustrations, maps</v>
      </c>
      <c r="H1226" s="1">
        <v>19</v>
      </c>
      <c r="I1226">
        <v>2019</v>
      </c>
      <c r="J1226" t="str">
        <f t="shared" si="155"/>
        <v>11: 500 - 599</v>
      </c>
      <c r="L1226" t="s">
        <v>2395</v>
      </c>
      <c r="M1226" t="s">
        <v>28</v>
      </c>
      <c r="N1226" t="s">
        <v>2401</v>
      </c>
      <c r="O1226">
        <v>2</v>
      </c>
      <c r="P1226" s="2">
        <v>43620</v>
      </c>
      <c r="Q1226" s="1">
        <v>33</v>
      </c>
      <c r="R1226" t="s">
        <v>3119</v>
      </c>
      <c r="S1226">
        <v>1053996533</v>
      </c>
    </row>
    <row r="1227" spans="1:19" x14ac:dyDescent="0.2">
      <c r="A1227" t="str">
        <f t="shared" si="153"/>
        <v>Adult Nonfiction</v>
      </c>
      <c r="B1227" t="str">
        <f>"NEW 530.12 CAR"</f>
        <v>NEW 530.12 CAR</v>
      </c>
      <c r="C1227" t="str">
        <f>"Something deeply hidden: quantum worlds and the emergence of spacetime"</f>
        <v>Something deeply hidden: quantum worlds and the emergence of spacetime</v>
      </c>
      <c r="D1227">
        <v>358133</v>
      </c>
      <c r="E1227" t="str">
        <f>"Carroll, Sean M.,"</f>
        <v>Carroll, Sean M.,</v>
      </c>
      <c r="G1227" t="str">
        <f>"xii, 345 pages, 23 cm, illustrations"</f>
        <v>xii, 345 pages, 23 cm, illustrations</v>
      </c>
      <c r="H1227" s="1">
        <v>19</v>
      </c>
      <c r="I1227">
        <v>2019</v>
      </c>
      <c r="J1227" t="str">
        <f t="shared" si="155"/>
        <v>11: 500 - 599</v>
      </c>
      <c r="L1227" t="s">
        <v>2403</v>
      </c>
      <c r="M1227" t="s">
        <v>28</v>
      </c>
      <c r="N1227" t="s">
        <v>2396</v>
      </c>
      <c r="O1227">
        <v>4</v>
      </c>
      <c r="P1227" s="2">
        <v>43740</v>
      </c>
      <c r="Q1227" s="1">
        <v>34</v>
      </c>
      <c r="R1227" t="s">
        <v>3120</v>
      </c>
      <c r="S1227">
        <v>1086570568</v>
      </c>
    </row>
    <row r="1228" spans="1:19" x14ac:dyDescent="0.2">
      <c r="A1228" t="str">
        <f t="shared" si="153"/>
        <v>Adult Nonfiction</v>
      </c>
      <c r="B1228" t="str">
        <f>"NEW 551.4 MAC"</f>
        <v>NEW 551.4 MAC</v>
      </c>
      <c r="C1228" t="str">
        <f>"Underland: a deep time journey"</f>
        <v>Underland: a deep time journey</v>
      </c>
      <c r="D1228">
        <v>355263</v>
      </c>
      <c r="E1228" t="str">
        <f>"Macfarlane, Robert,"</f>
        <v>Macfarlane, Robert,</v>
      </c>
      <c r="G1228" t="str">
        <f>"viii, 488 pages, 25 cm, illustrations"</f>
        <v>viii, 488 pages, 25 cm, illustrations</v>
      </c>
      <c r="H1228" s="1">
        <v>19</v>
      </c>
      <c r="I1228">
        <v>2019</v>
      </c>
      <c r="J1228" t="str">
        <f t="shared" si="155"/>
        <v>11: 500 - 599</v>
      </c>
      <c r="L1228" t="s">
        <v>2395</v>
      </c>
      <c r="M1228" t="s">
        <v>28</v>
      </c>
      <c r="N1228" t="s">
        <v>2401</v>
      </c>
      <c r="O1228">
        <v>8</v>
      </c>
      <c r="P1228" s="2">
        <v>43620</v>
      </c>
      <c r="Q1228" s="1">
        <v>33</v>
      </c>
      <c r="R1228" t="s">
        <v>3121</v>
      </c>
      <c r="S1228">
        <v>1054001747</v>
      </c>
    </row>
    <row r="1229" spans="1:19" x14ac:dyDescent="0.2">
      <c r="A1229" t="str">
        <f t="shared" si="153"/>
        <v>Adult Nonfiction</v>
      </c>
      <c r="B1229" t="str">
        <f>"NEW 551.4 MAC"</f>
        <v>NEW 551.4 MAC</v>
      </c>
      <c r="C1229" t="str">
        <f>"Underland: a deep time journey"</f>
        <v>Underland: a deep time journey</v>
      </c>
      <c r="D1229">
        <v>360474</v>
      </c>
      <c r="E1229" t="str">
        <f>"Macfarlane, Robert,"</f>
        <v>Macfarlane, Robert,</v>
      </c>
      <c r="G1229" t="str">
        <f>"viii, 488 pages, 25 cm, illustrations"</f>
        <v>viii, 488 pages, 25 cm, illustrations</v>
      </c>
      <c r="H1229" s="1">
        <v>20</v>
      </c>
      <c r="I1229">
        <v>2019</v>
      </c>
      <c r="J1229" t="str">
        <f t="shared" si="155"/>
        <v>11: 500 - 599</v>
      </c>
      <c r="L1229" t="s">
        <v>2395</v>
      </c>
      <c r="M1229" t="s">
        <v>28</v>
      </c>
      <c r="N1229" t="str">
        <f>"Reserve Cart"</f>
        <v>Reserve Cart</v>
      </c>
      <c r="O1229">
        <v>0</v>
      </c>
      <c r="P1229" s="2">
        <v>43851</v>
      </c>
      <c r="Q1229" s="1">
        <v>33</v>
      </c>
      <c r="R1229" t="s">
        <v>3121</v>
      </c>
      <c r="S1229">
        <v>1054001747</v>
      </c>
    </row>
    <row r="1230" spans="1:19" x14ac:dyDescent="0.2">
      <c r="A1230" t="str">
        <f t="shared" si="153"/>
        <v>Adult Nonfiction</v>
      </c>
      <c r="B1230" t="str">
        <f>"NEW 551.5 GED"</f>
        <v>NEW 551.5 GED</v>
      </c>
      <c r="C1230" t="str">
        <f>"Chasing the sun: how the science of sunlight shapes our bodies and minds"</f>
        <v>Chasing the sun: how the science of sunlight shapes our bodies and minds</v>
      </c>
      <c r="D1230">
        <v>359010</v>
      </c>
      <c r="E1230" t="str">
        <f>"Geddes, Linda"</f>
        <v>Geddes, Linda</v>
      </c>
      <c r="G1230" t="str">
        <f>"240 pages, 22 cm, illustrations"</f>
        <v>240 pages, 22 cm, illustrations</v>
      </c>
      <c r="H1230" s="1">
        <v>19</v>
      </c>
      <c r="I1230">
        <v>2019</v>
      </c>
      <c r="J1230" t="str">
        <f t="shared" si="155"/>
        <v>11: 500 - 599</v>
      </c>
      <c r="L1230" t="s">
        <v>2395</v>
      </c>
      <c r="M1230" t="s">
        <v>28</v>
      </c>
      <c r="N1230" t="s">
        <v>2404</v>
      </c>
      <c r="O1230">
        <v>2</v>
      </c>
      <c r="P1230" s="2">
        <v>43776</v>
      </c>
      <c r="Q1230" s="1">
        <v>33</v>
      </c>
      <c r="R1230" t="s">
        <v>3122</v>
      </c>
      <c r="S1230">
        <v>1120125512</v>
      </c>
    </row>
    <row r="1231" spans="1:19" x14ac:dyDescent="0.2">
      <c r="A1231" t="str">
        <f t="shared" ref="A1231:A1294" si="156">"Adult Nonfiction"</f>
        <v>Adult Nonfiction</v>
      </c>
      <c r="B1231" t="str">
        <f>"NEW 572.8 SUL"</f>
        <v>NEW 572.8 SUL</v>
      </c>
      <c r="C1231" t="str">
        <f>"Pleased to meet me: genes, germs, and the curious forces that make us who we are"</f>
        <v>Pleased to meet me: genes, germs, and the curious forces that make us who we are</v>
      </c>
      <c r="D1231">
        <v>356987</v>
      </c>
      <c r="E1231" t="str">
        <f>"Sullivan, Bill"</f>
        <v>Sullivan, Bill</v>
      </c>
      <c r="G1231" t="str">
        <f>"335 pages, 24 cm"</f>
        <v>335 pages, 24 cm</v>
      </c>
      <c r="H1231" s="1">
        <v>19</v>
      </c>
      <c r="I1231">
        <v>2019</v>
      </c>
      <c r="J1231" t="str">
        <f t="shared" si="155"/>
        <v>11: 500 - 599</v>
      </c>
      <c r="L1231" t="s">
        <v>2395</v>
      </c>
      <c r="M1231" t="s">
        <v>28</v>
      </c>
      <c r="N1231" t="s">
        <v>2404</v>
      </c>
      <c r="O1231">
        <v>6</v>
      </c>
      <c r="P1231" s="2">
        <v>43696</v>
      </c>
      <c r="Q1231" s="1">
        <v>31</v>
      </c>
      <c r="R1231" t="s">
        <v>3123</v>
      </c>
      <c r="S1231">
        <v>1110578625</v>
      </c>
    </row>
    <row r="1232" spans="1:19" x14ac:dyDescent="0.2">
      <c r="A1232" t="str">
        <f t="shared" si="156"/>
        <v>Adult Nonfiction</v>
      </c>
      <c r="B1232" t="str">
        <f>"NEW 576.8 WAL"</f>
        <v>NEW 576.8 WAL</v>
      </c>
      <c r="C1232" t="str">
        <f>"End times: a brief guide to the end of the world : asteroids, supervolcanoes, rogue robots, and more"</f>
        <v>End times: a brief guide to the end of the world : asteroids, supervolcanoes, rogue robots, and more</v>
      </c>
      <c r="D1232">
        <v>359016</v>
      </c>
      <c r="E1232" t="str">
        <f>"Walsh, Bryan"</f>
        <v>Walsh, Bryan</v>
      </c>
      <c r="G1232" t="str">
        <f>"406 pages, 24 cm"</f>
        <v>406 pages, 24 cm</v>
      </c>
      <c r="H1232" s="1">
        <v>19</v>
      </c>
      <c r="I1232">
        <v>2019</v>
      </c>
      <c r="J1232" t="str">
        <f t="shared" si="155"/>
        <v>11: 500 - 599</v>
      </c>
      <c r="L1232" t="s">
        <v>2395</v>
      </c>
      <c r="M1232" t="s">
        <v>28</v>
      </c>
      <c r="N1232" t="s">
        <v>2404</v>
      </c>
      <c r="O1232">
        <v>4</v>
      </c>
      <c r="P1232" s="2">
        <v>43776</v>
      </c>
      <c r="Q1232" s="1">
        <v>34</v>
      </c>
      <c r="R1232" t="s">
        <v>3124</v>
      </c>
      <c r="S1232">
        <v>1056779933</v>
      </c>
    </row>
    <row r="1233" spans="1:19" x14ac:dyDescent="0.2">
      <c r="A1233" t="str">
        <f t="shared" si="156"/>
        <v>Adult Nonfiction</v>
      </c>
      <c r="B1233" t="str">
        <f>"NEW 582.16 MEN"</f>
        <v>NEW 582.16 MEN</v>
      </c>
      <c r="C1233" t="str">
        <f>"The secret therapy of trees: harness the healing energy of forest bathing and natural landscapes"</f>
        <v>The secret therapy of trees: harness the healing energy of forest bathing and natural landscapes</v>
      </c>
      <c r="D1233">
        <v>357121</v>
      </c>
      <c r="E1233" t="str">
        <f>"Mencagli, Marco"</f>
        <v>Mencagli, Marco</v>
      </c>
      <c r="G1233" t="str">
        <f>"212 pages, 22 cm"</f>
        <v>212 pages, 22 cm</v>
      </c>
      <c r="H1233" s="1">
        <v>19</v>
      </c>
      <c r="I1233">
        <v>2019</v>
      </c>
      <c r="J1233" t="str">
        <f t="shared" si="155"/>
        <v>11: 500 - 599</v>
      </c>
      <c r="L1233" t="s">
        <v>2395</v>
      </c>
      <c r="M1233" t="s">
        <v>28</v>
      </c>
      <c r="N1233" t="s">
        <v>2404</v>
      </c>
      <c r="O1233">
        <v>6</v>
      </c>
      <c r="P1233" s="2">
        <v>43704</v>
      </c>
      <c r="Q1233" s="1">
        <v>25</v>
      </c>
      <c r="R1233" t="s">
        <v>3125</v>
      </c>
      <c r="S1233">
        <v>1080553710</v>
      </c>
    </row>
    <row r="1234" spans="1:19" x14ac:dyDescent="0.2">
      <c r="A1234" t="str">
        <f t="shared" si="156"/>
        <v>Adult Nonfiction</v>
      </c>
      <c r="B1234" t="str">
        <f>"NEW 590 LOU"</f>
        <v>NEW 590 LOU</v>
      </c>
      <c r="C1234" t="str">
        <f>"Our wild calling: how connecting with animals can transform our lives--and save theirs"</f>
        <v>Our wild calling: how connecting with animals can transform our lives--and save theirs</v>
      </c>
      <c r="D1234">
        <v>359045</v>
      </c>
      <c r="E1234" t="str">
        <f>"Louv, Richard"</f>
        <v>Louv, Richard</v>
      </c>
      <c r="G1234" t="str">
        <f>"308 p., 24 cm, illustrations"</f>
        <v>308 p., 24 cm, illustrations</v>
      </c>
      <c r="H1234" s="1">
        <v>19</v>
      </c>
      <c r="I1234">
        <v>2019</v>
      </c>
      <c r="J1234" t="str">
        <f>"12: 600 - 699"</f>
        <v>12: 600 - 699</v>
      </c>
      <c r="L1234" t="s">
        <v>2403</v>
      </c>
      <c r="M1234" t="s">
        <v>28</v>
      </c>
      <c r="N1234" t="s">
        <v>2404</v>
      </c>
      <c r="O1234">
        <v>3</v>
      </c>
      <c r="P1234" s="2">
        <v>43776</v>
      </c>
      <c r="Q1234" s="1">
        <v>33</v>
      </c>
      <c r="R1234" t="s">
        <v>3126</v>
      </c>
      <c r="S1234">
        <v>1104854500</v>
      </c>
    </row>
    <row r="1235" spans="1:19" x14ac:dyDescent="0.2">
      <c r="A1235" t="str">
        <f t="shared" si="156"/>
        <v>Adult Nonfiction</v>
      </c>
      <c r="B1235" t="str">
        <f>"NEW 590.73 MOH"</f>
        <v>NEW 590.73 MOH</v>
      </c>
      <c r="C1235" t="str">
        <f>"The zookeepers' war: an incredible true story from the Cold War"</f>
        <v>The zookeepers' war: an incredible true story from the Cold War</v>
      </c>
      <c r="D1235">
        <v>359231</v>
      </c>
      <c r="E1235" t="str">
        <f>"Mohnhaupt, Jan,"</f>
        <v>Mohnhaupt, Jan,</v>
      </c>
      <c r="G1235" t="str">
        <f>"261 pages, 8 unnumbered leaves of plates, 23 cm, illustrations"</f>
        <v>261 pages, 8 unnumbered leaves of plates, 23 cm, illustrations</v>
      </c>
      <c r="H1235" s="1">
        <v>19</v>
      </c>
      <c r="I1235">
        <v>2019</v>
      </c>
      <c r="J1235" t="str">
        <f>"11: 500 - 599"</f>
        <v>11: 500 - 599</v>
      </c>
      <c r="L1235" t="s">
        <v>2395</v>
      </c>
      <c r="M1235" t="s">
        <v>28</v>
      </c>
      <c r="N1235" t="s">
        <v>2404</v>
      </c>
      <c r="O1235">
        <v>3</v>
      </c>
      <c r="P1235" s="2">
        <v>43782</v>
      </c>
      <c r="Q1235" s="1">
        <v>31</v>
      </c>
      <c r="R1235" t="s">
        <v>3127</v>
      </c>
      <c r="S1235">
        <v>1085214676</v>
      </c>
    </row>
    <row r="1236" spans="1:19" x14ac:dyDescent="0.2">
      <c r="A1236" t="str">
        <f t="shared" si="156"/>
        <v>Adult Nonfiction</v>
      </c>
      <c r="B1236" t="str">
        <f>"NEW 595.77 WIN"</f>
        <v>NEW 595.77 WIN</v>
      </c>
      <c r="C1236" t="str">
        <f>"The mosquito: a human history of our deadliest predator"</f>
        <v>The mosquito: a human history of our deadliest predator</v>
      </c>
      <c r="D1236">
        <v>357110</v>
      </c>
      <c r="E1236" t="str">
        <f>"Winegard, Timothy C."</f>
        <v>Winegard, Timothy C.</v>
      </c>
      <c r="G1236" t="str">
        <f>"x, 485 pages, 24 cm, illustrations"</f>
        <v>x, 485 pages, 24 cm, illustrations</v>
      </c>
      <c r="H1236" s="1">
        <v>19</v>
      </c>
      <c r="I1236">
        <v>2019</v>
      </c>
      <c r="J1236" t="str">
        <f>"11: 500 - 599"</f>
        <v>11: 500 - 599</v>
      </c>
      <c r="L1236" t="s">
        <v>2395</v>
      </c>
      <c r="M1236" t="s">
        <v>28</v>
      </c>
      <c r="N1236" t="s">
        <v>2404</v>
      </c>
      <c r="O1236">
        <v>9</v>
      </c>
      <c r="P1236" s="2">
        <v>43704</v>
      </c>
      <c r="Q1236" s="1">
        <v>33</v>
      </c>
      <c r="R1236" t="s">
        <v>3128</v>
      </c>
      <c r="S1236">
        <v>1083228616</v>
      </c>
    </row>
    <row r="1237" spans="1:19" x14ac:dyDescent="0.2">
      <c r="A1237" t="str">
        <f t="shared" si="156"/>
        <v>Adult Nonfiction</v>
      </c>
      <c r="B1237" t="str">
        <f>"NEW 598.47 MCC"</f>
        <v>NEW 598.47 MCC</v>
      </c>
      <c r="C1237" t="str">
        <f>"My penguin year: life among the emperors"</f>
        <v>My penguin year: life among the emperors</v>
      </c>
      <c r="D1237">
        <v>360164</v>
      </c>
      <c r="E1237" t="str">
        <f>"McCrae, Lyndsay"</f>
        <v>McCrae, Lyndsay</v>
      </c>
      <c r="G1237" t="str">
        <f>"viii, 292 pages, 32 unnumbered pages of plates, 24 cm, color illustrations"</f>
        <v>viii, 292 pages, 32 unnumbered pages of plates, 24 cm, color illustrations</v>
      </c>
      <c r="H1237" s="1">
        <v>19</v>
      </c>
      <c r="I1237">
        <v>2019</v>
      </c>
      <c r="J1237" t="str">
        <f>"11: 500 - 599"</f>
        <v>11: 500 - 599</v>
      </c>
      <c r="L1237" t="s">
        <v>2395</v>
      </c>
      <c r="M1237" t="s">
        <v>28</v>
      </c>
      <c r="N1237" t="s">
        <v>2404</v>
      </c>
      <c r="O1237">
        <v>1</v>
      </c>
      <c r="P1237" s="2">
        <v>43833</v>
      </c>
      <c r="Q1237" s="1">
        <v>33</v>
      </c>
      <c r="R1237" t="s">
        <v>3129</v>
      </c>
      <c r="S1237">
        <v>1126650720</v>
      </c>
    </row>
    <row r="1238" spans="1:19" x14ac:dyDescent="0.2">
      <c r="A1238" t="str">
        <f t="shared" si="156"/>
        <v>Adult Nonfiction</v>
      </c>
      <c r="B1238" t="str">
        <f>"NEW 599.784 AND"</f>
        <v>NEW 599.784 AND</v>
      </c>
      <c r="C1238" t="str">
        <f>"Down from the mountain: the life and death of a grizzly bear"</f>
        <v>Down from the mountain: the life and death of a grizzly bear</v>
      </c>
      <c r="D1238">
        <v>359656</v>
      </c>
      <c r="E1238" t="str">
        <f>"Andrews, Bryce"</f>
        <v>Andrews, Bryce</v>
      </c>
      <c r="G1238" t="str">
        <f>"274 pages, 22 cm, illustrations"</f>
        <v>274 pages, 22 cm, illustrations</v>
      </c>
      <c r="H1238" s="1">
        <v>19</v>
      </c>
      <c r="I1238">
        <v>2019</v>
      </c>
      <c r="J1238" t="str">
        <f>"11: 500 - 599"</f>
        <v>11: 500 - 599</v>
      </c>
      <c r="L1238" t="s">
        <v>2395</v>
      </c>
      <c r="M1238" t="s">
        <v>28</v>
      </c>
      <c r="N1238" t="s">
        <v>2404</v>
      </c>
      <c r="O1238">
        <v>3</v>
      </c>
      <c r="P1238" s="2">
        <v>43804</v>
      </c>
      <c r="Q1238" s="1">
        <v>30</v>
      </c>
      <c r="R1238" t="s">
        <v>3130</v>
      </c>
      <c r="S1238">
        <v>1045469897</v>
      </c>
    </row>
    <row r="1239" spans="1:19" x14ac:dyDescent="0.2">
      <c r="A1239" t="str">
        <f t="shared" si="156"/>
        <v>Adult Nonfiction</v>
      </c>
      <c r="B1239" t="str">
        <f>"NEW 612 BRY"</f>
        <v>NEW 612 BRY</v>
      </c>
      <c r="C1239" t="str">
        <f>"The body: a guide for occupants"</f>
        <v>The body: a guide for occupants</v>
      </c>
      <c r="D1239">
        <v>358524</v>
      </c>
      <c r="E1239" t="str">
        <f>"Bryson, Bill"</f>
        <v>Bryson, Bill</v>
      </c>
      <c r="G1239" t="str">
        <f>"x, 450 pages, 25 cm, illustrations (some color)"</f>
        <v>x, 450 pages, 25 cm, illustrations (some color)</v>
      </c>
      <c r="H1239" s="1">
        <v>19</v>
      </c>
      <c r="I1239">
        <v>2019</v>
      </c>
      <c r="J1239" t="str">
        <f t="shared" ref="J1239:J1302" si="157">"12: 600 - 699"</f>
        <v>12: 600 - 699</v>
      </c>
      <c r="L1239" t="s">
        <v>2395</v>
      </c>
      <c r="M1239" t="s">
        <v>28</v>
      </c>
      <c r="N1239" t="s">
        <v>2404</v>
      </c>
      <c r="O1239">
        <v>6</v>
      </c>
      <c r="P1239" s="2">
        <v>43756</v>
      </c>
      <c r="Q1239" s="1">
        <v>35</v>
      </c>
      <c r="R1239" t="s">
        <v>2399</v>
      </c>
      <c r="S1239">
        <v>1089831545</v>
      </c>
    </row>
    <row r="1240" spans="1:19" x14ac:dyDescent="0.2">
      <c r="A1240" t="str">
        <f t="shared" si="156"/>
        <v>Adult Nonfiction</v>
      </c>
      <c r="B1240" t="str">
        <f>"NEW 612.6 JOR"</f>
        <v>NEW 612.6 JOR</v>
      </c>
      <c r="C1240" t="str">
        <f>"Testosterone: an unauthorized biography"</f>
        <v>Testosterone: an unauthorized biography</v>
      </c>
      <c r="D1240">
        <v>358469</v>
      </c>
      <c r="E1240" t="str">
        <f>"Jordan-Young, Rebecca M.,"</f>
        <v>Jordan-Young, Rebecca M.,</v>
      </c>
      <c r="G1240" t="str">
        <f>"pages cm"</f>
        <v>pages cm</v>
      </c>
      <c r="H1240" s="1">
        <v>19</v>
      </c>
      <c r="I1240">
        <v>2019</v>
      </c>
      <c r="J1240" t="str">
        <f t="shared" si="157"/>
        <v>12: 600 - 699</v>
      </c>
      <c r="L1240" t="s">
        <v>2395</v>
      </c>
      <c r="M1240" t="s">
        <v>28</v>
      </c>
      <c r="N1240" t="s">
        <v>2396</v>
      </c>
      <c r="O1240">
        <v>3</v>
      </c>
      <c r="P1240" s="2">
        <v>43753</v>
      </c>
      <c r="Q1240" s="1">
        <v>35</v>
      </c>
      <c r="R1240" t="s">
        <v>3131</v>
      </c>
      <c r="S1240">
        <v>1089998985</v>
      </c>
    </row>
    <row r="1241" spans="1:19" x14ac:dyDescent="0.2">
      <c r="A1241" t="str">
        <f t="shared" si="156"/>
        <v>Adult Nonfiction</v>
      </c>
      <c r="B1241" t="str">
        <f>"NEW 612.8 BRE"</f>
        <v>NEW 612.8 BRE</v>
      </c>
      <c r="C1241" t="str">
        <f>"100 days to a younger brain: maximize your memory, boost your brain health and defy dementia"</f>
        <v>100 days to a younger brain: maximize your memory, boost your brain health and defy dementia</v>
      </c>
      <c r="D1241">
        <v>360205</v>
      </c>
      <c r="E1241" t="str">
        <f>"Brennan, Sabina,"</f>
        <v>Brennan, Sabina,</v>
      </c>
      <c r="G1241" t="str">
        <f>"298 pages"</f>
        <v>298 pages</v>
      </c>
      <c r="H1241" s="1">
        <v>19</v>
      </c>
      <c r="I1241">
        <v>2020</v>
      </c>
      <c r="J1241" t="str">
        <f t="shared" si="157"/>
        <v>12: 600 - 699</v>
      </c>
      <c r="L1241" t="s">
        <v>2395</v>
      </c>
      <c r="M1241" t="s">
        <v>28</v>
      </c>
      <c r="N1241" t="s">
        <v>2404</v>
      </c>
      <c r="O1241">
        <v>1</v>
      </c>
      <c r="P1241" s="2">
        <v>43844</v>
      </c>
      <c r="Q1241" s="1">
        <v>23</v>
      </c>
      <c r="R1241" t="s">
        <v>3132</v>
      </c>
      <c r="S1241">
        <v>1134608224</v>
      </c>
    </row>
    <row r="1242" spans="1:19" x14ac:dyDescent="0.2">
      <c r="A1242" t="str">
        <f t="shared" si="156"/>
        <v>Adult Nonfiction</v>
      </c>
      <c r="B1242" t="str">
        <f>"NEW 612.8 LEV"</f>
        <v>NEW 612.8 LEV</v>
      </c>
      <c r="C1242" t="str">
        <f>"Successful aging: a neuroscientist explores the power and potential of our lives"</f>
        <v>Successful aging: a neuroscientist explores the power and potential of our lives</v>
      </c>
      <c r="D1242">
        <v>360249</v>
      </c>
      <c r="E1242" t="str">
        <f>"Levitin, Daniel J."</f>
        <v>Levitin, Daniel J.</v>
      </c>
      <c r="G1242" t="str">
        <f>"xxv, 498 pages, 24 cm, illustrations"</f>
        <v>xxv, 498 pages, 24 cm, illustrations</v>
      </c>
      <c r="H1242" s="1">
        <v>19</v>
      </c>
      <c r="I1242">
        <v>2020</v>
      </c>
      <c r="J1242" t="str">
        <f t="shared" si="157"/>
        <v>12: 600 - 699</v>
      </c>
      <c r="L1242" t="s">
        <v>2403</v>
      </c>
      <c r="M1242" t="s">
        <v>28</v>
      </c>
      <c r="N1242" t="s">
        <v>2404</v>
      </c>
      <c r="O1242">
        <v>1</v>
      </c>
      <c r="P1242" s="2">
        <v>43844</v>
      </c>
      <c r="Q1242" s="1">
        <v>35</v>
      </c>
      <c r="R1242" t="s">
        <v>3133</v>
      </c>
      <c r="S1242">
        <v>1132231572</v>
      </c>
    </row>
    <row r="1243" spans="1:19" x14ac:dyDescent="0.2">
      <c r="A1243" t="str">
        <f t="shared" si="156"/>
        <v>Adult Nonfiction</v>
      </c>
      <c r="B1243" t="str">
        <f>"NEW 612.8 PER"</f>
        <v>NEW 612.8 PER</v>
      </c>
      <c r="C1243" t="str">
        <f>"Brain wash: detox your mind for clearing thinking, deeper relationships, and lasting happiness"</f>
        <v>Brain wash: detox your mind for clearing thinking, deeper relationships, and lasting happiness</v>
      </c>
      <c r="D1243">
        <v>360209</v>
      </c>
      <c r="E1243" t="str">
        <f>"Perlmutter, David,"</f>
        <v>Perlmutter, David,</v>
      </c>
      <c r="G1243" t="str">
        <f>"304 p."</f>
        <v>304 p.</v>
      </c>
      <c r="H1243" s="1">
        <v>19</v>
      </c>
      <c r="I1243">
        <v>2020</v>
      </c>
      <c r="J1243" t="str">
        <f t="shared" si="157"/>
        <v>12: 600 - 699</v>
      </c>
      <c r="L1243" t="s">
        <v>2403</v>
      </c>
      <c r="M1243" t="s">
        <v>28</v>
      </c>
      <c r="N1243" t="s">
        <v>2495</v>
      </c>
      <c r="O1243">
        <v>0</v>
      </c>
      <c r="P1243" s="2">
        <v>43844</v>
      </c>
      <c r="Q1243" s="1">
        <v>33</v>
      </c>
      <c r="R1243" t="s">
        <v>3134</v>
      </c>
      <c r="S1243">
        <v>1134764233</v>
      </c>
    </row>
    <row r="1244" spans="1:19" x14ac:dyDescent="0.2">
      <c r="A1244" t="str">
        <f t="shared" si="156"/>
        <v>Adult Nonfiction</v>
      </c>
      <c r="B1244" t="str">
        <f>"NEW 612.8 RIP"</f>
        <v>NEW 612.8 RIP</v>
      </c>
      <c r="C1244" t="str">
        <f>"Gender and our brains: how new neuroscience explodes the myths of the male and female minds"</f>
        <v>Gender and our brains: how new neuroscience explodes the myths of the male and female minds</v>
      </c>
      <c r="D1244">
        <v>357318</v>
      </c>
      <c r="E1244" t="str">
        <f>"Rippon, Gina"</f>
        <v>Rippon, Gina</v>
      </c>
      <c r="G1244" t="str">
        <f>"xxii, 424 pages, 25 cm, illustrations"</f>
        <v>xxii, 424 pages, 25 cm, illustrations</v>
      </c>
      <c r="H1244" s="1">
        <v>19</v>
      </c>
      <c r="I1244">
        <v>2019</v>
      </c>
      <c r="J1244" t="str">
        <f t="shared" si="157"/>
        <v>12: 600 - 699</v>
      </c>
      <c r="L1244" t="s">
        <v>2395</v>
      </c>
      <c r="M1244" t="s">
        <v>28</v>
      </c>
      <c r="N1244" t="s">
        <v>2404</v>
      </c>
      <c r="O1244">
        <v>5</v>
      </c>
      <c r="P1244" s="2">
        <v>43711</v>
      </c>
      <c r="Q1244" s="1">
        <v>35</v>
      </c>
      <c r="R1244" t="s">
        <v>3135</v>
      </c>
      <c r="S1244">
        <v>1083673666</v>
      </c>
    </row>
    <row r="1245" spans="1:19" x14ac:dyDescent="0.2">
      <c r="A1245" t="str">
        <f t="shared" si="156"/>
        <v>Adult Nonfiction</v>
      </c>
      <c r="B1245" t="str">
        <f>"NEW 613 ASP"</f>
        <v>NEW 613 ASP</v>
      </c>
      <c r="C1245" t="str">
        <f>"Super human: the bulletproof plan to age backward and maybe even live forever"</f>
        <v>Super human: the bulletproof plan to age backward and maybe even live forever</v>
      </c>
      <c r="D1245">
        <v>358567</v>
      </c>
      <c r="E1245" t="str">
        <f>"Asprey, Dave"</f>
        <v>Asprey, Dave</v>
      </c>
      <c r="G1245" t="str">
        <f>"266 p."</f>
        <v>266 p.</v>
      </c>
      <c r="H1245" s="1">
        <v>19</v>
      </c>
      <c r="I1245">
        <v>2019</v>
      </c>
      <c r="J1245" t="str">
        <f t="shared" si="157"/>
        <v>12: 600 - 699</v>
      </c>
      <c r="L1245" t="s">
        <v>2403</v>
      </c>
      <c r="M1245" t="s">
        <v>28</v>
      </c>
      <c r="N1245" t="s">
        <v>2404</v>
      </c>
      <c r="O1245">
        <v>3</v>
      </c>
      <c r="P1245" s="2">
        <v>43756</v>
      </c>
      <c r="Q1245" s="1">
        <v>34</v>
      </c>
      <c r="R1245" t="s">
        <v>3136</v>
      </c>
      <c r="S1245">
        <v>1121080174</v>
      </c>
    </row>
    <row r="1246" spans="1:19" x14ac:dyDescent="0.2">
      <c r="A1246" t="str">
        <f t="shared" si="156"/>
        <v>Adult Nonfiction</v>
      </c>
      <c r="B1246" t="str">
        <f>"NEW 613 BAR"</f>
        <v>NEW 613 BAR</v>
      </c>
      <c r="C1246" t="str">
        <f>"Smarter living: work, nest, invest, relate, thrive"</f>
        <v>Smarter living: work, nest, invest, relate, thrive</v>
      </c>
      <c r="D1246">
        <v>360247</v>
      </c>
      <c r="E1246" t="str">
        <f>"Barrow, Karen,"</f>
        <v>Barrow, Karen,</v>
      </c>
      <c r="G1246" t="str">
        <f>"224 p., 24 cm, color illustrations"</f>
        <v>224 p., 24 cm, color illustrations</v>
      </c>
      <c r="H1246" s="1">
        <v>19</v>
      </c>
      <c r="I1246">
        <v>2019</v>
      </c>
      <c r="J1246" t="str">
        <f t="shared" si="157"/>
        <v>12: 600 - 699</v>
      </c>
      <c r="L1246" t="s">
        <v>2395</v>
      </c>
      <c r="M1246" t="s">
        <v>28</v>
      </c>
      <c r="N1246" t="s">
        <v>2495</v>
      </c>
      <c r="O1246">
        <v>0</v>
      </c>
      <c r="P1246" s="2">
        <v>43844</v>
      </c>
      <c r="Q1246" s="1">
        <v>33</v>
      </c>
      <c r="R1246" t="s">
        <v>3137</v>
      </c>
      <c r="S1246">
        <v>1096465193</v>
      </c>
    </row>
    <row r="1247" spans="1:19" x14ac:dyDescent="0.2">
      <c r="A1247" t="str">
        <f t="shared" si="156"/>
        <v>Adult Nonfiction</v>
      </c>
      <c r="B1247" t="str">
        <f>"NEW 613 HAR"</f>
        <v>NEW 613 HAR</v>
      </c>
      <c r="C1247" t="str">
        <f>"The rabbit effect: live longer, happier, and healthier with the groundbreaking science of kindness"</f>
        <v>The rabbit effect: live longer, happier, and healthier with the groundbreaking science of kindness</v>
      </c>
      <c r="D1247">
        <v>357248</v>
      </c>
      <c r="E1247" t="str">
        <f>"Harding, Kelli"</f>
        <v>Harding, Kelli</v>
      </c>
      <c r="G1247" t="str">
        <f>"xxvi, 244 pages, 24 cm, illustrations"</f>
        <v>xxvi, 244 pages, 24 cm, illustrations</v>
      </c>
      <c r="H1247" s="1">
        <v>19</v>
      </c>
      <c r="I1247">
        <v>2019</v>
      </c>
      <c r="J1247" t="str">
        <f t="shared" si="157"/>
        <v>12: 600 - 699</v>
      </c>
      <c r="L1247" t="s">
        <v>2403</v>
      </c>
      <c r="M1247" t="s">
        <v>28</v>
      </c>
      <c r="N1247" t="s">
        <v>2404</v>
      </c>
      <c r="O1247">
        <v>7</v>
      </c>
      <c r="P1247" s="2">
        <v>43711</v>
      </c>
      <c r="Q1247" s="1">
        <v>32</v>
      </c>
      <c r="R1247" t="s">
        <v>3138</v>
      </c>
      <c r="S1247">
        <v>1079401487</v>
      </c>
    </row>
    <row r="1248" spans="1:19" x14ac:dyDescent="0.2">
      <c r="A1248" t="str">
        <f t="shared" si="156"/>
        <v>Adult Nonfiction</v>
      </c>
      <c r="B1248" t="str">
        <f>"NEW 613 LEE"</f>
        <v>NEW 613 LEE</v>
      </c>
      <c r="C1248" t="str">
        <f>"Healthy habits suck: how to get off the couch and live a healthy life... even if you don't want to"</f>
        <v>Healthy habits suck: how to get off the couch and live a healthy life... even if you don't want to</v>
      </c>
      <c r="D1248">
        <v>355906</v>
      </c>
      <c r="E1248" t="str">
        <f>"Lee-Baggley, Dayna."</f>
        <v>Lee-Baggley, Dayna.</v>
      </c>
      <c r="G1248" t="str">
        <f>"168 p."</f>
        <v>168 p.</v>
      </c>
      <c r="H1248" s="1">
        <v>19</v>
      </c>
      <c r="I1248">
        <v>2019</v>
      </c>
      <c r="J1248" t="str">
        <f t="shared" si="157"/>
        <v>12: 600 - 699</v>
      </c>
      <c r="L1248" t="s">
        <v>2403</v>
      </c>
      <c r="M1248" t="s">
        <v>28</v>
      </c>
      <c r="N1248" t="s">
        <v>2404</v>
      </c>
      <c r="O1248">
        <v>7</v>
      </c>
      <c r="P1248" s="2">
        <v>43647</v>
      </c>
      <c r="Q1248" s="1">
        <v>22</v>
      </c>
      <c r="R1248" t="s">
        <v>3139</v>
      </c>
      <c r="S1248">
        <v>1046481455</v>
      </c>
    </row>
    <row r="1249" spans="1:19" x14ac:dyDescent="0.2">
      <c r="A1249" t="str">
        <f t="shared" si="156"/>
        <v>Adult Nonfiction</v>
      </c>
      <c r="B1249" t="str">
        <f>"NEW 613.2 CLE"</f>
        <v>NEW 613.2 CLE</v>
      </c>
      <c r="C1249" t="str">
        <f>"The switch: ignite your metabolism with intermittent fasting, protein cycling, and keto"</f>
        <v>The switch: ignite your metabolism with intermittent fasting, protein cycling, and keto</v>
      </c>
      <c r="D1249">
        <v>360178</v>
      </c>
      <c r="E1249" t="str">
        <f>"Clement, James W.,"</f>
        <v>Clement, James W.,</v>
      </c>
      <c r="G1249" t="str">
        <f>"xiii, 305 pages, 24 cm, illustrations"</f>
        <v>xiii, 305 pages, 24 cm, illustrations</v>
      </c>
      <c r="H1249" s="1">
        <v>19</v>
      </c>
      <c r="I1249">
        <v>2019</v>
      </c>
      <c r="J1249" t="str">
        <f t="shared" si="157"/>
        <v>12: 600 - 699</v>
      </c>
      <c r="L1249" t="s">
        <v>2395</v>
      </c>
      <c r="M1249" t="s">
        <v>28</v>
      </c>
      <c r="N1249" t="s">
        <v>2495</v>
      </c>
      <c r="O1249">
        <v>0</v>
      </c>
      <c r="P1249" s="2">
        <v>43833</v>
      </c>
      <c r="Q1249" s="1">
        <v>32</v>
      </c>
      <c r="R1249" t="s">
        <v>3140</v>
      </c>
      <c r="S1249">
        <v>1123182292</v>
      </c>
    </row>
    <row r="1250" spans="1:19" x14ac:dyDescent="0.2">
      <c r="A1250" t="str">
        <f t="shared" si="156"/>
        <v>Adult Nonfiction</v>
      </c>
      <c r="B1250" t="str">
        <f>"NEW 613.2 DOW"</f>
        <v>NEW 613.2 DOW</v>
      </c>
      <c r="C1250" t="str">
        <f>"The sugar brain fix: the 28-day plan to quit craving the foods that are shrinking your brain and expanding your waistline"</f>
        <v>The sugar brain fix: the 28-day plan to quit craving the foods that are shrinking your brain and expanding your waistline</v>
      </c>
      <c r="D1250">
        <v>360638</v>
      </c>
      <c r="E1250" t="str">
        <f>"Dow, Mike."</f>
        <v>Dow, Mike.</v>
      </c>
      <c r="G1250" t="str">
        <f>"xviii, 337 pages, 24 cm, illustrations"</f>
        <v>xviii, 337 pages, 24 cm, illustrations</v>
      </c>
      <c r="H1250" s="1">
        <v>20</v>
      </c>
      <c r="I1250">
        <v>2020</v>
      </c>
      <c r="J1250" t="str">
        <f t="shared" si="157"/>
        <v>12: 600 - 699</v>
      </c>
      <c r="L1250" t="s">
        <v>2395</v>
      </c>
      <c r="M1250" t="s">
        <v>28</v>
      </c>
      <c r="N1250" t="s">
        <v>2495</v>
      </c>
      <c r="O1250">
        <v>0</v>
      </c>
      <c r="P1250" s="2">
        <v>43859</v>
      </c>
      <c r="Q1250" s="1">
        <v>32</v>
      </c>
      <c r="R1250" t="s">
        <v>3141</v>
      </c>
      <c r="S1250">
        <v>1097574852</v>
      </c>
    </row>
    <row r="1251" spans="1:19" x14ac:dyDescent="0.2">
      <c r="A1251" t="str">
        <f t="shared" si="156"/>
        <v>Adult Nonfiction</v>
      </c>
      <c r="B1251" t="str">
        <f>"NEW 613.2 SIN"</f>
        <v>NEW 613.2 SIN</v>
      </c>
      <c r="C1251" t="str">
        <f>"Lifespan: why we age--and why we don't have to"</f>
        <v>Lifespan: why we age--and why we don't have to</v>
      </c>
      <c r="D1251">
        <v>358824</v>
      </c>
      <c r="E1251" t="str">
        <f>"Sinclair, David A"</f>
        <v>Sinclair, David A</v>
      </c>
      <c r="G1251" t="str">
        <f>"xxiii, 406 pages, 24 cm, illustrations"</f>
        <v>xxiii, 406 pages, 24 cm, illustrations</v>
      </c>
      <c r="H1251" s="1">
        <v>19</v>
      </c>
      <c r="I1251">
        <v>2019</v>
      </c>
      <c r="J1251" t="str">
        <f t="shared" si="157"/>
        <v>12: 600 - 699</v>
      </c>
      <c r="L1251" t="s">
        <v>2395</v>
      </c>
      <c r="M1251" t="s">
        <v>28</v>
      </c>
      <c r="N1251" t="s">
        <v>2404</v>
      </c>
      <c r="O1251">
        <v>6</v>
      </c>
      <c r="P1251" s="2">
        <v>43766</v>
      </c>
      <c r="Q1251" s="1">
        <v>33</v>
      </c>
      <c r="R1251" t="s">
        <v>3142</v>
      </c>
      <c r="S1251">
        <v>1088652276</v>
      </c>
    </row>
    <row r="1252" spans="1:19" x14ac:dyDescent="0.2">
      <c r="A1252" t="str">
        <f t="shared" si="156"/>
        <v>Adult Nonfiction</v>
      </c>
      <c r="B1252" t="str">
        <f>"NEW 613.2 YEO"</f>
        <v>NEW 613.2 YEO</v>
      </c>
      <c r="C1252" t="str">
        <f>"Gene eating: the science of obesity and the truth about dieting"</f>
        <v>Gene eating: the science of obesity and the truth about dieting</v>
      </c>
      <c r="D1252">
        <v>359663</v>
      </c>
      <c r="E1252" t="str">
        <f>"Yeo, Giles"</f>
        <v>Yeo, Giles</v>
      </c>
      <c r="G1252" t="str">
        <f>"xv, 352 pages, 24 cm, illustrations"</f>
        <v>xv, 352 pages, 24 cm, illustrations</v>
      </c>
      <c r="H1252" s="1">
        <v>19</v>
      </c>
      <c r="I1252">
        <v>2019</v>
      </c>
      <c r="J1252" t="str">
        <f t="shared" si="157"/>
        <v>12: 600 - 699</v>
      </c>
      <c r="L1252" t="s">
        <v>2395</v>
      </c>
      <c r="M1252" t="s">
        <v>28</v>
      </c>
      <c r="N1252" t="s">
        <v>2404</v>
      </c>
      <c r="O1252">
        <v>2</v>
      </c>
      <c r="P1252" s="2">
        <v>43804</v>
      </c>
      <c r="Q1252" s="1">
        <v>33</v>
      </c>
      <c r="R1252" t="s">
        <v>3143</v>
      </c>
      <c r="S1252">
        <v>1053993049</v>
      </c>
    </row>
    <row r="1253" spans="1:19" x14ac:dyDescent="0.2">
      <c r="A1253" t="str">
        <f t="shared" si="156"/>
        <v>Adult Nonfiction</v>
      </c>
      <c r="B1253" t="str">
        <f>"NEW 613.6 STA"</f>
        <v>NEW 613.6 STA</v>
      </c>
      <c r="C1253" t="str">
        <f>"Prepared not scared: your go-to guide for staying safe in an unsafe world"</f>
        <v>Prepared not scared: your go-to guide for staying safe in an unsafe world</v>
      </c>
      <c r="D1253">
        <v>408298</v>
      </c>
      <c r="E1253" t="str">
        <f>"Stanton, Bill"</f>
        <v>Stanton, Bill</v>
      </c>
      <c r="G1253" t="str">
        <f>"303 pages, 25 cm, illustration"</f>
        <v>303 pages, 25 cm, illustration</v>
      </c>
      <c r="H1253" s="1">
        <v>19</v>
      </c>
      <c r="I1253">
        <v>2019</v>
      </c>
      <c r="J1253" t="str">
        <f t="shared" si="157"/>
        <v>12: 600 - 699</v>
      </c>
      <c r="L1253" t="s">
        <v>2403</v>
      </c>
      <c r="M1253" t="s">
        <v>28</v>
      </c>
      <c r="N1253" t="s">
        <v>2396</v>
      </c>
      <c r="O1253">
        <v>3</v>
      </c>
      <c r="P1253" s="2">
        <v>43767</v>
      </c>
      <c r="Q1253" s="1">
        <v>26</v>
      </c>
      <c r="R1253" t="s">
        <v>3144</v>
      </c>
      <c r="S1253">
        <v>1083705026</v>
      </c>
    </row>
    <row r="1254" spans="1:19" x14ac:dyDescent="0.2">
      <c r="A1254" t="str">
        <f t="shared" si="156"/>
        <v>Adult Nonfiction</v>
      </c>
      <c r="B1254" t="str">
        <f>"NEW 613.7 MCG"</f>
        <v>NEW 613.7 MCG</v>
      </c>
      <c r="C1254" t="str">
        <f>"Grit &amp; grace: train the mind, train the body, own your life"</f>
        <v>Grit &amp; grace: train the mind, train the body, own your life</v>
      </c>
      <c r="D1254">
        <v>359558</v>
      </c>
      <c r="E1254" t="str">
        <f>"McGraw, Tim"</f>
        <v>McGraw, Tim</v>
      </c>
      <c r="G1254" t="str">
        <f>"xi, 287 pages, 24 cm, illustrations (some color)"</f>
        <v>xi, 287 pages, 24 cm, illustrations (some color)</v>
      </c>
      <c r="H1254" s="1">
        <v>19</v>
      </c>
      <c r="I1254">
        <v>2019</v>
      </c>
      <c r="J1254" t="str">
        <f t="shared" si="157"/>
        <v>12: 600 - 699</v>
      </c>
      <c r="L1254" t="s">
        <v>2395</v>
      </c>
      <c r="M1254" t="s">
        <v>28</v>
      </c>
      <c r="N1254" t="s">
        <v>2404</v>
      </c>
      <c r="O1254">
        <v>3</v>
      </c>
      <c r="P1254" s="2">
        <v>43802</v>
      </c>
      <c r="Q1254" s="1">
        <v>35</v>
      </c>
      <c r="R1254" t="s">
        <v>3145</v>
      </c>
      <c r="S1254">
        <v>1110919418</v>
      </c>
    </row>
    <row r="1255" spans="1:19" x14ac:dyDescent="0.2">
      <c r="A1255" t="str">
        <f t="shared" si="156"/>
        <v>Adult Nonfiction</v>
      </c>
      <c r="B1255" t="str">
        <f>"NEW 613.9 HIL"</f>
        <v>NEW 613.9 HIL</v>
      </c>
      <c r="C1255" t="str">
        <f>"This is your brain on birth control: the surprising science of sex, women, hormones, and the law of unintended consequences"</f>
        <v>This is your brain on birth control: the surprising science of sex, women, hormones, and the law of unintended consequences</v>
      </c>
      <c r="D1255">
        <v>358569</v>
      </c>
      <c r="E1255" t="str">
        <f>"Hill, Sarah E."</f>
        <v>Hill, Sarah E.</v>
      </c>
      <c r="G1255" t="str">
        <f>"249 p."</f>
        <v>249 p.</v>
      </c>
      <c r="H1255" s="1">
        <v>19</v>
      </c>
      <c r="I1255">
        <v>2019</v>
      </c>
      <c r="J1255" t="str">
        <f t="shared" si="157"/>
        <v>12: 600 - 699</v>
      </c>
      <c r="L1255" t="s">
        <v>2395</v>
      </c>
      <c r="M1255" t="s">
        <v>28</v>
      </c>
      <c r="N1255" t="s">
        <v>2404</v>
      </c>
      <c r="O1255">
        <v>2</v>
      </c>
      <c r="P1255" s="2">
        <v>43756</v>
      </c>
      <c r="Q1255" s="1">
        <v>32</v>
      </c>
      <c r="R1255" t="s">
        <v>3146</v>
      </c>
      <c r="S1255">
        <v>1120105880</v>
      </c>
    </row>
    <row r="1256" spans="1:19" x14ac:dyDescent="0.2">
      <c r="A1256" t="str">
        <f t="shared" si="156"/>
        <v>Adult Nonfiction</v>
      </c>
      <c r="B1256" t="str">
        <f>"NEW 614.4 SNO"</f>
        <v>NEW 614.4 SNO</v>
      </c>
      <c r="C1256" t="str">
        <f>"Epidemics and society: from the Black Death to the present"</f>
        <v>Epidemics and society: from the Black Death to the present</v>
      </c>
      <c r="D1256">
        <v>408679</v>
      </c>
      <c r="E1256" t="str">
        <f>"Snowden, Frank M."</f>
        <v>Snowden, Frank M.</v>
      </c>
      <c r="G1256" t="str">
        <f>"xiii, 582 pages, 25 cm"</f>
        <v>xiii, 582 pages, 25 cm</v>
      </c>
      <c r="H1256" s="1">
        <v>19</v>
      </c>
      <c r="I1256">
        <v>2019</v>
      </c>
      <c r="J1256" t="str">
        <f t="shared" si="157"/>
        <v>12: 600 - 699</v>
      </c>
      <c r="L1256" t="s">
        <v>2395</v>
      </c>
      <c r="M1256" t="s">
        <v>28</v>
      </c>
      <c r="N1256" t="str">
        <f>"Reserve Cart"</f>
        <v>Reserve Cart</v>
      </c>
      <c r="O1256">
        <v>0</v>
      </c>
      <c r="P1256" s="2">
        <v>43844</v>
      </c>
      <c r="Q1256" s="1">
        <v>45</v>
      </c>
      <c r="R1256" t="s">
        <v>3147</v>
      </c>
      <c r="S1256">
        <v>1090007126</v>
      </c>
    </row>
    <row r="1257" spans="1:19" x14ac:dyDescent="0.2">
      <c r="A1257" t="str">
        <f t="shared" si="156"/>
        <v>Adult Nonfiction</v>
      </c>
      <c r="B1257" t="str">
        <f>"NEW 614.5 PRE"</f>
        <v>NEW 614.5 PRE</v>
      </c>
      <c r="C1257" t="str">
        <f>"Crisis in the red zone: the story of the deadliest Ebola outbreak in history, and of the outbreaks to come"</f>
        <v>Crisis in the red zone: the story of the deadliest Ebola outbreak in history, and of the outbreaks to come</v>
      </c>
      <c r="D1257">
        <v>356971</v>
      </c>
      <c r="E1257" t="str">
        <f>"Preston, Richard"</f>
        <v>Preston, Richard</v>
      </c>
      <c r="G1257" t="str">
        <f>"375 pages, 24 cm"</f>
        <v>375 pages, 24 cm</v>
      </c>
      <c r="H1257" s="1">
        <v>19</v>
      </c>
      <c r="I1257">
        <v>2019</v>
      </c>
      <c r="J1257" t="str">
        <f t="shared" si="157"/>
        <v>12: 600 - 699</v>
      </c>
      <c r="L1257" t="s">
        <v>2395</v>
      </c>
      <c r="M1257" t="s">
        <v>28</v>
      </c>
      <c r="N1257" t="s">
        <v>2404</v>
      </c>
      <c r="O1257">
        <v>5</v>
      </c>
      <c r="P1257" s="2">
        <v>43696</v>
      </c>
      <c r="Q1257" s="1">
        <v>33</v>
      </c>
      <c r="R1257" t="s">
        <v>3148</v>
      </c>
      <c r="S1257">
        <v>1743091</v>
      </c>
    </row>
    <row r="1258" spans="1:19" x14ac:dyDescent="0.2">
      <c r="A1258" t="str">
        <f t="shared" si="156"/>
        <v>Adult Nonfiction</v>
      </c>
      <c r="B1258" t="str">
        <f>"NEW 615 BLA"</f>
        <v>NEW 615 BLA</v>
      </c>
      <c r="C1258" t="str">
        <f>"Wild beauty: wisdom &amp; recipes for natural self-care"</f>
        <v>Wild beauty: wisdom &amp; recipes for natural self-care</v>
      </c>
      <c r="D1258">
        <v>359400</v>
      </c>
      <c r="E1258" t="str">
        <f>"Blankenship, Jana,"</f>
        <v>Blankenship, Jana,</v>
      </c>
      <c r="G1258" t="str">
        <f>"159 p."</f>
        <v>159 p.</v>
      </c>
      <c r="H1258" s="1">
        <v>19</v>
      </c>
      <c r="I1258">
        <v>2018</v>
      </c>
      <c r="J1258" t="str">
        <f t="shared" si="157"/>
        <v>12: 600 - 699</v>
      </c>
      <c r="L1258" t="s">
        <v>2403</v>
      </c>
      <c r="M1258" t="s">
        <v>28</v>
      </c>
      <c r="N1258" t="s">
        <v>2404</v>
      </c>
      <c r="O1258">
        <v>4</v>
      </c>
      <c r="P1258" s="2">
        <v>43788</v>
      </c>
      <c r="Q1258" s="1">
        <v>23</v>
      </c>
      <c r="R1258" t="s">
        <v>3149</v>
      </c>
    </row>
    <row r="1259" spans="1:19" x14ac:dyDescent="0.2">
      <c r="A1259" t="str">
        <f t="shared" si="156"/>
        <v>Adult Nonfiction</v>
      </c>
      <c r="B1259" t="str">
        <f>"NEW 615.1 WES"</f>
        <v>NEW 615.1 WES</v>
      </c>
      <c r="C1259" t="str">
        <f>"Fentanyl Inc.: how rogue chemists are creating the deadliest wave of the opioid epidemic"</f>
        <v>Fentanyl Inc.: how rogue chemists are creating the deadliest wave of the opioid epidemic</v>
      </c>
      <c r="D1259">
        <v>357502</v>
      </c>
      <c r="E1259" t="str">
        <f>"Westhoff, Ben,"</f>
        <v>Westhoff, Ben,</v>
      </c>
      <c r="G1259" t="str">
        <f>"viii, 341 p., 24 cm"</f>
        <v>viii, 341 p., 24 cm</v>
      </c>
      <c r="H1259" s="1">
        <v>19</v>
      </c>
      <c r="I1259">
        <v>2019</v>
      </c>
      <c r="J1259" t="str">
        <f t="shared" si="157"/>
        <v>12: 600 - 699</v>
      </c>
      <c r="L1259" t="s">
        <v>2403</v>
      </c>
      <c r="M1259" t="s">
        <v>28</v>
      </c>
      <c r="N1259" t="s">
        <v>2396</v>
      </c>
      <c r="O1259">
        <v>4</v>
      </c>
      <c r="P1259" s="2">
        <v>43719</v>
      </c>
      <c r="Q1259" s="1">
        <v>32</v>
      </c>
      <c r="R1259" t="s">
        <v>3150</v>
      </c>
      <c r="S1259">
        <v>1107423053</v>
      </c>
    </row>
    <row r="1260" spans="1:19" x14ac:dyDescent="0.2">
      <c r="A1260" t="str">
        <f t="shared" si="156"/>
        <v>Adult Nonfiction</v>
      </c>
      <c r="B1260" t="str">
        <f>"NEW 615.5 MIC"</f>
        <v>NEW 615.5 MIC</v>
      </c>
      <c r="C1260" t="str">
        <f>"The nature cure: a doctor's guide to the science of natural medicine"</f>
        <v>The nature cure: a doctor's guide to the science of natural medicine</v>
      </c>
      <c r="D1260">
        <v>357111</v>
      </c>
      <c r="E1260" t="str">
        <f>"Michalsen, Andreas,"</f>
        <v>Michalsen, Andreas,</v>
      </c>
      <c r="G1260" t="str">
        <f>"xix, 330 p., 24 cm"</f>
        <v>xix, 330 p., 24 cm</v>
      </c>
      <c r="H1260" s="1">
        <v>19</v>
      </c>
      <c r="I1260">
        <v>2019</v>
      </c>
      <c r="J1260" t="str">
        <f t="shared" si="157"/>
        <v>12: 600 - 699</v>
      </c>
      <c r="L1260" t="s">
        <v>2395</v>
      </c>
      <c r="M1260" t="s">
        <v>28</v>
      </c>
      <c r="N1260" t="s">
        <v>2404</v>
      </c>
      <c r="O1260">
        <v>3</v>
      </c>
      <c r="P1260" s="2">
        <v>43704</v>
      </c>
      <c r="Q1260" s="1">
        <v>33</v>
      </c>
      <c r="R1260" t="s">
        <v>3151</v>
      </c>
      <c r="S1260">
        <v>1057852841</v>
      </c>
    </row>
    <row r="1261" spans="1:19" x14ac:dyDescent="0.2">
      <c r="A1261" t="str">
        <f t="shared" si="156"/>
        <v>Adult Nonfiction</v>
      </c>
      <c r="B1261" t="str">
        <f>"NEW 616 GUT"</f>
        <v>NEW 616 GUT</v>
      </c>
      <c r="C1261" t="str">
        <f>"Everybody wants to go to heaven but nobody wants to die: bioethics and the transformation of health care in America"</f>
        <v>Everybody wants to go to heaven but nobody wants to die: bioethics and the transformation of health care in America</v>
      </c>
      <c r="D1261">
        <v>357325</v>
      </c>
      <c r="E1261" t="str">
        <f>"Gutmann, Amy"</f>
        <v>Gutmann, Amy</v>
      </c>
      <c r="G1261" t="str">
        <f>"336 pages, 25 cm"</f>
        <v>336 pages, 25 cm</v>
      </c>
      <c r="H1261" s="1">
        <v>19</v>
      </c>
      <c r="I1261">
        <v>2019</v>
      </c>
      <c r="J1261" t="str">
        <f t="shared" si="157"/>
        <v>12: 600 - 699</v>
      </c>
      <c r="L1261" t="s">
        <v>2395</v>
      </c>
      <c r="M1261" t="s">
        <v>28</v>
      </c>
      <c r="N1261" t="s">
        <v>2396</v>
      </c>
      <c r="O1261">
        <v>4</v>
      </c>
      <c r="P1261" s="2">
        <v>43711</v>
      </c>
      <c r="Q1261" s="1">
        <v>33</v>
      </c>
      <c r="R1261" t="s">
        <v>3152</v>
      </c>
      <c r="S1261">
        <v>1104214563</v>
      </c>
    </row>
    <row r="1262" spans="1:19" x14ac:dyDescent="0.2">
      <c r="A1262" t="str">
        <f t="shared" si="156"/>
        <v>Adult Nonfiction</v>
      </c>
      <c r="B1262" t="str">
        <f>"NEW 616.86 WHI"</f>
        <v>NEW 616.86 WHI</v>
      </c>
      <c r="C1262" t="str">
        <f>"Quit like a woman: the radical choice to not drink in a culture obsessed with alcohol"</f>
        <v>Quit like a woman: the radical choice to not drink in a culture obsessed with alcohol</v>
      </c>
      <c r="D1262">
        <v>360173</v>
      </c>
      <c r="E1262" t="str">
        <f>"Whitaker, Holly"</f>
        <v>Whitaker, Holly</v>
      </c>
      <c r="G1262" t="str">
        <f>"351 pages, 22 cm, illustrations"</f>
        <v>351 pages, 22 cm, illustrations</v>
      </c>
      <c r="H1262" s="1">
        <v>19</v>
      </c>
      <c r="I1262">
        <v>2019</v>
      </c>
      <c r="J1262" t="str">
        <f t="shared" si="157"/>
        <v>12: 600 - 699</v>
      </c>
      <c r="L1262" t="s">
        <v>2395</v>
      </c>
      <c r="M1262" t="s">
        <v>28</v>
      </c>
      <c r="N1262" t="s">
        <v>2396</v>
      </c>
      <c r="O1262">
        <v>1</v>
      </c>
      <c r="P1262" s="2">
        <v>43833</v>
      </c>
      <c r="Q1262" s="1">
        <v>33</v>
      </c>
      <c r="R1262" t="s">
        <v>3153</v>
      </c>
      <c r="S1262">
        <v>1110680545</v>
      </c>
    </row>
    <row r="1263" spans="1:19" x14ac:dyDescent="0.2">
      <c r="A1263" t="str">
        <f t="shared" si="156"/>
        <v>Adult Nonfiction</v>
      </c>
      <c r="B1263" t="str">
        <f>"NEW 616.89 BRO"</f>
        <v>NEW 616.89 BRO</v>
      </c>
      <c r="C1263" t="str">
        <f>"Own your self: the surprising path beyond depression, anxiety, and fatigue to reclaiming your authenticity, vitality, and freedom"</f>
        <v>Own your self: the surprising path beyond depression, anxiety, and fatigue to reclaiming your authenticity, vitality, and freedom</v>
      </c>
      <c r="D1263">
        <v>358335</v>
      </c>
      <c r="E1263" t="str">
        <f>"Brogan, Kelly."</f>
        <v>Brogan, Kelly.</v>
      </c>
      <c r="G1263" t="str">
        <f>"xv, 327 pages, 24 cm"</f>
        <v>xv, 327 pages, 24 cm</v>
      </c>
      <c r="H1263" s="1">
        <v>19</v>
      </c>
      <c r="I1263">
        <v>2019</v>
      </c>
      <c r="J1263" t="str">
        <f t="shared" si="157"/>
        <v>12: 600 - 699</v>
      </c>
      <c r="L1263" t="s">
        <v>2395</v>
      </c>
      <c r="M1263" t="s">
        <v>28</v>
      </c>
      <c r="N1263" t="s">
        <v>2404</v>
      </c>
      <c r="O1263">
        <v>3</v>
      </c>
      <c r="P1263" s="2">
        <v>43749</v>
      </c>
      <c r="Q1263" s="1">
        <v>32</v>
      </c>
      <c r="R1263" t="s">
        <v>3154</v>
      </c>
      <c r="S1263">
        <v>1104854678</v>
      </c>
    </row>
    <row r="1264" spans="1:19" x14ac:dyDescent="0.2">
      <c r="A1264" t="str">
        <f t="shared" si="156"/>
        <v>Adult Nonfiction</v>
      </c>
      <c r="B1264" t="str">
        <f>"NEW 616.89 CAH"</f>
        <v>NEW 616.89 CAH</v>
      </c>
      <c r="C1264" t="str">
        <f>"The great pretender: the undercover mission that changed our understanding of madness"</f>
        <v>The great pretender: the undercover mission that changed our understanding of madness</v>
      </c>
      <c r="D1264">
        <v>359191</v>
      </c>
      <c r="E1264" t="str">
        <f>"Cahalan, Susannah."</f>
        <v>Cahalan, Susannah.</v>
      </c>
      <c r="G1264" t="str">
        <f>"xiii, 382 pages, 24 cm"</f>
        <v>xiii, 382 pages, 24 cm</v>
      </c>
      <c r="H1264" s="1">
        <v>19</v>
      </c>
      <c r="I1264">
        <v>2019</v>
      </c>
      <c r="J1264" t="str">
        <f t="shared" si="157"/>
        <v>12: 600 - 699</v>
      </c>
      <c r="L1264" t="s">
        <v>2395</v>
      </c>
      <c r="M1264" t="s">
        <v>28</v>
      </c>
      <c r="N1264" t="s">
        <v>2404</v>
      </c>
      <c r="O1264">
        <v>3</v>
      </c>
      <c r="P1264" s="2">
        <v>43782</v>
      </c>
      <c r="Q1264" s="1">
        <v>33</v>
      </c>
      <c r="R1264" t="s">
        <v>3155</v>
      </c>
      <c r="S1264">
        <v>1089573419</v>
      </c>
    </row>
    <row r="1265" spans="1:19" x14ac:dyDescent="0.2">
      <c r="A1265" t="str">
        <f t="shared" si="156"/>
        <v>Adult Nonfiction</v>
      </c>
      <c r="B1265" t="str">
        <f>"NEW 616.99 RAZ"</f>
        <v>NEW 616.99 RAZ</v>
      </c>
      <c r="C1265" t="str">
        <f>"The first cell: and the human costs of pursuing cancer to the last"</f>
        <v>The first cell: and the human costs of pursuing cancer to the last</v>
      </c>
      <c r="D1265">
        <v>358309</v>
      </c>
      <c r="E1265" t="str">
        <f>"Raza, Azra"</f>
        <v>Raza, Azra</v>
      </c>
      <c r="G1265" t="str">
        <f>"290 p."</f>
        <v>290 p.</v>
      </c>
      <c r="H1265" s="1">
        <v>19</v>
      </c>
      <c r="I1265">
        <v>2019</v>
      </c>
      <c r="J1265" t="str">
        <f t="shared" si="157"/>
        <v>12: 600 - 699</v>
      </c>
      <c r="L1265" t="s">
        <v>2403</v>
      </c>
      <c r="M1265" t="s">
        <v>28</v>
      </c>
      <c r="N1265" t="s">
        <v>2404</v>
      </c>
      <c r="O1265">
        <v>4</v>
      </c>
      <c r="P1265" s="2">
        <v>43749</v>
      </c>
      <c r="Q1265" s="1">
        <v>33</v>
      </c>
      <c r="R1265" t="s">
        <v>3156</v>
      </c>
      <c r="S1265">
        <v>1082242119</v>
      </c>
    </row>
    <row r="1266" spans="1:19" x14ac:dyDescent="0.2">
      <c r="A1266" t="str">
        <f t="shared" si="156"/>
        <v>Adult Nonfiction</v>
      </c>
      <c r="B1266" t="str">
        <f>"NEW 616.991 PIC"</f>
        <v>NEW 616.991 PIC</v>
      </c>
      <c r="C1266" t="str">
        <f>"Radical: the science, culture, and history of breast cancer in America"</f>
        <v>Radical: the science, culture, and history of breast cancer in America</v>
      </c>
      <c r="D1266">
        <v>358341</v>
      </c>
      <c r="E1266" t="str">
        <f>"Pickert, Kate"</f>
        <v>Pickert, Kate</v>
      </c>
      <c r="G1266" t="str">
        <f>"325 pages, 25 cm"</f>
        <v>325 pages, 25 cm</v>
      </c>
      <c r="H1266" s="1">
        <v>19</v>
      </c>
      <c r="I1266">
        <v>2019</v>
      </c>
      <c r="J1266" t="str">
        <f t="shared" si="157"/>
        <v>12: 600 - 699</v>
      </c>
      <c r="L1266" t="s">
        <v>2403</v>
      </c>
      <c r="M1266" t="s">
        <v>28</v>
      </c>
      <c r="N1266" t="s">
        <v>2396</v>
      </c>
      <c r="O1266">
        <v>1</v>
      </c>
      <c r="P1266" s="2">
        <v>43749</v>
      </c>
      <c r="Q1266" s="1">
        <v>33</v>
      </c>
      <c r="R1266" t="s">
        <v>3157</v>
      </c>
      <c r="S1266">
        <v>1119723891</v>
      </c>
    </row>
    <row r="1267" spans="1:19" x14ac:dyDescent="0.2">
      <c r="A1267" t="str">
        <f t="shared" si="156"/>
        <v>Adult Nonfiction</v>
      </c>
      <c r="B1267" t="str">
        <f>"NEW 617.8 OWE"</f>
        <v>NEW 617.8 OWE</v>
      </c>
      <c r="C1267" t="str">
        <f>"Volume control: hearing in a deafening world"</f>
        <v>Volume control: hearing in a deafening world</v>
      </c>
      <c r="D1267">
        <v>358901</v>
      </c>
      <c r="E1267" t="str">
        <f>"Owen, David"</f>
        <v>Owen, David</v>
      </c>
      <c r="G1267" t="str">
        <f>"292 pages, 24 cm"</f>
        <v>292 pages, 24 cm</v>
      </c>
      <c r="H1267" s="1">
        <v>19</v>
      </c>
      <c r="I1267">
        <v>2019</v>
      </c>
      <c r="J1267" t="str">
        <f t="shared" si="157"/>
        <v>12: 600 - 699</v>
      </c>
      <c r="L1267" t="s">
        <v>2403</v>
      </c>
      <c r="M1267" t="s">
        <v>28</v>
      </c>
      <c r="N1267" t="s">
        <v>2396</v>
      </c>
      <c r="O1267">
        <v>3</v>
      </c>
      <c r="P1267" s="2">
        <v>43769</v>
      </c>
      <c r="Q1267" s="1">
        <v>33</v>
      </c>
      <c r="R1267" t="s">
        <v>3158</v>
      </c>
      <c r="S1267">
        <v>1083179360</v>
      </c>
    </row>
    <row r="1268" spans="1:19" x14ac:dyDescent="0.2">
      <c r="A1268" t="str">
        <f t="shared" si="156"/>
        <v>Adult Nonfiction</v>
      </c>
      <c r="B1268" t="str">
        <f>"NEW 629.8 DUN"</f>
        <v>NEW 629.8 DUN</v>
      </c>
      <c r="C1268" t="str">
        <f>"Talking to robots: tales from our human-robot futures"</f>
        <v>Talking to robots: tales from our human-robot futures</v>
      </c>
      <c r="D1268">
        <v>356682</v>
      </c>
      <c r="E1268" t="str">
        <f>"Duncan, David Ewing,"</f>
        <v>Duncan, David Ewing,</v>
      </c>
      <c r="G1268" t="str">
        <f>"viii, 303 p., 24 cm"</f>
        <v>viii, 303 p., 24 cm</v>
      </c>
      <c r="H1268" s="1">
        <v>19</v>
      </c>
      <c r="I1268">
        <v>2019</v>
      </c>
      <c r="J1268" t="str">
        <f t="shared" si="157"/>
        <v>12: 600 - 699</v>
      </c>
      <c r="L1268" t="s">
        <v>2403</v>
      </c>
      <c r="M1268" t="s">
        <v>28</v>
      </c>
      <c r="N1268" t="s">
        <v>2396</v>
      </c>
      <c r="O1268">
        <v>1</v>
      </c>
      <c r="P1268" s="2">
        <v>43689</v>
      </c>
      <c r="Q1268" s="1">
        <v>34</v>
      </c>
      <c r="R1268" t="s">
        <v>3159</v>
      </c>
      <c r="S1268">
        <v>1060195343</v>
      </c>
    </row>
    <row r="1269" spans="1:19" x14ac:dyDescent="0.2">
      <c r="A1269" t="str">
        <f t="shared" si="156"/>
        <v>Adult Nonfiction</v>
      </c>
      <c r="B1269" t="str">
        <f>"NEW 629.8 WAL"</f>
        <v>NEW 629.8 WAL</v>
      </c>
      <c r="C1269" t="str">
        <f>"Sam: one robot, a dozen engineers, and the race to revolutionize the way we build"</f>
        <v>Sam: one robot, a dozen engineers, and the race to revolutionize the way we build</v>
      </c>
      <c r="D1269">
        <v>360246</v>
      </c>
      <c r="E1269" t="str">
        <f>"Waldman, Jonathan."</f>
        <v>Waldman, Jonathan.</v>
      </c>
      <c r="G1269" t="str">
        <f>"288 p."</f>
        <v>288 p.</v>
      </c>
      <c r="H1269" s="1">
        <v>19</v>
      </c>
      <c r="I1269">
        <v>2020</v>
      </c>
      <c r="J1269" t="str">
        <f t="shared" si="157"/>
        <v>12: 600 - 699</v>
      </c>
      <c r="L1269" t="s">
        <v>2395</v>
      </c>
      <c r="M1269" t="s">
        <v>28</v>
      </c>
      <c r="N1269" t="s">
        <v>2495</v>
      </c>
      <c r="O1269">
        <v>0</v>
      </c>
      <c r="P1269" s="2">
        <v>43844</v>
      </c>
      <c r="Q1269" s="1">
        <v>33</v>
      </c>
      <c r="R1269" t="s">
        <v>3160</v>
      </c>
      <c r="S1269">
        <v>1105942736</v>
      </c>
    </row>
    <row r="1270" spans="1:19" x14ac:dyDescent="0.2">
      <c r="A1270" t="str">
        <f t="shared" si="156"/>
        <v>Adult Nonfiction</v>
      </c>
      <c r="B1270" t="str">
        <f>"NEW 635.9 OUD"</f>
        <v>NEW 635.9 OUD</v>
      </c>
      <c r="C1270" t="str">
        <f>"Planting the natural garden"</f>
        <v>Planting the natural garden</v>
      </c>
      <c r="D1270">
        <v>359875</v>
      </c>
      <c r="E1270" t="str">
        <f>"Oudolf, Piet."</f>
        <v>Oudolf, Piet.</v>
      </c>
      <c r="G1270" t="str">
        <f>"287 pages, 22 cm, color illustrations"</f>
        <v>287 pages, 22 cm, color illustrations</v>
      </c>
      <c r="H1270" s="1">
        <v>19</v>
      </c>
      <c r="I1270">
        <v>2019</v>
      </c>
      <c r="J1270" t="str">
        <f t="shared" si="157"/>
        <v>12: 600 - 699</v>
      </c>
      <c r="L1270" t="s">
        <v>2395</v>
      </c>
      <c r="M1270" t="s">
        <v>28</v>
      </c>
      <c r="N1270" t="s">
        <v>2396</v>
      </c>
      <c r="O1270">
        <v>2</v>
      </c>
      <c r="P1270" s="2">
        <v>43815</v>
      </c>
      <c r="Q1270" s="1">
        <v>40</v>
      </c>
      <c r="R1270" t="s">
        <v>3161</v>
      </c>
      <c r="S1270">
        <v>1125324750</v>
      </c>
    </row>
    <row r="1271" spans="1:19" x14ac:dyDescent="0.2">
      <c r="A1271" t="str">
        <f t="shared" si="156"/>
        <v>Adult Nonfiction</v>
      </c>
      <c r="B1271" t="str">
        <f>"NEW 635.9 OUD"</f>
        <v>NEW 635.9 OUD</v>
      </c>
      <c r="C1271" t="str">
        <f>"Planting: a new perspective"</f>
        <v>Planting: a new perspective</v>
      </c>
      <c r="D1271">
        <v>359207</v>
      </c>
      <c r="E1271" t="str">
        <f>"Oudolf, Piet."</f>
        <v>Oudolf, Piet.</v>
      </c>
      <c r="G1271" t="str">
        <f>"280 p., 26 cm, ill. (chiefly col.)"</f>
        <v>280 p., 26 cm, ill. (chiefly col.)</v>
      </c>
      <c r="H1271" s="1">
        <v>19</v>
      </c>
      <c r="I1271">
        <v>2013</v>
      </c>
      <c r="J1271" t="str">
        <f t="shared" si="157"/>
        <v>12: 600 - 699</v>
      </c>
      <c r="L1271" t="s">
        <v>2395</v>
      </c>
      <c r="M1271" t="s">
        <v>28</v>
      </c>
      <c r="N1271" t="s">
        <v>2396</v>
      </c>
      <c r="O1271">
        <v>2</v>
      </c>
      <c r="P1271" s="2">
        <v>43782</v>
      </c>
      <c r="Q1271" s="1">
        <v>45</v>
      </c>
      <c r="R1271" t="s">
        <v>3162</v>
      </c>
      <c r="S1271">
        <v>808316439</v>
      </c>
    </row>
    <row r="1272" spans="1:19" x14ac:dyDescent="0.2">
      <c r="A1272" t="str">
        <f t="shared" si="156"/>
        <v>Adult Nonfiction</v>
      </c>
      <c r="B1272" t="str">
        <f>"NEW 635.9 SIL"</f>
        <v>NEW 635.9 SIL</v>
      </c>
      <c r="C1272" t="str">
        <f>"The bold dry garden: lessons from the Ruth Bancroft Garden"</f>
        <v>The bold dry garden: lessons from the Ruth Bancroft Garden</v>
      </c>
      <c r="D1272">
        <v>357883</v>
      </c>
      <c r="E1272" t="str">
        <f>"Silver, Johanna"</f>
        <v>Silver, Johanna</v>
      </c>
      <c r="G1272" t="str">
        <f>"235 pages, 27 x 28 cm, color illustrations, map"</f>
        <v>235 pages, 27 x 28 cm, color illustrations, map</v>
      </c>
      <c r="H1272" s="1">
        <v>19</v>
      </c>
      <c r="I1272">
        <v>2016</v>
      </c>
      <c r="J1272" t="str">
        <f t="shared" si="157"/>
        <v>12: 600 - 699</v>
      </c>
      <c r="L1272" t="s">
        <v>2395</v>
      </c>
      <c r="M1272" t="s">
        <v>28</v>
      </c>
      <c r="N1272" t="s">
        <v>2404</v>
      </c>
      <c r="O1272">
        <v>2</v>
      </c>
      <c r="P1272" s="2">
        <v>43733</v>
      </c>
      <c r="Q1272" s="1">
        <v>43</v>
      </c>
      <c r="R1272" t="s">
        <v>3163</v>
      </c>
      <c r="S1272">
        <v>935784517</v>
      </c>
    </row>
    <row r="1273" spans="1:19" x14ac:dyDescent="0.2">
      <c r="A1273" t="str">
        <f t="shared" si="156"/>
        <v>Adult Nonfiction</v>
      </c>
      <c r="B1273" t="str">
        <f>"NEW 636 FOE"</f>
        <v>NEW 636 FOE</v>
      </c>
      <c r="C1273" t="str">
        <f>"We are the weather: saving the planet begins at breakfast"</f>
        <v>We are the weather: saving the planet begins at breakfast</v>
      </c>
      <c r="D1273">
        <v>357647</v>
      </c>
      <c r="E1273" t="str">
        <f>"Foer, Jonathan Safran"</f>
        <v>Foer, Jonathan Safran</v>
      </c>
      <c r="G1273" t="str">
        <f>"272 pages, 22 cm"</f>
        <v>272 pages, 22 cm</v>
      </c>
      <c r="H1273" s="1">
        <v>19</v>
      </c>
      <c r="I1273">
        <v>2019</v>
      </c>
      <c r="J1273" t="str">
        <f t="shared" si="157"/>
        <v>12: 600 - 699</v>
      </c>
      <c r="L1273" t="s">
        <v>2403</v>
      </c>
      <c r="M1273" t="s">
        <v>28</v>
      </c>
      <c r="N1273" t="s">
        <v>2404</v>
      </c>
      <c r="O1273">
        <v>3</v>
      </c>
      <c r="P1273" s="2">
        <v>43725</v>
      </c>
      <c r="Q1273" s="1">
        <v>30</v>
      </c>
      <c r="R1273" t="s">
        <v>3164</v>
      </c>
      <c r="S1273">
        <v>1100440971</v>
      </c>
    </row>
    <row r="1274" spans="1:19" x14ac:dyDescent="0.2">
      <c r="A1274" t="str">
        <f t="shared" si="156"/>
        <v>Adult Nonfiction</v>
      </c>
      <c r="B1274" t="str">
        <f>"NEW 636 FOE"</f>
        <v>NEW 636 FOE</v>
      </c>
      <c r="C1274" t="str">
        <f>"We are the weather: saving the planet begins at breakfast"</f>
        <v>We are the weather: saving the planet begins at breakfast</v>
      </c>
      <c r="D1274">
        <v>357648</v>
      </c>
      <c r="E1274" t="str">
        <f>"Foer, Jonathan Safran"</f>
        <v>Foer, Jonathan Safran</v>
      </c>
      <c r="G1274" t="str">
        <f>"272 pages, 22 cm"</f>
        <v>272 pages, 22 cm</v>
      </c>
      <c r="H1274" s="1">
        <v>19</v>
      </c>
      <c r="I1274">
        <v>2019</v>
      </c>
      <c r="J1274" t="str">
        <f t="shared" si="157"/>
        <v>12: 600 - 699</v>
      </c>
      <c r="L1274" t="s">
        <v>2403</v>
      </c>
      <c r="M1274" t="s">
        <v>28</v>
      </c>
      <c r="N1274" t="s">
        <v>2396</v>
      </c>
      <c r="O1274">
        <v>3</v>
      </c>
      <c r="P1274" s="2">
        <v>43725</v>
      </c>
      <c r="Q1274" s="1">
        <v>30</v>
      </c>
      <c r="R1274" t="s">
        <v>3164</v>
      </c>
      <c r="S1274">
        <v>1100440971</v>
      </c>
    </row>
    <row r="1275" spans="1:19" x14ac:dyDescent="0.2">
      <c r="A1275" t="str">
        <f t="shared" si="156"/>
        <v>Adult Nonfiction</v>
      </c>
      <c r="B1275" t="str">
        <f>"NEW 636.1 MCD"</f>
        <v>NEW 636.1 MCD</v>
      </c>
      <c r="C1275" t="str">
        <f>"Running with Sherman: the donkey with the heart of a hero"</f>
        <v>Running with Sherman: the donkey with the heart of a hero</v>
      </c>
      <c r="D1275">
        <v>358561</v>
      </c>
      <c r="E1275" t="str">
        <f>"McDougall, Christopher,"</f>
        <v>McDougall, Christopher,</v>
      </c>
      <c r="G1275" t="str">
        <f>"333 pages, 24 cm, illustrations"</f>
        <v>333 pages, 24 cm, illustrations</v>
      </c>
      <c r="H1275" s="1">
        <v>19</v>
      </c>
      <c r="I1275">
        <v>2019</v>
      </c>
      <c r="J1275" t="str">
        <f t="shared" si="157"/>
        <v>12: 600 - 699</v>
      </c>
      <c r="L1275" t="s">
        <v>2403</v>
      </c>
      <c r="M1275" t="s">
        <v>28</v>
      </c>
      <c r="N1275" t="s">
        <v>2404</v>
      </c>
      <c r="O1275">
        <v>4</v>
      </c>
      <c r="P1275" s="2">
        <v>43756</v>
      </c>
      <c r="Q1275" s="1">
        <v>33</v>
      </c>
      <c r="R1275" t="s">
        <v>3165</v>
      </c>
      <c r="S1275">
        <v>1085593704</v>
      </c>
    </row>
    <row r="1276" spans="1:19" x14ac:dyDescent="0.2">
      <c r="A1276" t="str">
        <f t="shared" si="156"/>
        <v>Adult Nonfiction</v>
      </c>
      <c r="B1276" t="str">
        <f>"NEW 636.7 GOO"</f>
        <v>NEW 636.7 GOO</v>
      </c>
      <c r="C1276" t="str">
        <f>"Doctor dogs: how our best friends are becoming our best medicine"</f>
        <v>Doctor dogs: how our best friends are becoming our best medicine</v>
      </c>
      <c r="D1276">
        <v>358104</v>
      </c>
      <c r="E1276" t="str">
        <f>"Goodavage, Maria,"</f>
        <v>Goodavage, Maria,</v>
      </c>
      <c r="G1276" t="str">
        <f>"pages cm"</f>
        <v>pages cm</v>
      </c>
      <c r="H1276" s="1">
        <v>19</v>
      </c>
      <c r="I1276">
        <v>2019</v>
      </c>
      <c r="J1276" t="str">
        <f t="shared" si="157"/>
        <v>12: 600 - 699</v>
      </c>
      <c r="L1276" t="s">
        <v>2403</v>
      </c>
      <c r="M1276" t="s">
        <v>28</v>
      </c>
      <c r="N1276" t="s">
        <v>2404</v>
      </c>
      <c r="O1276">
        <v>4</v>
      </c>
      <c r="P1276" s="2">
        <v>43740</v>
      </c>
      <c r="Q1276" s="1">
        <v>33</v>
      </c>
      <c r="R1276" t="s">
        <v>3166</v>
      </c>
      <c r="S1276">
        <v>1082414605</v>
      </c>
    </row>
    <row r="1277" spans="1:19" x14ac:dyDescent="0.2">
      <c r="A1277" t="str">
        <f t="shared" si="156"/>
        <v>Adult Nonfiction</v>
      </c>
      <c r="B1277" t="str">
        <f>"NEW 636.7 HOR"</f>
        <v>NEW 636.7 HOR</v>
      </c>
      <c r="C1277" t="str">
        <f>"Our dogs, ourselves: the story of a singular bond"</f>
        <v>Our dogs, ourselves: the story of a singular bond</v>
      </c>
      <c r="D1277">
        <v>357305</v>
      </c>
      <c r="E1277" t="str">
        <f>"Horowitz, Alexandra."</f>
        <v>Horowitz, Alexandra.</v>
      </c>
      <c r="G1277" t="str">
        <f>"viii, 311 pages, 24 cm, illustrations"</f>
        <v>viii, 311 pages, 24 cm, illustrations</v>
      </c>
      <c r="H1277" s="1">
        <v>19</v>
      </c>
      <c r="I1277">
        <v>2019</v>
      </c>
      <c r="J1277" t="str">
        <f t="shared" si="157"/>
        <v>12: 600 - 699</v>
      </c>
      <c r="L1277" t="s">
        <v>2395</v>
      </c>
      <c r="M1277" t="s">
        <v>28</v>
      </c>
      <c r="N1277" t="s">
        <v>2396</v>
      </c>
      <c r="O1277">
        <v>6</v>
      </c>
      <c r="P1277" s="2">
        <v>43711</v>
      </c>
      <c r="Q1277" s="1">
        <v>33</v>
      </c>
      <c r="R1277" t="s">
        <v>3167</v>
      </c>
      <c r="S1277">
        <v>1085204537</v>
      </c>
    </row>
    <row r="1278" spans="1:19" x14ac:dyDescent="0.2">
      <c r="A1278" t="str">
        <f t="shared" si="156"/>
        <v>Adult Nonfiction</v>
      </c>
      <c r="B1278" t="str">
        <f>"NEW 636.7 WYN"</f>
        <v>NEW 636.7 WYN</v>
      </c>
      <c r="C1278" t="str">
        <f>"Dog is love: why and how your dog loves you"</f>
        <v>Dog is love: why and how your dog loves you</v>
      </c>
      <c r="D1278">
        <v>358105</v>
      </c>
      <c r="E1278" t="str">
        <f>"Wynne, Clive D. L."</f>
        <v>Wynne, Clive D. L.</v>
      </c>
      <c r="G1278" t="str">
        <f>"262 pages, 24 cm, illustrations"</f>
        <v>262 pages, 24 cm, illustrations</v>
      </c>
      <c r="H1278" s="1">
        <v>19</v>
      </c>
      <c r="I1278">
        <v>2019</v>
      </c>
      <c r="J1278" t="str">
        <f t="shared" si="157"/>
        <v>12: 600 - 699</v>
      </c>
      <c r="L1278" t="s">
        <v>2395</v>
      </c>
      <c r="M1278" t="s">
        <v>28</v>
      </c>
      <c r="N1278" t="s">
        <v>2396</v>
      </c>
      <c r="O1278">
        <v>5</v>
      </c>
      <c r="P1278" s="2">
        <v>43740</v>
      </c>
      <c r="Q1278" s="1">
        <v>33</v>
      </c>
      <c r="R1278" t="s">
        <v>3168</v>
      </c>
      <c r="S1278">
        <v>1080247122</v>
      </c>
    </row>
    <row r="1279" spans="1:19" x14ac:dyDescent="0.2">
      <c r="A1279" t="str">
        <f t="shared" si="156"/>
        <v>Adult Nonfiction</v>
      </c>
      <c r="B1279" t="str">
        <f>"NEW 638 KEA"</f>
        <v>NEW 638 KEA</v>
      </c>
      <c r="C1279" t="str">
        <f>"The little book of bees: a life of honey, hives, and hexagons"</f>
        <v>The little book of bees: a life of honey, hives, and hexagons</v>
      </c>
      <c r="D1279">
        <v>357561</v>
      </c>
      <c r="E1279" t="str">
        <f>"Kearney, Hilary"</f>
        <v>Kearney, Hilary</v>
      </c>
      <c r="G1279" t="str">
        <f>"213 p."</f>
        <v>213 p.</v>
      </c>
      <c r="H1279" s="1">
        <v>19</v>
      </c>
      <c r="I1279">
        <v>2019</v>
      </c>
      <c r="J1279" t="str">
        <f t="shared" si="157"/>
        <v>12: 600 - 699</v>
      </c>
      <c r="L1279" t="s">
        <v>2403</v>
      </c>
      <c r="M1279" t="s">
        <v>28</v>
      </c>
      <c r="N1279" t="s">
        <v>2404</v>
      </c>
      <c r="O1279">
        <v>4</v>
      </c>
      <c r="P1279" s="2">
        <v>43719</v>
      </c>
      <c r="Q1279" s="1">
        <v>22</v>
      </c>
      <c r="R1279" t="s">
        <v>3169</v>
      </c>
    </row>
    <row r="1280" spans="1:19" x14ac:dyDescent="0.2">
      <c r="A1280" t="str">
        <f t="shared" si="156"/>
        <v>Adult Nonfiction</v>
      </c>
      <c r="B1280" t="str">
        <f>"NEW 640 JAY"</f>
        <v>NEW 640 JAY</v>
      </c>
      <c r="C1280" t="str">
        <f>"Lightly: how to live a simple, serene, &amp; stress-free life"</f>
        <v>Lightly: how to live a simple, serene, &amp; stress-free life</v>
      </c>
      <c r="D1280">
        <v>358545</v>
      </c>
      <c r="E1280" t="str">
        <f>"Jay, Francine"</f>
        <v>Jay, Francine</v>
      </c>
      <c r="G1280" t="str">
        <f>"254 pages, 19 cm, illustrations"</f>
        <v>254 pages, 19 cm, illustrations</v>
      </c>
      <c r="H1280" s="1">
        <v>19</v>
      </c>
      <c r="I1280">
        <v>2019</v>
      </c>
      <c r="J1280" t="str">
        <f t="shared" si="157"/>
        <v>12: 600 - 699</v>
      </c>
      <c r="L1280" t="s">
        <v>2403</v>
      </c>
      <c r="M1280" t="s">
        <v>28</v>
      </c>
      <c r="N1280" t="s">
        <v>2404</v>
      </c>
      <c r="O1280">
        <v>2</v>
      </c>
      <c r="P1280" s="2">
        <v>43756</v>
      </c>
      <c r="Q1280" s="1">
        <v>25</v>
      </c>
      <c r="R1280" t="s">
        <v>3170</v>
      </c>
      <c r="S1280">
        <v>1045456943</v>
      </c>
    </row>
    <row r="1281" spans="1:19" x14ac:dyDescent="0.2">
      <c r="A1281" t="str">
        <f t="shared" si="156"/>
        <v>Adult Nonfiction</v>
      </c>
      <c r="B1281" t="str">
        <f>"NEW 640 MCC"</f>
        <v>NEW 640 MCC</v>
      </c>
      <c r="C1281" t="str">
        <f>"Making space, clutter free: the last book on decluttering you'll ever need"</f>
        <v>Making space, clutter free: the last book on decluttering you'll ever need</v>
      </c>
      <c r="D1281">
        <v>360440</v>
      </c>
      <c r="E1281" t="str">
        <f>"McCubbin, Tracy"</f>
        <v>McCubbin, Tracy</v>
      </c>
      <c r="G1281" t="str">
        <f>"282 pages, 21 cm, illustrations"</f>
        <v>282 pages, 21 cm, illustrations</v>
      </c>
      <c r="H1281" s="1">
        <v>20</v>
      </c>
      <c r="I1281">
        <v>2019</v>
      </c>
      <c r="J1281" t="str">
        <f t="shared" si="157"/>
        <v>12: 600 - 699</v>
      </c>
      <c r="L1281" t="s">
        <v>2403</v>
      </c>
      <c r="M1281" t="s">
        <v>28</v>
      </c>
      <c r="N1281" t="s">
        <v>2495</v>
      </c>
      <c r="O1281">
        <v>0</v>
      </c>
      <c r="P1281" s="2">
        <v>43851</v>
      </c>
      <c r="Q1281" s="1">
        <v>22</v>
      </c>
      <c r="R1281" t="s">
        <v>3171</v>
      </c>
      <c r="S1281">
        <v>1088599811</v>
      </c>
    </row>
    <row r="1282" spans="1:19" x14ac:dyDescent="0.2">
      <c r="A1282" t="str">
        <f t="shared" si="156"/>
        <v>Adult Nonfiction</v>
      </c>
      <c r="B1282" t="str">
        <f>"NEW 640 NEW"</f>
        <v>NEW 640 NEW</v>
      </c>
      <c r="C1282" t="str">
        <f>"An edited life: simple steps to streamlining your life, at work and at home"</f>
        <v>An edited life: simple steps to streamlining your life, at work and at home</v>
      </c>
      <c r="D1282">
        <v>356654</v>
      </c>
      <c r="E1282" t="str">
        <f>"Newton, Anna"</f>
        <v>Newton, Anna</v>
      </c>
      <c r="G1282" t="str">
        <f>"255 pages, 23 cm, illustrations"</f>
        <v>255 pages, 23 cm, illustrations</v>
      </c>
      <c r="H1282" s="1">
        <v>19</v>
      </c>
      <c r="I1282">
        <v>2019</v>
      </c>
      <c r="J1282" t="str">
        <f t="shared" si="157"/>
        <v>12: 600 - 699</v>
      </c>
      <c r="L1282" t="s">
        <v>2395</v>
      </c>
      <c r="M1282" t="s">
        <v>28</v>
      </c>
      <c r="N1282" t="s">
        <v>2404</v>
      </c>
      <c r="O1282">
        <v>7</v>
      </c>
      <c r="P1282" s="2">
        <v>43689</v>
      </c>
      <c r="Q1282" s="1">
        <v>28</v>
      </c>
      <c r="R1282" t="s">
        <v>3172</v>
      </c>
      <c r="S1282">
        <v>1079337770</v>
      </c>
    </row>
    <row r="1283" spans="1:19" x14ac:dyDescent="0.2">
      <c r="A1283" t="str">
        <f t="shared" si="156"/>
        <v>Adult Nonfiction</v>
      </c>
      <c r="B1283" t="str">
        <f>"NEW 640 STE"</f>
        <v>NEW 640 STE</v>
      </c>
      <c r="C1283" t="str">
        <f>"Martha Stewart's organizing: the manual for bringing order to your life, home &amp; routines"</f>
        <v>Martha Stewart's organizing: the manual for bringing order to your life, home &amp; routines</v>
      </c>
      <c r="D1283">
        <v>360233</v>
      </c>
      <c r="G1283" t="str">
        <f>"288 pages, 24 cm, illustrations (chiefly color)"</f>
        <v>288 pages, 24 cm, illustrations (chiefly color)</v>
      </c>
      <c r="H1283" s="1">
        <v>19</v>
      </c>
      <c r="I1283">
        <v>2020</v>
      </c>
      <c r="J1283" t="str">
        <f t="shared" si="157"/>
        <v>12: 600 - 699</v>
      </c>
      <c r="L1283" t="s">
        <v>2403</v>
      </c>
      <c r="M1283" t="s">
        <v>2495</v>
      </c>
      <c r="N1283" t="s">
        <v>2495</v>
      </c>
      <c r="O1283">
        <v>0</v>
      </c>
      <c r="P1283" s="2">
        <v>43844</v>
      </c>
      <c r="Q1283" s="1">
        <v>35</v>
      </c>
      <c r="R1283" t="s">
        <v>3173</v>
      </c>
      <c r="S1283">
        <v>1118976763</v>
      </c>
    </row>
    <row r="1284" spans="1:19" x14ac:dyDescent="0.2">
      <c r="A1284" t="str">
        <f t="shared" si="156"/>
        <v>Adult Nonfiction</v>
      </c>
      <c r="B1284" t="str">
        <f>"NEW 641 BES"</f>
        <v>NEW 641 BES</v>
      </c>
      <c r="C1284" t="str">
        <f>"Best American food writing 2019"</f>
        <v>Best American food writing 2019</v>
      </c>
      <c r="D1284">
        <v>358093</v>
      </c>
      <c r="F1284" t="str">
        <f>"Best American series"</f>
        <v>Best American series</v>
      </c>
      <c r="G1284" t="str">
        <f>"xxi, 258 pages, 21 cm"</f>
        <v>xxi, 258 pages, 21 cm</v>
      </c>
      <c r="H1284" s="1">
        <v>19</v>
      </c>
      <c r="I1284">
        <v>2019</v>
      </c>
      <c r="J1284" t="str">
        <f t="shared" si="157"/>
        <v>12: 600 - 699</v>
      </c>
      <c r="L1284" t="s">
        <v>2395</v>
      </c>
      <c r="M1284" t="s">
        <v>28</v>
      </c>
      <c r="N1284" t="s">
        <v>2404</v>
      </c>
      <c r="O1284">
        <v>2</v>
      </c>
      <c r="P1284" s="2">
        <v>43740</v>
      </c>
      <c r="Q1284" s="1">
        <v>32</v>
      </c>
      <c r="R1284" t="s">
        <v>3174</v>
      </c>
      <c r="S1284">
        <v>1080246534</v>
      </c>
    </row>
    <row r="1285" spans="1:19" x14ac:dyDescent="0.2">
      <c r="A1285" t="str">
        <f t="shared" si="156"/>
        <v>Adult Nonfiction</v>
      </c>
      <c r="B1285" t="str">
        <f>"NEW 641 EAT"</f>
        <v>NEW 641 EAT</v>
      </c>
      <c r="C1285" t="str">
        <f>"Eat joy: stories &amp; comfort food from 31 celebrated writers"</f>
        <v>Eat joy: stories &amp; comfort food from 31 celebrated writers</v>
      </c>
      <c r="D1285">
        <v>359769</v>
      </c>
      <c r="G1285" t="str">
        <f>"ix, 194 pages, 21 cm, color illustrations"</f>
        <v>ix, 194 pages, 21 cm, color illustrations</v>
      </c>
      <c r="H1285" s="1">
        <v>19</v>
      </c>
      <c r="I1285">
        <v>2019</v>
      </c>
      <c r="J1285" t="str">
        <f t="shared" si="157"/>
        <v>12: 600 - 699</v>
      </c>
      <c r="L1285" t="s">
        <v>2395</v>
      </c>
      <c r="M1285" t="s">
        <v>28</v>
      </c>
      <c r="N1285" t="s">
        <v>2396</v>
      </c>
      <c r="O1285">
        <v>1</v>
      </c>
      <c r="P1285" s="2">
        <v>43811</v>
      </c>
      <c r="Q1285" s="1">
        <v>22</v>
      </c>
      <c r="R1285" t="s">
        <v>3175</v>
      </c>
      <c r="S1285">
        <v>1083683786</v>
      </c>
    </row>
    <row r="1286" spans="1:19" x14ac:dyDescent="0.2">
      <c r="A1286" t="str">
        <f t="shared" si="156"/>
        <v>Adult Nonfiction</v>
      </c>
      <c r="B1286" t="str">
        <f>"NEW 641 HEN"</f>
        <v>NEW 641 HEN</v>
      </c>
      <c r="C1286" t="str">
        <f>"A bite-sized history of France: gastronomic tales of revolution, war, and enlightenment"</f>
        <v>A bite-sized history of France: gastronomic tales of revolution, war, and enlightenment</v>
      </c>
      <c r="D1286">
        <v>356648</v>
      </c>
      <c r="E1286" t="str">
        <f>"Henaut, St�phane"</f>
        <v>Henaut, St�phane</v>
      </c>
      <c r="G1286" t="str">
        <f>"ix, 333 pages, 22 cm, illustrations, maps"</f>
        <v>ix, 333 pages, 22 cm, illustrations, maps</v>
      </c>
      <c r="H1286" s="1">
        <v>19</v>
      </c>
      <c r="I1286">
        <v>2018</v>
      </c>
      <c r="J1286" t="str">
        <f t="shared" si="157"/>
        <v>12: 600 - 699</v>
      </c>
      <c r="L1286" t="s">
        <v>2403</v>
      </c>
      <c r="M1286" t="s">
        <v>28</v>
      </c>
      <c r="N1286" t="s">
        <v>2404</v>
      </c>
      <c r="O1286">
        <v>9</v>
      </c>
      <c r="P1286" s="2">
        <v>43689</v>
      </c>
      <c r="Q1286" s="1">
        <v>32</v>
      </c>
      <c r="R1286" t="s">
        <v>3176</v>
      </c>
      <c r="S1286">
        <v>1038043654</v>
      </c>
    </row>
    <row r="1287" spans="1:19" x14ac:dyDescent="0.2">
      <c r="A1287" t="str">
        <f t="shared" si="156"/>
        <v>Adult Nonfiction</v>
      </c>
      <c r="B1287" t="str">
        <f>"NEW 641 REG"</f>
        <v>NEW 641 REG</v>
      </c>
      <c r="C1287" t="str">
        <f>"Burn the place: a memoir"</f>
        <v>Burn the place: a memoir</v>
      </c>
      <c r="D1287">
        <v>358100</v>
      </c>
      <c r="E1287" t="str">
        <f>"Regan, Iliana,"</f>
        <v>Regan, Iliana,</v>
      </c>
      <c r="G1287" t="str">
        <f>"x, 266 pages, 22 cm"</f>
        <v>x, 266 pages, 22 cm</v>
      </c>
      <c r="H1287" s="1">
        <v>19</v>
      </c>
      <c r="I1287">
        <v>2019</v>
      </c>
      <c r="J1287" t="str">
        <f t="shared" si="157"/>
        <v>12: 600 - 699</v>
      </c>
      <c r="L1287" t="s">
        <v>2395</v>
      </c>
      <c r="M1287" t="s">
        <v>28</v>
      </c>
      <c r="N1287" t="s">
        <v>2404</v>
      </c>
      <c r="O1287">
        <v>4</v>
      </c>
      <c r="P1287" s="2">
        <v>43740</v>
      </c>
      <c r="Q1287" s="1">
        <v>30</v>
      </c>
      <c r="R1287" t="s">
        <v>3177</v>
      </c>
      <c r="S1287">
        <v>1080249054</v>
      </c>
    </row>
    <row r="1288" spans="1:19" x14ac:dyDescent="0.2">
      <c r="A1288" t="str">
        <f t="shared" si="156"/>
        <v>Adult Nonfiction</v>
      </c>
      <c r="B1288" t="str">
        <f>"NEW 641 WOM"</f>
        <v>NEW 641 WOM</v>
      </c>
      <c r="C1288" t="str">
        <f>"Women on food: Charlotte Druckman   115 writers, chefs, critics, television stars, and eaters"</f>
        <v>Women on food: Charlotte Druckman   115 writers, chefs, critics, television stars, and eaters</v>
      </c>
      <c r="D1288">
        <v>360460</v>
      </c>
      <c r="G1288" t="str">
        <f>"400 pages, 23 cm, illustrations (some color)"</f>
        <v>400 pages, 23 cm, illustrations (some color)</v>
      </c>
      <c r="H1288" s="1">
        <v>20</v>
      </c>
      <c r="I1288">
        <v>2019</v>
      </c>
      <c r="J1288" t="str">
        <f t="shared" si="157"/>
        <v>12: 600 - 699</v>
      </c>
      <c r="L1288" t="s">
        <v>2395</v>
      </c>
      <c r="M1288" t="s">
        <v>28</v>
      </c>
      <c r="N1288" t="s">
        <v>2415</v>
      </c>
      <c r="O1288">
        <v>0</v>
      </c>
      <c r="P1288" s="2">
        <v>43851</v>
      </c>
      <c r="Q1288" s="1">
        <v>35</v>
      </c>
      <c r="R1288" t="s">
        <v>3178</v>
      </c>
      <c r="S1288">
        <v>1112370616</v>
      </c>
    </row>
    <row r="1289" spans="1:19" x14ac:dyDescent="0.2">
      <c r="A1289" t="str">
        <f t="shared" si="156"/>
        <v>Adult Nonfiction</v>
      </c>
      <c r="B1289" t="str">
        <f>"NEW 641.2 NEW"</f>
        <v>NEW 641.2 NEW</v>
      </c>
      <c r="C1289" t="str">
        <f>"Lost feast: culinary extinction and the future of food"</f>
        <v>Lost feast: culinary extinction and the future of food</v>
      </c>
      <c r="D1289">
        <v>358599</v>
      </c>
      <c r="E1289" t="str">
        <f>"Newman, Lenore."</f>
        <v>Newman, Lenore.</v>
      </c>
      <c r="H1289" s="1">
        <v>19</v>
      </c>
      <c r="I1289">
        <v>2019</v>
      </c>
      <c r="J1289" t="str">
        <f t="shared" si="157"/>
        <v>12: 600 - 699</v>
      </c>
      <c r="L1289" t="s">
        <v>2403</v>
      </c>
      <c r="M1289" t="s">
        <v>28</v>
      </c>
      <c r="N1289" t="s">
        <v>2396</v>
      </c>
      <c r="O1289">
        <v>3</v>
      </c>
      <c r="P1289" s="2">
        <v>43756</v>
      </c>
      <c r="Q1289" s="1">
        <v>30</v>
      </c>
      <c r="R1289" t="s">
        <v>3179</v>
      </c>
      <c r="S1289">
        <v>1090919083</v>
      </c>
    </row>
    <row r="1290" spans="1:19" x14ac:dyDescent="0.2">
      <c r="A1290" t="str">
        <f t="shared" si="156"/>
        <v>Adult Nonfiction</v>
      </c>
      <c r="B1290" t="str">
        <f>"NEW 641.5 BER"</f>
        <v>NEW 641.5 BER</v>
      </c>
      <c r="C1290" t="str">
        <f>"Cooking with Mary Berry: classic dishes and baking favorites made simple"</f>
        <v>Cooking with Mary Berry: classic dishes and baking favorites made simple</v>
      </c>
      <c r="D1290">
        <v>359183</v>
      </c>
      <c r="E1290" t="str">
        <f>"Berry, Mary"</f>
        <v>Berry, Mary</v>
      </c>
      <c r="G1290" t="str">
        <f>"256 p."</f>
        <v>256 p.</v>
      </c>
      <c r="H1290" s="1">
        <v>19</v>
      </c>
      <c r="I1290">
        <v>2019</v>
      </c>
      <c r="J1290" t="str">
        <f t="shared" si="157"/>
        <v>12: 600 - 699</v>
      </c>
      <c r="L1290" t="s">
        <v>2403</v>
      </c>
      <c r="M1290" t="s">
        <v>28</v>
      </c>
      <c r="N1290" t="s">
        <v>2396</v>
      </c>
      <c r="O1290">
        <v>3</v>
      </c>
      <c r="P1290" s="2">
        <v>43782</v>
      </c>
      <c r="Q1290" s="1">
        <v>25</v>
      </c>
      <c r="R1290" t="s">
        <v>3180</v>
      </c>
      <c r="S1290">
        <v>1103693617</v>
      </c>
    </row>
    <row r="1291" spans="1:19" x14ac:dyDescent="0.2">
      <c r="A1291" t="str">
        <f t="shared" si="156"/>
        <v>Adult Nonfiction</v>
      </c>
      <c r="B1291" t="str">
        <f>"NEW 641.5 DRU"</f>
        <v>NEW 641.5 DRU</v>
      </c>
      <c r="C1291" t="str">
        <f>"The pioneer woman cooks: the new frontier : 112 fantastic favorites for everyday eating"</f>
        <v>The pioneer woman cooks: the new frontier : 112 fantastic favorites for everyday eating</v>
      </c>
      <c r="D1291">
        <v>358553</v>
      </c>
      <c r="E1291" t="str">
        <f>"Drummond, Ree."</f>
        <v>Drummond, Ree.</v>
      </c>
      <c r="G1291" t="str">
        <f>"xix, 363 pages, 27 cm, color illustrations"</f>
        <v>xix, 363 pages, 27 cm, color illustrations</v>
      </c>
      <c r="H1291" s="1">
        <v>19</v>
      </c>
      <c r="I1291">
        <v>2019</v>
      </c>
      <c r="J1291" t="str">
        <f t="shared" si="157"/>
        <v>12: 600 - 699</v>
      </c>
      <c r="L1291" t="s">
        <v>2395</v>
      </c>
      <c r="M1291" t="s">
        <v>28</v>
      </c>
      <c r="N1291" t="s">
        <v>2404</v>
      </c>
      <c r="O1291">
        <v>5</v>
      </c>
      <c r="P1291" s="2">
        <v>43756</v>
      </c>
      <c r="Q1291" s="1">
        <v>35</v>
      </c>
      <c r="R1291" t="s">
        <v>3181</v>
      </c>
      <c r="S1291">
        <v>1107431625</v>
      </c>
    </row>
    <row r="1292" spans="1:19" x14ac:dyDescent="0.2">
      <c r="A1292" t="str">
        <f t="shared" si="156"/>
        <v>Adult Nonfiction</v>
      </c>
      <c r="B1292" t="str">
        <f>"NEW 641.5 DUB"</f>
        <v>NEW 641.5 DUB</v>
      </c>
      <c r="C1292" t="str">
        <f>"Eat clean, play dirty: recipes for a body and life you love"</f>
        <v>Eat clean, play dirty: recipes for a body and life you love</v>
      </c>
      <c r="D1292">
        <v>358909</v>
      </c>
      <c r="E1292" t="str">
        <f>"Duboise, Danielle"</f>
        <v>Duboise, Danielle</v>
      </c>
      <c r="G1292" t="str">
        <f>"239 pages, 27 cm, color illustrations"</f>
        <v>239 pages, 27 cm, color illustrations</v>
      </c>
      <c r="H1292" s="1">
        <v>19</v>
      </c>
      <c r="I1292">
        <v>2019</v>
      </c>
      <c r="J1292" t="str">
        <f t="shared" si="157"/>
        <v>12: 600 - 699</v>
      </c>
      <c r="L1292" t="s">
        <v>2395</v>
      </c>
      <c r="M1292" t="s">
        <v>28</v>
      </c>
      <c r="N1292" t="s">
        <v>2404</v>
      </c>
      <c r="O1292">
        <v>4</v>
      </c>
      <c r="P1292" s="2">
        <v>43769</v>
      </c>
      <c r="Q1292" s="1">
        <v>35</v>
      </c>
      <c r="R1292" t="s">
        <v>3182</v>
      </c>
      <c r="S1292">
        <v>1048094889</v>
      </c>
    </row>
    <row r="1293" spans="1:19" x14ac:dyDescent="0.2">
      <c r="A1293" t="str">
        <f t="shared" si="156"/>
        <v>Adult Nonfiction</v>
      </c>
      <c r="B1293" t="str">
        <f>"NEW 641.5 FLA"</f>
        <v>NEW 641.5 FLA</v>
      </c>
      <c r="C1293" t="str">
        <f>"Bobby at home: fearless flavors from my kitchen"</f>
        <v>Bobby at home: fearless flavors from my kitchen</v>
      </c>
      <c r="D1293">
        <v>358099</v>
      </c>
      <c r="E1293" t="str">
        <f>"Flay, Bobby"</f>
        <v>Flay, Bobby</v>
      </c>
      <c r="G1293" t="str">
        <f>"255 pages, 27 cm, color illustrations"</f>
        <v>255 pages, 27 cm, color illustrations</v>
      </c>
      <c r="H1293" s="1">
        <v>19</v>
      </c>
      <c r="I1293">
        <v>2019</v>
      </c>
      <c r="J1293" t="str">
        <f t="shared" si="157"/>
        <v>12: 600 - 699</v>
      </c>
      <c r="L1293" t="s">
        <v>2395</v>
      </c>
      <c r="M1293" t="s">
        <v>28</v>
      </c>
      <c r="N1293" t="s">
        <v>2404</v>
      </c>
      <c r="O1293">
        <v>9</v>
      </c>
      <c r="P1293" s="2">
        <v>43740</v>
      </c>
      <c r="Q1293" s="1">
        <v>38</v>
      </c>
      <c r="R1293" t="s">
        <v>3183</v>
      </c>
      <c r="S1293">
        <v>1065546007</v>
      </c>
    </row>
    <row r="1294" spans="1:19" x14ac:dyDescent="0.2">
      <c r="A1294" t="str">
        <f t="shared" si="156"/>
        <v>Adult Nonfiction</v>
      </c>
      <c r="B1294" t="str">
        <f>"NEW 641.5 HYM"</f>
        <v>NEW 641.5 HYM</v>
      </c>
      <c r="C1294" t="str">
        <f>"Food: what the heck should I cook"</f>
        <v>Food: what the heck should I cook</v>
      </c>
      <c r="D1294">
        <v>358696</v>
      </c>
      <c r="E1294" t="str">
        <f>"Hyman, Mark"</f>
        <v>Hyman, Mark</v>
      </c>
      <c r="G1294" t="str">
        <f>"309 pages, 25 cm, color illustrations"</f>
        <v>309 pages, 25 cm, color illustrations</v>
      </c>
      <c r="H1294" s="1">
        <v>19</v>
      </c>
      <c r="I1294">
        <v>2019</v>
      </c>
      <c r="J1294" t="str">
        <f t="shared" si="157"/>
        <v>12: 600 - 699</v>
      </c>
      <c r="L1294" t="s">
        <v>2395</v>
      </c>
      <c r="M1294" t="s">
        <v>28</v>
      </c>
      <c r="N1294" t="s">
        <v>2404</v>
      </c>
      <c r="O1294">
        <v>5</v>
      </c>
      <c r="P1294" s="2">
        <v>43762</v>
      </c>
      <c r="Q1294" s="1">
        <v>37</v>
      </c>
      <c r="R1294" t="s">
        <v>3184</v>
      </c>
      <c r="S1294">
        <v>1117531835</v>
      </c>
    </row>
    <row r="1295" spans="1:19" x14ac:dyDescent="0.2">
      <c r="A1295" t="str">
        <f t="shared" ref="A1295:A1358" si="158">"Adult Nonfiction"</f>
        <v>Adult Nonfiction</v>
      </c>
      <c r="B1295" t="str">
        <f>"NEW 641.5 NEW"</f>
        <v>NEW 641.5 NEW</v>
      </c>
      <c r="C1295" t="str">
        <f>"The new essentials cookbook: a modern guide to better cooking"</f>
        <v>The new essentials cookbook: a modern guide to better cooking</v>
      </c>
      <c r="D1295">
        <v>350153</v>
      </c>
      <c r="G1295" t="str">
        <f>"xiii, 482 pages, 27 cm, color illustrations"</f>
        <v>xiii, 482 pages, 27 cm, color illustrations</v>
      </c>
      <c r="H1295" s="1">
        <v>18</v>
      </c>
      <c r="I1295">
        <v>2018</v>
      </c>
      <c r="J1295" t="str">
        <f t="shared" si="157"/>
        <v>12: 600 - 699</v>
      </c>
      <c r="L1295" t="s">
        <v>2395</v>
      </c>
      <c r="M1295" t="s">
        <v>28</v>
      </c>
      <c r="N1295" t="s">
        <v>2404</v>
      </c>
      <c r="O1295">
        <v>20</v>
      </c>
      <c r="P1295" s="2">
        <v>43368</v>
      </c>
      <c r="Q1295" s="1">
        <v>45</v>
      </c>
      <c r="R1295" t="s">
        <v>3185</v>
      </c>
      <c r="S1295">
        <v>1022207843</v>
      </c>
    </row>
    <row r="1296" spans="1:19" x14ac:dyDescent="0.2">
      <c r="A1296" t="str">
        <f t="shared" si="158"/>
        <v>Adult Nonfiction</v>
      </c>
      <c r="B1296" t="str">
        <f>"NEW 641.5 POR"</f>
        <v>NEW 641.5 POR</v>
      </c>
      <c r="C1296" t="str">
        <f>"Antoni in the kitchen"</f>
        <v>Antoni in the kitchen</v>
      </c>
      <c r="D1296">
        <v>357268</v>
      </c>
      <c r="E1296" t="str">
        <f>"Porowski, Antoni"</f>
        <v>Porowski, Antoni</v>
      </c>
      <c r="G1296" t="str">
        <f>"272 pages, 27 cm, illustrations (chiefly color)"</f>
        <v>272 pages, 27 cm, illustrations (chiefly color)</v>
      </c>
      <c r="H1296" s="1">
        <v>19</v>
      </c>
      <c r="I1296">
        <v>2019</v>
      </c>
      <c r="J1296" t="str">
        <f t="shared" si="157"/>
        <v>12: 600 - 699</v>
      </c>
      <c r="L1296" t="s">
        <v>2395</v>
      </c>
      <c r="M1296" t="s">
        <v>28</v>
      </c>
      <c r="N1296" t="s">
        <v>2404</v>
      </c>
      <c r="O1296">
        <v>7</v>
      </c>
      <c r="P1296" s="2">
        <v>43711</v>
      </c>
      <c r="Q1296" s="1">
        <v>35</v>
      </c>
      <c r="R1296" t="s">
        <v>3186</v>
      </c>
      <c r="S1296">
        <v>1033573766</v>
      </c>
    </row>
    <row r="1297" spans="1:19" x14ac:dyDescent="0.2">
      <c r="A1297" t="str">
        <f t="shared" si="158"/>
        <v>Adult Nonfiction</v>
      </c>
      <c r="B1297" t="str">
        <f>"NEW 641.5 ROM"</f>
        <v>NEW 641.5 ROM</v>
      </c>
      <c r="C1297" t="str">
        <f>"Nothing fancy: unfussy food for having people over"</f>
        <v>Nothing fancy: unfussy food for having people over</v>
      </c>
      <c r="D1297">
        <v>358654</v>
      </c>
      <c r="E1297" t="str">
        <f>"Roman, Alison"</f>
        <v>Roman, Alison</v>
      </c>
      <c r="G1297" t="str">
        <f>"319 pages, 26 cm, illustrations (chiefly color)"</f>
        <v>319 pages, 26 cm, illustrations (chiefly color)</v>
      </c>
      <c r="H1297" s="1">
        <v>19</v>
      </c>
      <c r="I1297">
        <v>2019</v>
      </c>
      <c r="J1297" t="str">
        <f t="shared" si="157"/>
        <v>12: 600 - 699</v>
      </c>
      <c r="L1297" t="s">
        <v>2395</v>
      </c>
      <c r="M1297" t="s">
        <v>28</v>
      </c>
      <c r="N1297" t="s">
        <v>2404</v>
      </c>
      <c r="O1297">
        <v>7</v>
      </c>
      <c r="P1297" s="2">
        <v>43760</v>
      </c>
      <c r="Q1297" s="1">
        <v>38</v>
      </c>
      <c r="R1297" t="s">
        <v>3187</v>
      </c>
      <c r="S1297">
        <v>1082295850</v>
      </c>
    </row>
    <row r="1298" spans="1:19" x14ac:dyDescent="0.2">
      <c r="A1298" t="str">
        <f t="shared" si="158"/>
        <v>Adult Nonfiction</v>
      </c>
      <c r="B1298" t="str">
        <f>"NEW 641.5 SYM"</f>
        <v>NEW 641.5 SYM</v>
      </c>
      <c r="C1298" t="str">
        <f>"Fix it with food: more than 125 recipes to address autoimmune issues and inflammation"</f>
        <v>Fix it with food: more than 125 recipes to address autoimmune issues and inflammation</v>
      </c>
      <c r="D1298">
        <v>359662</v>
      </c>
      <c r="E1298" t="str">
        <f>"Symon, Michael."</f>
        <v>Symon, Michael.</v>
      </c>
      <c r="G1298" t="str">
        <f>"255 pages, 25 cm, color illustrations"</f>
        <v>255 pages, 25 cm, color illustrations</v>
      </c>
      <c r="H1298" s="1">
        <v>19</v>
      </c>
      <c r="I1298">
        <v>2019</v>
      </c>
      <c r="J1298" t="str">
        <f t="shared" si="157"/>
        <v>12: 600 - 699</v>
      </c>
      <c r="L1298" t="s">
        <v>2395</v>
      </c>
      <c r="M1298" t="s">
        <v>28</v>
      </c>
      <c r="N1298" t="s">
        <v>2404</v>
      </c>
      <c r="O1298">
        <v>5</v>
      </c>
      <c r="P1298" s="2">
        <v>43804</v>
      </c>
      <c r="Q1298" s="1">
        <v>35</v>
      </c>
      <c r="R1298" t="s">
        <v>3188</v>
      </c>
      <c r="S1298">
        <v>1128094310</v>
      </c>
    </row>
    <row r="1299" spans="1:19" x14ac:dyDescent="0.2">
      <c r="A1299" t="str">
        <f t="shared" si="158"/>
        <v>Adult Nonfiction</v>
      </c>
      <c r="B1299" t="str">
        <f>"NEW 641.5 THO"</f>
        <v>NEW 641.5 THO</v>
      </c>
      <c r="C1299" t="str">
        <f>"The official bright line eating cookbook: weight loss made simple"</f>
        <v>The official bright line eating cookbook: weight loss made simple</v>
      </c>
      <c r="D1299">
        <v>358714</v>
      </c>
      <c r="E1299" t="str">
        <f>"Thompson, Susan Peirce"</f>
        <v>Thompson, Susan Peirce</v>
      </c>
      <c r="G1299" t="str">
        <f>"340 p."</f>
        <v>340 p.</v>
      </c>
      <c r="H1299" s="1">
        <v>19</v>
      </c>
      <c r="I1299">
        <v>2019</v>
      </c>
      <c r="J1299" t="str">
        <f t="shared" si="157"/>
        <v>12: 600 - 699</v>
      </c>
      <c r="L1299" t="s">
        <v>2403</v>
      </c>
      <c r="M1299" t="s">
        <v>28</v>
      </c>
      <c r="N1299" t="s">
        <v>2396</v>
      </c>
      <c r="O1299">
        <v>2</v>
      </c>
      <c r="P1299" s="2">
        <v>43762</v>
      </c>
      <c r="Q1299" s="1">
        <v>35</v>
      </c>
      <c r="R1299" t="s">
        <v>3189</v>
      </c>
      <c r="S1299">
        <v>1083708572</v>
      </c>
    </row>
    <row r="1300" spans="1:19" x14ac:dyDescent="0.2">
      <c r="A1300" t="str">
        <f t="shared" si="158"/>
        <v>Adult Nonfiction</v>
      </c>
      <c r="B1300" t="str">
        <f>"NEW 641.51 BOR"</f>
        <v>NEW 641.51 BOR</v>
      </c>
      <c r="C1300" t="str">
        <f>"The Mexican Keto cookbook: authentic, big-flavor recipes for health and longevity"</f>
        <v>The Mexican Keto cookbook: authentic, big-flavor recipes for health and longevity</v>
      </c>
      <c r="D1300">
        <v>359870</v>
      </c>
      <c r="E1300" t="str">
        <f>"Borrelli, Torie,"</f>
        <v>Borrelli, Torie,</v>
      </c>
      <c r="G1300" t="str">
        <f>"viii, 231 pages, 24 cm, color illustrations"</f>
        <v>viii, 231 pages, 24 cm, color illustrations</v>
      </c>
      <c r="H1300" s="1">
        <v>19</v>
      </c>
      <c r="I1300">
        <v>2019</v>
      </c>
      <c r="J1300" t="str">
        <f t="shared" si="157"/>
        <v>12: 600 - 699</v>
      </c>
      <c r="L1300" t="s">
        <v>2395</v>
      </c>
      <c r="M1300" t="s">
        <v>28</v>
      </c>
      <c r="N1300" t="s">
        <v>2404</v>
      </c>
      <c r="O1300">
        <v>1</v>
      </c>
      <c r="P1300" s="2">
        <v>43815</v>
      </c>
      <c r="Q1300" s="1">
        <v>30</v>
      </c>
      <c r="R1300" t="s">
        <v>3190</v>
      </c>
      <c r="S1300">
        <v>1096231451</v>
      </c>
    </row>
    <row r="1301" spans="1:19" x14ac:dyDescent="0.2">
      <c r="A1301" t="str">
        <f t="shared" si="158"/>
        <v>Adult Nonfiction</v>
      </c>
      <c r="B1301" t="str">
        <f>"NEW 641.51 HOL"</f>
        <v>NEW 641.51 HOL</v>
      </c>
      <c r="C1301" t="str">
        <f>"Dairy free Keto cooking: a nutritional approach to restoring health and wellness"</f>
        <v>Dairy free Keto cooking: a nutritional approach to restoring health and wellness</v>
      </c>
      <c r="D1301">
        <v>356253</v>
      </c>
      <c r="E1301" t="str">
        <f>"Holley, Kyndra."</f>
        <v>Holley, Kyndra.</v>
      </c>
      <c r="G1301" t="str">
        <f>"432 p."</f>
        <v>432 p.</v>
      </c>
      <c r="H1301" s="1">
        <v>19</v>
      </c>
      <c r="I1301">
        <v>2019</v>
      </c>
      <c r="J1301" t="str">
        <f t="shared" si="157"/>
        <v>12: 600 - 699</v>
      </c>
      <c r="L1301" t="s">
        <v>2403</v>
      </c>
      <c r="M1301" t="s">
        <v>28</v>
      </c>
      <c r="N1301" t="s">
        <v>2401</v>
      </c>
      <c r="O1301">
        <v>5</v>
      </c>
      <c r="P1301" s="2">
        <v>43661</v>
      </c>
      <c r="Q1301" s="1">
        <v>40</v>
      </c>
      <c r="R1301" t="s">
        <v>3191</v>
      </c>
    </row>
    <row r="1302" spans="1:19" x14ac:dyDescent="0.2">
      <c r="A1302" t="str">
        <f t="shared" si="158"/>
        <v>Adult Nonfiction</v>
      </c>
      <c r="B1302" t="str">
        <f>"NEW 641.51 RAM"</f>
        <v>NEW 641.51 RAM</v>
      </c>
      <c r="C1302" t="str">
        <f>"Eat complete: the 21 nutrients that fuel brainpower, boost weight loss, and transform your health"</f>
        <v>Eat complete: the 21 nutrients that fuel brainpower, boost weight loss, and transform your health</v>
      </c>
      <c r="D1302">
        <v>360596</v>
      </c>
      <c r="E1302" t="str">
        <f>"Ramsey, Drew"</f>
        <v>Ramsey, Drew</v>
      </c>
      <c r="G1302" t="str">
        <f>"293 pages, 24 cm, color illustrations"</f>
        <v>293 pages, 24 cm, color illustrations</v>
      </c>
      <c r="H1302" s="1">
        <v>20</v>
      </c>
      <c r="I1302">
        <v>2016</v>
      </c>
      <c r="J1302" t="str">
        <f t="shared" si="157"/>
        <v>12: 600 - 699</v>
      </c>
      <c r="L1302" t="s">
        <v>2395</v>
      </c>
      <c r="M1302" t="s">
        <v>28</v>
      </c>
      <c r="N1302" t="s">
        <v>2495</v>
      </c>
      <c r="O1302">
        <v>0</v>
      </c>
      <c r="P1302" s="2">
        <v>43859</v>
      </c>
      <c r="Q1302" s="1">
        <v>32</v>
      </c>
      <c r="R1302" t="s">
        <v>3192</v>
      </c>
    </row>
    <row r="1303" spans="1:19" x14ac:dyDescent="0.2">
      <c r="A1303" t="str">
        <f t="shared" si="158"/>
        <v>Adult Nonfiction</v>
      </c>
      <c r="B1303" t="str">
        <f>"NEW 641.51 TAS"</f>
        <v>NEW 641.51 TAS</v>
      </c>
      <c r="C1303" t="str">
        <f>"Tasty every day: all of the flavor, none of the fuss"</f>
        <v>Tasty every day: all of the flavor, none of the fuss</v>
      </c>
      <c r="D1303">
        <v>359490</v>
      </c>
      <c r="G1303" t="str">
        <f>"192 p., 24 cm, illustrations"</f>
        <v>192 p., 24 cm, illustrations</v>
      </c>
      <c r="H1303" s="1">
        <v>19</v>
      </c>
      <c r="I1303">
        <v>2019</v>
      </c>
      <c r="J1303" t="str">
        <f t="shared" ref="J1303:J1319" si="159">"12: 600 - 699"</f>
        <v>12: 600 - 699</v>
      </c>
      <c r="L1303" t="s">
        <v>2403</v>
      </c>
      <c r="M1303" t="s">
        <v>28</v>
      </c>
      <c r="N1303" t="s">
        <v>2495</v>
      </c>
      <c r="O1303">
        <v>0</v>
      </c>
      <c r="P1303" s="2">
        <v>43802</v>
      </c>
      <c r="Q1303" s="1">
        <v>25</v>
      </c>
      <c r="R1303" t="s">
        <v>3193</v>
      </c>
      <c r="S1303">
        <v>1084633802</v>
      </c>
    </row>
    <row r="1304" spans="1:19" x14ac:dyDescent="0.2">
      <c r="A1304" t="str">
        <f t="shared" si="158"/>
        <v>Adult Nonfiction</v>
      </c>
      <c r="B1304" t="str">
        <f>"NEW 641.52 SNO"</f>
        <v>NEW 641.52 SNO</v>
      </c>
      <c r="C1304" t="str">
        <f>"The defined dish: healthy and wholesome weeknight recipes"</f>
        <v>The defined dish: healthy and wholesome weeknight recipes</v>
      </c>
      <c r="D1304">
        <v>360214</v>
      </c>
      <c r="E1304" t="str">
        <f>"Snodgrass, Alex"</f>
        <v>Snodgrass, Alex</v>
      </c>
      <c r="G1304" t="str">
        <f>"xi, 291 pages, 24 cm, color illustrations"</f>
        <v>xi, 291 pages, 24 cm, color illustrations</v>
      </c>
      <c r="H1304" s="1">
        <v>19</v>
      </c>
      <c r="I1304">
        <v>2020</v>
      </c>
      <c r="J1304" t="str">
        <f t="shared" si="159"/>
        <v>12: 600 - 699</v>
      </c>
      <c r="L1304" t="s">
        <v>2395</v>
      </c>
      <c r="M1304" t="s">
        <v>28</v>
      </c>
      <c r="N1304" t="s">
        <v>2495</v>
      </c>
      <c r="O1304">
        <v>0</v>
      </c>
      <c r="P1304" s="2">
        <v>43844</v>
      </c>
      <c r="Q1304" s="1">
        <v>35</v>
      </c>
      <c r="R1304" t="s">
        <v>3194</v>
      </c>
      <c r="S1304">
        <v>1112790918</v>
      </c>
    </row>
    <row r="1305" spans="1:19" x14ac:dyDescent="0.2">
      <c r="A1305" t="str">
        <f t="shared" si="158"/>
        <v>Adult Nonfiction</v>
      </c>
      <c r="B1305" t="str">
        <f>"NEW 641.545 BAS"</f>
        <v>NEW 641.545 BAS</v>
      </c>
      <c r="C1305" t="str">
        <f>"Felidia: recipes from my flagship restaurant"</f>
        <v>Felidia: recipes from my flagship restaurant</v>
      </c>
      <c r="D1305">
        <v>358870</v>
      </c>
      <c r="E1305" t="str">
        <f>"Bastianich, Lidia"</f>
        <v>Bastianich, Lidia</v>
      </c>
      <c r="G1305" t="str">
        <f>"pages cm"</f>
        <v>pages cm</v>
      </c>
      <c r="H1305" s="1">
        <v>19</v>
      </c>
      <c r="I1305">
        <v>2019</v>
      </c>
      <c r="J1305" t="str">
        <f t="shared" si="159"/>
        <v>12: 600 - 699</v>
      </c>
      <c r="L1305" t="s">
        <v>2395</v>
      </c>
      <c r="M1305" t="s">
        <v>28</v>
      </c>
      <c r="N1305" t="s">
        <v>2404</v>
      </c>
      <c r="O1305">
        <v>3</v>
      </c>
      <c r="P1305" s="2">
        <v>43769</v>
      </c>
      <c r="Q1305" s="1">
        <v>40</v>
      </c>
      <c r="R1305" t="s">
        <v>3195</v>
      </c>
      <c r="S1305">
        <v>1081377373</v>
      </c>
    </row>
    <row r="1306" spans="1:19" x14ac:dyDescent="0.2">
      <c r="A1306" t="str">
        <f t="shared" si="158"/>
        <v>Adult Nonfiction</v>
      </c>
      <c r="B1306" t="str">
        <f>"NEW 641.545 BUE"</f>
        <v>NEW 641.545 BUE</v>
      </c>
      <c r="C1306" t="str">
        <f>"The Blue Zones kitchen: 100 recipes to live to 100"</f>
        <v>The Blue Zones kitchen: 100 recipes to live to 100</v>
      </c>
      <c r="D1306">
        <v>360265</v>
      </c>
      <c r="E1306" t="str">
        <f>"Buettner, Dan"</f>
        <v>Buettner, Dan</v>
      </c>
      <c r="G1306" t="str">
        <f>"303 pages, 26 cm, color illustrations"</f>
        <v>303 pages, 26 cm, color illustrations</v>
      </c>
      <c r="H1306" s="1">
        <v>19</v>
      </c>
      <c r="I1306">
        <v>2019</v>
      </c>
      <c r="J1306" t="str">
        <f t="shared" si="159"/>
        <v>12: 600 - 699</v>
      </c>
      <c r="L1306" t="s">
        <v>2395</v>
      </c>
      <c r="M1306" t="s">
        <v>28</v>
      </c>
      <c r="N1306" t="s">
        <v>2404</v>
      </c>
      <c r="O1306">
        <v>1</v>
      </c>
      <c r="P1306" s="2">
        <v>43844</v>
      </c>
      <c r="Q1306" s="1">
        <v>35</v>
      </c>
      <c r="R1306" t="s">
        <v>3196</v>
      </c>
      <c r="S1306">
        <v>1128022348</v>
      </c>
    </row>
    <row r="1307" spans="1:19" x14ac:dyDescent="0.2">
      <c r="A1307" t="str">
        <f t="shared" si="158"/>
        <v>Adult Nonfiction</v>
      </c>
      <c r="B1307" t="str">
        <f>"NEW 641.545 FER"</f>
        <v>NEW 641.545 FER</v>
      </c>
      <c r="C1307" t="str">
        <f>"The weeknight Mediterranean kitchen: 80 authentic, healthy recipes made quick and easy for everyday cooking"</f>
        <v>The weeknight Mediterranean kitchen: 80 authentic, healthy recipes made quick and easy for everyday cooking</v>
      </c>
      <c r="D1307">
        <v>359398</v>
      </c>
      <c r="E1307" t="str">
        <f>"Ferraro, Samantha,"</f>
        <v>Ferraro, Samantha,</v>
      </c>
      <c r="G1307" t="str">
        <f>"192 p., 23 cm, color illustrations"</f>
        <v>192 p., 23 cm, color illustrations</v>
      </c>
      <c r="H1307" s="1">
        <v>19</v>
      </c>
      <c r="I1307">
        <v>2018</v>
      </c>
      <c r="J1307" t="str">
        <f t="shared" si="159"/>
        <v>12: 600 - 699</v>
      </c>
      <c r="L1307" t="s">
        <v>2403</v>
      </c>
      <c r="M1307" t="s">
        <v>28</v>
      </c>
      <c r="N1307" t="s">
        <v>2404</v>
      </c>
      <c r="O1307">
        <v>5</v>
      </c>
      <c r="P1307" s="2">
        <v>43788</v>
      </c>
      <c r="Q1307" s="1">
        <v>27</v>
      </c>
      <c r="R1307" t="s">
        <v>3197</v>
      </c>
      <c r="S1307">
        <v>1001332750</v>
      </c>
    </row>
    <row r="1308" spans="1:19" x14ac:dyDescent="0.2">
      <c r="A1308" t="str">
        <f t="shared" si="158"/>
        <v>Adult Nonfiction</v>
      </c>
      <c r="B1308" t="str">
        <f>"NEW 641.5519 MAA"</f>
        <v>NEW 641.5519 MAA</v>
      </c>
      <c r="C1308" t="str">
        <f>"Maangchi's big book of Korean cooking: from everyday meals to celebration cuisine"</f>
        <v>Maangchi's big book of Korean cooking: from everyday meals to celebration cuisine</v>
      </c>
      <c r="D1308">
        <v>358883</v>
      </c>
      <c r="G1308" t="str">
        <f>"447 pages, 26 cm, color illustrations"</f>
        <v>447 pages, 26 cm, color illustrations</v>
      </c>
      <c r="H1308" s="1">
        <v>19</v>
      </c>
      <c r="I1308">
        <v>2019</v>
      </c>
      <c r="J1308" t="str">
        <f t="shared" si="159"/>
        <v>12: 600 - 699</v>
      </c>
      <c r="L1308" t="s">
        <v>2403</v>
      </c>
      <c r="M1308" t="s">
        <v>28</v>
      </c>
      <c r="N1308" t="s">
        <v>2404</v>
      </c>
      <c r="O1308">
        <v>4</v>
      </c>
      <c r="P1308" s="2">
        <v>43769</v>
      </c>
      <c r="Q1308" s="1">
        <v>40</v>
      </c>
      <c r="R1308" t="s">
        <v>3198</v>
      </c>
      <c r="S1308">
        <v>1080246541</v>
      </c>
    </row>
    <row r="1309" spans="1:19" x14ac:dyDescent="0.2">
      <c r="A1309" t="str">
        <f t="shared" si="158"/>
        <v>Adult Nonfiction</v>
      </c>
      <c r="B1309" t="str">
        <f>"NEW 641.556 GHA"</f>
        <v>NEW 641.556 GHA</v>
      </c>
      <c r="C1309" t="str">
        <f>"Bazaar: vibrant vegetarian recipes"</f>
        <v>Bazaar: vibrant vegetarian recipes</v>
      </c>
      <c r="D1309">
        <v>356374</v>
      </c>
      <c r="E1309" t="str">
        <f>"Ghayour, Sabrina"</f>
        <v>Ghayour, Sabrina</v>
      </c>
      <c r="G1309" t="str">
        <f>"239 pages, 26 cm, color illustrations"</f>
        <v>239 pages, 26 cm, color illustrations</v>
      </c>
      <c r="H1309" s="1">
        <v>19</v>
      </c>
      <c r="I1309">
        <v>2019</v>
      </c>
      <c r="J1309" t="str">
        <f t="shared" si="159"/>
        <v>12: 600 - 699</v>
      </c>
      <c r="L1309" t="s">
        <v>2403</v>
      </c>
      <c r="M1309" t="s">
        <v>28</v>
      </c>
      <c r="N1309" t="s">
        <v>2404</v>
      </c>
      <c r="O1309">
        <v>11</v>
      </c>
      <c r="P1309" s="2">
        <v>43671</v>
      </c>
      <c r="Q1309" s="1">
        <v>40</v>
      </c>
      <c r="R1309" t="s">
        <v>3199</v>
      </c>
      <c r="S1309">
        <v>1048095007</v>
      </c>
    </row>
    <row r="1310" spans="1:19" x14ac:dyDescent="0.2">
      <c r="A1310" t="str">
        <f t="shared" si="158"/>
        <v>Adult Nonfiction</v>
      </c>
      <c r="B1310" t="str">
        <f>"NEW 641.572 CEN"</f>
        <v>NEW 641.572 CEN</v>
      </c>
      <c r="C1310" t="str">
        <f>"Am�: a modern Tex-Mex kitchen"</f>
        <v>Am�: a modern Tex-Mex kitchen</v>
      </c>
      <c r="D1310">
        <v>358096</v>
      </c>
      <c r="E1310" t="str">
        <f>"Centeno, Josef"</f>
        <v>Centeno, Josef</v>
      </c>
      <c r="G1310" t="str">
        <f>"272 p"</f>
        <v>272 p</v>
      </c>
      <c r="H1310" s="1">
        <v>19</v>
      </c>
      <c r="I1310">
        <v>2019</v>
      </c>
      <c r="J1310" t="str">
        <f t="shared" si="159"/>
        <v>12: 600 - 699</v>
      </c>
      <c r="L1310" t="s">
        <v>2403</v>
      </c>
      <c r="M1310" t="s">
        <v>28</v>
      </c>
      <c r="N1310" t="s">
        <v>2404</v>
      </c>
      <c r="O1310">
        <v>6</v>
      </c>
      <c r="P1310" s="2">
        <v>43740</v>
      </c>
      <c r="Q1310" s="1">
        <v>35</v>
      </c>
      <c r="R1310" t="s">
        <v>3200</v>
      </c>
      <c r="S1310">
        <v>1080250539</v>
      </c>
    </row>
    <row r="1311" spans="1:19" x14ac:dyDescent="0.2">
      <c r="A1311" t="str">
        <f t="shared" si="158"/>
        <v>Adult Nonfiction</v>
      </c>
      <c r="B1311" t="str">
        <f>"NEW 641.5764 KEN"</f>
        <v>NEW 641.5764 KEN</v>
      </c>
      <c r="C1311" t="str">
        <f>"Austin food crawls: touring the neighborhoods one bite &amp; libation at a time"</f>
        <v>Austin food crawls: touring the neighborhoods one bite &amp; libation at a time</v>
      </c>
      <c r="D1311">
        <v>408258</v>
      </c>
      <c r="E1311" t="str">
        <f>"Kennedy, Kelsey"</f>
        <v>Kennedy, Kelsey</v>
      </c>
      <c r="G1311" t="str">
        <f>"207 p."</f>
        <v>207 p.</v>
      </c>
      <c r="H1311" s="1">
        <v>19</v>
      </c>
      <c r="I1311">
        <v>2019</v>
      </c>
      <c r="J1311" t="str">
        <f t="shared" si="159"/>
        <v>12: 600 - 699</v>
      </c>
      <c r="L1311" t="s">
        <v>2403</v>
      </c>
      <c r="M1311" t="s">
        <v>28</v>
      </c>
      <c r="N1311" t="s">
        <v>2404</v>
      </c>
      <c r="O1311">
        <v>5</v>
      </c>
      <c r="P1311" s="2">
        <v>43762</v>
      </c>
      <c r="Q1311" s="1">
        <v>27</v>
      </c>
      <c r="R1311" t="s">
        <v>3201</v>
      </c>
      <c r="S1311">
        <v>1039345850</v>
      </c>
    </row>
    <row r="1312" spans="1:19" x14ac:dyDescent="0.2">
      <c r="A1312" t="str">
        <f t="shared" si="158"/>
        <v>Adult Nonfiction</v>
      </c>
      <c r="B1312" t="str">
        <f>"NEW 641.6 EMM"</f>
        <v>NEW 641.6 EMM</v>
      </c>
      <c r="C1312" t="str">
        <f>"The carnivore cookbook: the complete guide to success on the carnivore diet with over 100 recipes, meal plans, and science"</f>
        <v>The carnivore cookbook: the complete guide to success on the carnivore diet with over 100 recipes, meal plans, and science</v>
      </c>
      <c r="D1312">
        <v>360594</v>
      </c>
      <c r="E1312" t="str">
        <f>"Emmerich, Maria"</f>
        <v>Emmerich, Maria</v>
      </c>
      <c r="G1312" t="str">
        <f>"336 pages, 26 cm, color illustrations"</f>
        <v>336 pages, 26 cm, color illustrations</v>
      </c>
      <c r="H1312" s="1">
        <v>20</v>
      </c>
      <c r="I1312">
        <v>2020</v>
      </c>
      <c r="J1312" t="str">
        <f t="shared" si="159"/>
        <v>12: 600 - 699</v>
      </c>
      <c r="L1312" t="s">
        <v>2395</v>
      </c>
      <c r="M1312" t="s">
        <v>28</v>
      </c>
      <c r="N1312" t="s">
        <v>2495</v>
      </c>
      <c r="O1312">
        <v>0</v>
      </c>
      <c r="P1312" s="2">
        <v>43859</v>
      </c>
      <c r="Q1312" s="1">
        <v>40</v>
      </c>
      <c r="R1312" t="s">
        <v>3202</v>
      </c>
      <c r="S1312">
        <v>1127083462</v>
      </c>
    </row>
    <row r="1313" spans="1:19" x14ac:dyDescent="0.2">
      <c r="A1313" t="str">
        <f t="shared" si="158"/>
        <v>Adult Nonfiction</v>
      </c>
      <c r="B1313" t="str">
        <f>"NEW 641.6 VEG"</f>
        <v>NEW 641.6 VEG</v>
      </c>
      <c r="C1313" t="str">
        <f>"Vegetables illustrated: an inspiring guide with 700  kitchen-tested recipes"</f>
        <v>Vegetables illustrated: an inspiring guide with 700  kitchen-tested recipes</v>
      </c>
      <c r="D1313">
        <v>357126</v>
      </c>
      <c r="G1313" t="str">
        <f>"xvi, 528 p., 28 cm, illustrations (chiefly color)"</f>
        <v>xvi, 528 p., 28 cm, illustrations (chiefly color)</v>
      </c>
      <c r="H1313" s="1">
        <v>19</v>
      </c>
      <c r="I1313">
        <v>2019</v>
      </c>
      <c r="J1313" t="str">
        <f t="shared" si="159"/>
        <v>12: 600 - 699</v>
      </c>
      <c r="L1313" t="s">
        <v>2403</v>
      </c>
      <c r="M1313" t="s">
        <v>28</v>
      </c>
      <c r="N1313" t="s">
        <v>2404</v>
      </c>
      <c r="O1313">
        <v>5</v>
      </c>
      <c r="P1313" s="2">
        <v>43704</v>
      </c>
      <c r="Q1313" s="1">
        <v>45</v>
      </c>
      <c r="R1313" t="s">
        <v>3203</v>
      </c>
      <c r="S1313">
        <v>1043203541</v>
      </c>
    </row>
    <row r="1314" spans="1:19" x14ac:dyDescent="0.2">
      <c r="A1314" t="str">
        <f t="shared" si="158"/>
        <v>Adult Nonfiction</v>
      </c>
      <c r="B1314" t="str">
        <f>"NEW 641.8 BAR"</f>
        <v>NEW 641.8 BAR</v>
      </c>
      <c r="C1314" t="str">
        <f>"When pies fly: handmade pastries from strudels to stromboli, empanadas to knishes"</f>
        <v>When pies fly: handmade pastries from strudels to stromboli, empanadas to knishes</v>
      </c>
      <c r="D1314">
        <v>359892</v>
      </c>
      <c r="E1314" t="str">
        <f>"Barrow, Cathy,"</f>
        <v>Barrow, Cathy,</v>
      </c>
      <c r="G1314" t="str">
        <f>"xvi, 286 pages, 25 cm, color illustrations"</f>
        <v>xvi, 286 pages, 25 cm, color illustrations</v>
      </c>
      <c r="H1314" s="1">
        <v>19</v>
      </c>
      <c r="I1314">
        <v>2019</v>
      </c>
      <c r="J1314" t="str">
        <f t="shared" si="159"/>
        <v>12: 600 - 699</v>
      </c>
      <c r="L1314" t="s">
        <v>2395</v>
      </c>
      <c r="M1314" t="s">
        <v>28</v>
      </c>
      <c r="N1314" t="s">
        <v>2404</v>
      </c>
      <c r="O1314">
        <v>3</v>
      </c>
      <c r="P1314" s="2">
        <v>43815</v>
      </c>
      <c r="Q1314" s="1">
        <v>35</v>
      </c>
      <c r="R1314" t="s">
        <v>3204</v>
      </c>
      <c r="S1314">
        <v>1119666582</v>
      </c>
    </row>
    <row r="1315" spans="1:19" x14ac:dyDescent="0.2">
      <c r="A1315" t="str">
        <f t="shared" si="158"/>
        <v>Adult Nonfiction</v>
      </c>
      <c r="B1315" t="str">
        <f>"NEW 641.8 PRU"</f>
        <v>NEW 641.8 PRU</v>
      </c>
      <c r="C1315" t="str">
        <f>"Tartine: a classic revisited"</f>
        <v>Tartine: a classic revisited</v>
      </c>
      <c r="D1315">
        <v>358136</v>
      </c>
      <c r="E1315" t="str">
        <f>"Prueitt, Elisabeth M."</f>
        <v>Prueitt, Elisabeth M.</v>
      </c>
      <c r="G1315" t="str">
        <f>"328 p."</f>
        <v>328 p.</v>
      </c>
      <c r="H1315" s="1">
        <v>19</v>
      </c>
      <c r="I1315">
        <v>2019</v>
      </c>
      <c r="J1315" t="str">
        <f t="shared" si="159"/>
        <v>12: 600 - 699</v>
      </c>
      <c r="L1315" t="s">
        <v>2395</v>
      </c>
      <c r="M1315" t="s">
        <v>28</v>
      </c>
      <c r="N1315" t="s">
        <v>2404</v>
      </c>
      <c r="O1315">
        <v>6</v>
      </c>
      <c r="P1315" s="2">
        <v>43740</v>
      </c>
      <c r="Q1315" s="1">
        <v>45</v>
      </c>
      <c r="R1315" t="s">
        <v>3205</v>
      </c>
      <c r="S1315">
        <v>1120786676</v>
      </c>
    </row>
    <row r="1316" spans="1:19" x14ac:dyDescent="0.2">
      <c r="A1316" t="str">
        <f t="shared" si="158"/>
        <v>Adult Nonfiction</v>
      </c>
      <c r="B1316" t="str">
        <f>"NEW 642 GOL"</f>
        <v>NEW 642 GOL</v>
      </c>
      <c r="C1316" t="str">
        <f>"The unqualified hostess: I do it my way so you can too!"</f>
        <v>The unqualified hostess: I do it my way so you can too!</v>
      </c>
      <c r="D1316">
        <v>357937</v>
      </c>
      <c r="E1316" t="str">
        <f>"Goldberg, Whoopi"</f>
        <v>Goldberg, Whoopi</v>
      </c>
      <c r="H1316" s="1">
        <v>19</v>
      </c>
      <c r="I1316">
        <v>2019</v>
      </c>
      <c r="J1316" t="str">
        <f t="shared" si="159"/>
        <v>12: 600 - 699</v>
      </c>
      <c r="L1316" t="s">
        <v>2395</v>
      </c>
      <c r="M1316" t="s">
        <v>28</v>
      </c>
      <c r="N1316" t="s">
        <v>2396</v>
      </c>
      <c r="O1316">
        <v>3</v>
      </c>
      <c r="P1316" s="2">
        <v>43733</v>
      </c>
      <c r="Q1316" s="1">
        <v>40</v>
      </c>
      <c r="R1316" t="s">
        <v>3206</v>
      </c>
    </row>
    <row r="1317" spans="1:19" x14ac:dyDescent="0.2">
      <c r="A1317" t="str">
        <f t="shared" si="158"/>
        <v>Adult Nonfiction</v>
      </c>
      <c r="B1317" t="str">
        <f>"NEW 645 CAB"</f>
        <v>NEW 645 CAB</v>
      </c>
      <c r="C1317" t="str">
        <f>"Cabin porn: inside"</f>
        <v>Cabin porn: inside</v>
      </c>
      <c r="D1317">
        <v>358299</v>
      </c>
      <c r="G1317" t="str">
        <f>"321 pages, 24 cm, color illustrations"</f>
        <v>321 pages, 24 cm, color illustrations</v>
      </c>
      <c r="H1317" s="1">
        <v>19</v>
      </c>
      <c r="I1317">
        <v>2019</v>
      </c>
      <c r="J1317" t="str">
        <f t="shared" si="159"/>
        <v>12: 600 - 699</v>
      </c>
      <c r="L1317" t="s">
        <v>2403</v>
      </c>
      <c r="M1317" t="s">
        <v>28</v>
      </c>
      <c r="N1317" t="s">
        <v>2396</v>
      </c>
      <c r="O1317">
        <v>3</v>
      </c>
      <c r="P1317" s="2">
        <v>43749</v>
      </c>
      <c r="Q1317" s="1">
        <v>37</v>
      </c>
      <c r="R1317" t="s">
        <v>3207</v>
      </c>
      <c r="S1317">
        <v>1119735951</v>
      </c>
    </row>
    <row r="1318" spans="1:19" x14ac:dyDescent="0.2">
      <c r="A1318" t="str">
        <f t="shared" si="158"/>
        <v>Adult Nonfiction</v>
      </c>
      <c r="B1318" t="str">
        <f>"NEW 645 HEA"</f>
        <v>NEW 645 HEA</v>
      </c>
      <c r="C1318" t="str">
        <f>"Tiny House: live small, dream big"</f>
        <v>Tiny House: live small, dream big</v>
      </c>
      <c r="D1318">
        <v>357676</v>
      </c>
      <c r="E1318" t="str">
        <f>"Heavener, Brent."</f>
        <v>Heavener, Brent.</v>
      </c>
      <c r="G1318" t="str">
        <f>"254 p."</f>
        <v>254 p.</v>
      </c>
      <c r="H1318" s="1">
        <v>19</v>
      </c>
      <c r="I1318">
        <v>2019</v>
      </c>
      <c r="J1318" t="str">
        <f t="shared" si="159"/>
        <v>12: 600 - 699</v>
      </c>
      <c r="L1318" t="s">
        <v>2403</v>
      </c>
      <c r="M1318" t="s">
        <v>28</v>
      </c>
      <c r="N1318" t="s">
        <v>2404</v>
      </c>
      <c r="O1318">
        <v>5</v>
      </c>
      <c r="P1318" s="2">
        <v>43725</v>
      </c>
      <c r="Q1318" s="1">
        <v>23</v>
      </c>
      <c r="R1318" t="s">
        <v>3208</v>
      </c>
      <c r="S1318">
        <v>1049771102</v>
      </c>
    </row>
    <row r="1319" spans="1:19" x14ac:dyDescent="0.2">
      <c r="A1319" t="str">
        <f t="shared" si="158"/>
        <v>Adult Nonfiction</v>
      </c>
      <c r="B1319" t="str">
        <f>"NEW 645 MER"</f>
        <v>NEW 645 MER</v>
      </c>
      <c r="C1319" t="str">
        <f>"Inspire your home: easy, affordable ideas to make every room glamorous"</f>
        <v>Inspire your home: easy, affordable ideas to make every room glamorous</v>
      </c>
      <c r="D1319">
        <v>358704</v>
      </c>
      <c r="E1319" t="str">
        <f>"Merhi, Farah"</f>
        <v>Merhi, Farah</v>
      </c>
      <c r="G1319" t="str">
        <f>"289 pages, 24 cm, illustrations"</f>
        <v>289 pages, 24 cm, illustrations</v>
      </c>
      <c r="H1319" s="1">
        <v>19</v>
      </c>
      <c r="I1319">
        <v>2019</v>
      </c>
      <c r="J1319" t="str">
        <f t="shared" si="159"/>
        <v>12: 600 - 699</v>
      </c>
      <c r="L1319" t="s">
        <v>2403</v>
      </c>
      <c r="M1319" t="s">
        <v>28</v>
      </c>
      <c r="N1319" t="s">
        <v>2396</v>
      </c>
      <c r="O1319">
        <v>4</v>
      </c>
      <c r="P1319" s="2">
        <v>43762</v>
      </c>
      <c r="Q1319" s="1">
        <v>40</v>
      </c>
      <c r="R1319" t="s">
        <v>3209</v>
      </c>
      <c r="S1319">
        <v>1112379674</v>
      </c>
    </row>
    <row r="1320" spans="1:19" x14ac:dyDescent="0.2">
      <c r="A1320" t="str">
        <f t="shared" si="158"/>
        <v>Adult Nonfiction</v>
      </c>
      <c r="B1320" t="str">
        <f>"NEW 645 MIC"</f>
        <v>NEW 645 MIC</v>
      </c>
      <c r="C1320" t="str">
        <f>"But where do I put the couch?: &amp; answers to 100 other home decorating questions"</f>
        <v>But where do I put the couch?: &amp; answers to 100 other home decorating questions</v>
      </c>
      <c r="D1320">
        <v>357497</v>
      </c>
      <c r="E1320" t="str">
        <f>"Michaels, Melissa,"</f>
        <v>Michaels, Melissa,</v>
      </c>
      <c r="G1320" t="str">
        <f>"220 p., 26 cm, illustrations"</f>
        <v>220 p., 26 cm, illustrations</v>
      </c>
      <c r="H1320" s="1">
        <v>19</v>
      </c>
      <c r="I1320">
        <v>2019</v>
      </c>
      <c r="J1320" t="str">
        <f>"13: 700 - 799"</f>
        <v>13: 700 - 799</v>
      </c>
      <c r="L1320" t="s">
        <v>2395</v>
      </c>
      <c r="M1320" t="s">
        <v>28</v>
      </c>
      <c r="N1320" t="s">
        <v>2404</v>
      </c>
      <c r="O1320">
        <v>3</v>
      </c>
      <c r="P1320" s="2">
        <v>43719</v>
      </c>
      <c r="Q1320" s="1">
        <v>33</v>
      </c>
      <c r="R1320" t="s">
        <v>3210</v>
      </c>
      <c r="S1320">
        <v>1117560149</v>
      </c>
    </row>
    <row r="1321" spans="1:19" x14ac:dyDescent="0.2">
      <c r="A1321" t="str">
        <f t="shared" si="158"/>
        <v>Adult Nonfiction</v>
      </c>
      <c r="B1321" t="str">
        <f>"NEW 645 WIN"</f>
        <v>NEW 645 WIN</v>
      </c>
      <c r="C1321" t="str">
        <f>"For the love of books: designing and curating a home library"</f>
        <v>For the love of books: designing and curating a home library</v>
      </c>
      <c r="D1321">
        <v>357503</v>
      </c>
      <c r="E1321" t="str">
        <f>"Wine, Thatcher,"</f>
        <v>Wine, Thatcher,</v>
      </c>
      <c r="G1321" t="str">
        <f>"264 pages, 32 cm"</f>
        <v>264 pages, 32 cm</v>
      </c>
      <c r="H1321" s="1">
        <v>19</v>
      </c>
      <c r="I1321">
        <v>2019</v>
      </c>
      <c r="J1321" t="str">
        <f t="shared" ref="J1321:J1340" si="160">"12: 600 - 699"</f>
        <v>12: 600 - 699</v>
      </c>
      <c r="L1321" t="s">
        <v>2403</v>
      </c>
      <c r="M1321" t="s">
        <v>28</v>
      </c>
      <c r="N1321" t="s">
        <v>2404</v>
      </c>
      <c r="O1321">
        <v>3</v>
      </c>
      <c r="P1321" s="2">
        <v>43719</v>
      </c>
      <c r="Q1321" s="1">
        <v>55</v>
      </c>
      <c r="R1321" t="s">
        <v>3211</v>
      </c>
      <c r="S1321">
        <v>1082294924</v>
      </c>
    </row>
    <row r="1322" spans="1:19" x14ac:dyDescent="0.2">
      <c r="A1322" t="str">
        <f t="shared" si="158"/>
        <v>Adult Nonfiction</v>
      </c>
      <c r="B1322" t="str">
        <f>"NEW 645 YIP"</f>
        <v>NEW 645 YIP</v>
      </c>
      <c r="C1322" t="str">
        <f>"Vern Yip's vacation at home: design ideas for creating your everyday getaway"</f>
        <v>Vern Yip's vacation at home: design ideas for creating your everyday getaway</v>
      </c>
      <c r="D1322">
        <v>357246</v>
      </c>
      <c r="E1322" t="str">
        <f>"Yip, Vern"</f>
        <v>Yip, Vern</v>
      </c>
      <c r="G1322" t="str">
        <f>"xix, 268 pages, 26 cm, color illustrations"</f>
        <v>xix, 268 pages, 26 cm, color illustrations</v>
      </c>
      <c r="H1322" s="1">
        <v>19</v>
      </c>
      <c r="I1322">
        <v>2019</v>
      </c>
      <c r="J1322" t="str">
        <f t="shared" si="160"/>
        <v>12: 600 - 699</v>
      </c>
      <c r="L1322" t="s">
        <v>2395</v>
      </c>
      <c r="M1322" t="s">
        <v>28</v>
      </c>
      <c r="N1322" t="s">
        <v>2404</v>
      </c>
      <c r="O1322">
        <v>11</v>
      </c>
      <c r="P1322" s="2">
        <v>43711</v>
      </c>
      <c r="Q1322" s="1">
        <v>33</v>
      </c>
      <c r="R1322" t="s">
        <v>3212</v>
      </c>
      <c r="S1322">
        <v>1112064741</v>
      </c>
    </row>
    <row r="1323" spans="1:19" x14ac:dyDescent="0.2">
      <c r="A1323" t="str">
        <f t="shared" si="158"/>
        <v>Adult Nonfiction</v>
      </c>
      <c r="B1323" t="str">
        <f>"NEW 646.7 DEL"</f>
        <v>NEW 646.7 DEL</v>
      </c>
      <c r="C1323" t="str">
        <f>"Parisian chic encore: a style guide"</f>
        <v>Parisian chic encore: a style guide</v>
      </c>
      <c r="D1323">
        <v>359618</v>
      </c>
      <c r="E1323" t="str">
        <f>"De La Fressange, Ines."</f>
        <v>De La Fressange, Ines.</v>
      </c>
      <c r="G1323" t="str">
        <f>"239 p."</f>
        <v>239 p.</v>
      </c>
      <c r="H1323" s="1">
        <v>19</v>
      </c>
      <c r="I1323">
        <v>2019</v>
      </c>
      <c r="J1323" t="str">
        <f t="shared" si="160"/>
        <v>12: 600 - 699</v>
      </c>
      <c r="L1323" t="s">
        <v>2403</v>
      </c>
      <c r="M1323" t="s">
        <v>28</v>
      </c>
      <c r="N1323" t="s">
        <v>2404</v>
      </c>
      <c r="O1323">
        <v>2</v>
      </c>
      <c r="P1323" s="2">
        <v>43803</v>
      </c>
      <c r="Q1323" s="1">
        <v>35</v>
      </c>
      <c r="R1323" t="s">
        <v>3213</v>
      </c>
      <c r="S1323">
        <v>1127169868</v>
      </c>
    </row>
    <row r="1324" spans="1:19" x14ac:dyDescent="0.2">
      <c r="A1324" t="str">
        <f t="shared" si="158"/>
        <v>Adult Nonfiction</v>
      </c>
      <c r="B1324" t="str">
        <f>"NEW 649.23 LIC"</f>
        <v>NEW 649.23 LIC</v>
      </c>
      <c r="C1324" t="str">
        <f>"How to raise kind kids: and get respect, gratitude, and a happier family in the bargain"</f>
        <v>How to raise kind kids: and get respect, gratitude, and a happier family in the bargain</v>
      </c>
      <c r="D1324">
        <v>357508</v>
      </c>
      <c r="E1324" t="str">
        <f>"Lickona, Thomas,"</f>
        <v>Lickona, Thomas,</v>
      </c>
      <c r="G1324" t="str">
        <f>"xxvii, 308 pages, 22 cm"</f>
        <v>xxvii, 308 pages, 22 cm</v>
      </c>
      <c r="H1324" s="1">
        <v>19</v>
      </c>
      <c r="I1324">
        <v>2018</v>
      </c>
      <c r="J1324" t="str">
        <f t="shared" si="160"/>
        <v>12: 600 - 699</v>
      </c>
      <c r="L1324" t="s">
        <v>2403</v>
      </c>
      <c r="M1324" t="s">
        <v>28</v>
      </c>
      <c r="N1324" t="s">
        <v>2404</v>
      </c>
      <c r="O1324">
        <v>4</v>
      </c>
      <c r="P1324" s="2">
        <v>43719</v>
      </c>
      <c r="Q1324" s="1">
        <v>22</v>
      </c>
      <c r="R1324" t="s">
        <v>3214</v>
      </c>
      <c r="S1324">
        <v>994312838</v>
      </c>
    </row>
    <row r="1325" spans="1:19" x14ac:dyDescent="0.2">
      <c r="A1325" t="str">
        <f t="shared" si="158"/>
        <v>Adult Nonfiction</v>
      </c>
      <c r="B1325" t="str">
        <f>"NEW 650.1 BRZ"</f>
        <v>NEW 650.1 BRZ</v>
      </c>
      <c r="C1325" t="str">
        <f>"Comeback careers: rethink, refresh, reinvent your success -- at 40, 50, and beyond"</f>
        <v>Comeback careers: rethink, refresh, reinvent your success -- at 40, 50, and beyond</v>
      </c>
      <c r="D1325">
        <v>360203</v>
      </c>
      <c r="E1325" t="str">
        <f>"Brzezinski, Mika."</f>
        <v>Brzezinski, Mika.</v>
      </c>
      <c r="G1325" t="str">
        <f>"256 p."</f>
        <v>256 p.</v>
      </c>
      <c r="H1325" s="1">
        <v>19</v>
      </c>
      <c r="I1325">
        <v>2020</v>
      </c>
      <c r="J1325" t="str">
        <f t="shared" si="160"/>
        <v>12: 600 - 699</v>
      </c>
      <c r="L1325" t="s">
        <v>2395</v>
      </c>
      <c r="M1325" t="s">
        <v>28</v>
      </c>
      <c r="N1325" t="s">
        <v>2495</v>
      </c>
      <c r="O1325">
        <v>0</v>
      </c>
      <c r="P1325" s="2">
        <v>43844</v>
      </c>
      <c r="Q1325" s="1">
        <v>33</v>
      </c>
      <c r="R1325" t="s">
        <v>3215</v>
      </c>
    </row>
    <row r="1326" spans="1:19" x14ac:dyDescent="0.2">
      <c r="A1326" t="str">
        <f t="shared" si="158"/>
        <v>Adult Nonfiction</v>
      </c>
      <c r="B1326" t="str">
        <f>"NEW 650.1 GEF"</f>
        <v>NEW 650.1 GEF</v>
      </c>
      <c r="C1326" t="str">
        <f>"Your turn: career, kids, and comebacks--a working mother's guide"</f>
        <v>Your turn: career, kids, and comebacks--a working mother's guide</v>
      </c>
      <c r="D1326">
        <v>358730</v>
      </c>
      <c r="E1326" t="str">
        <f>"Gefsky, Jennifer"</f>
        <v>Gefsky, Jennifer</v>
      </c>
      <c r="G1326" t="str">
        <f>"246 p."</f>
        <v>246 p.</v>
      </c>
      <c r="H1326" s="1">
        <v>19</v>
      </c>
      <c r="I1326">
        <v>2019</v>
      </c>
      <c r="J1326" t="str">
        <f t="shared" si="160"/>
        <v>12: 600 - 699</v>
      </c>
      <c r="L1326" t="s">
        <v>2403</v>
      </c>
      <c r="M1326" t="s">
        <v>28</v>
      </c>
      <c r="N1326" t="s">
        <v>2404</v>
      </c>
      <c r="O1326">
        <v>4</v>
      </c>
      <c r="P1326" s="2">
        <v>43762</v>
      </c>
      <c r="Q1326" s="1">
        <v>33</v>
      </c>
      <c r="R1326" t="s">
        <v>3216</v>
      </c>
    </row>
    <row r="1327" spans="1:19" x14ac:dyDescent="0.2">
      <c r="A1327" t="str">
        <f t="shared" si="158"/>
        <v>Adult Nonfiction</v>
      </c>
      <c r="B1327" t="str">
        <f>"NEW 650.1 HEL"</f>
        <v>NEW 650.1 HEL</v>
      </c>
      <c r="C1327" t="str">
        <f>"Don't keep your day job: how to turn your passion into your career"</f>
        <v>Don't keep your day job: how to turn your passion into your career</v>
      </c>
      <c r="D1327">
        <v>359185</v>
      </c>
      <c r="E1327" t="str">
        <f>"Heller, Cathy"</f>
        <v>Heller, Cathy</v>
      </c>
      <c r="G1327" t="str">
        <f>"xi, 242 pages, 22 cm"</f>
        <v>xi, 242 pages, 22 cm</v>
      </c>
      <c r="H1327" s="1">
        <v>19</v>
      </c>
      <c r="I1327">
        <v>2019</v>
      </c>
      <c r="J1327" t="str">
        <f t="shared" si="160"/>
        <v>12: 600 - 699</v>
      </c>
      <c r="L1327" t="s">
        <v>2395</v>
      </c>
      <c r="M1327" t="s">
        <v>28</v>
      </c>
      <c r="N1327" t="s">
        <v>2396</v>
      </c>
      <c r="O1327">
        <v>2</v>
      </c>
      <c r="P1327" s="2">
        <v>43782</v>
      </c>
      <c r="Q1327" s="1">
        <v>33</v>
      </c>
      <c r="R1327" t="s">
        <v>3217</v>
      </c>
      <c r="S1327">
        <v>1079847860</v>
      </c>
    </row>
    <row r="1328" spans="1:19" x14ac:dyDescent="0.2">
      <c r="A1328" t="str">
        <f t="shared" si="158"/>
        <v>Adult Nonfiction</v>
      </c>
      <c r="B1328" t="str">
        <f>"NEW 650.1 JAR"</f>
        <v>NEW 650.1 JAR</v>
      </c>
      <c r="C1328" t="str">
        <f>"Creative calling: establish a daily practice, infuse your world with meaning, and succeed in work   life"</f>
        <v>Creative calling: establish a daily practice, infuse your world with meaning, and succeed in work   life</v>
      </c>
      <c r="D1328">
        <v>359013</v>
      </c>
      <c r="E1328" t="str">
        <f>"Jarvis, Chase"</f>
        <v>Jarvis, Chase</v>
      </c>
      <c r="G1328" t="str">
        <f>"293 pages, 24 cm, illustrations"</f>
        <v>293 pages, 24 cm, illustrations</v>
      </c>
      <c r="H1328" s="1">
        <v>19</v>
      </c>
      <c r="I1328">
        <v>2019</v>
      </c>
      <c r="J1328" t="str">
        <f t="shared" si="160"/>
        <v>12: 600 - 699</v>
      </c>
      <c r="L1328" t="s">
        <v>2395</v>
      </c>
      <c r="M1328" t="s">
        <v>28</v>
      </c>
      <c r="N1328" t="s">
        <v>2404</v>
      </c>
      <c r="O1328">
        <v>1</v>
      </c>
      <c r="P1328" s="2">
        <v>43776</v>
      </c>
      <c r="Q1328" s="1">
        <v>34</v>
      </c>
      <c r="R1328" t="s">
        <v>3218</v>
      </c>
      <c r="S1328">
        <v>1117318626</v>
      </c>
    </row>
    <row r="1329" spans="1:19" x14ac:dyDescent="0.2">
      <c r="A1329" t="str">
        <f t="shared" si="158"/>
        <v>Adult Nonfiction</v>
      </c>
      <c r="B1329" t="str">
        <f>"NEW 650.1 MIN"</f>
        <v>NEW 650.1 MIN</v>
      </c>
      <c r="C1329" t="str">
        <f>"Mindset secrets for winning: how to bring personal power to everything you do"</f>
        <v>Mindset secrets for winning: how to bring personal power to everything you do</v>
      </c>
      <c r="D1329">
        <v>408252</v>
      </c>
      <c r="E1329" t="str">
        <f>"Minervini, Mark."</f>
        <v>Minervini, Mark.</v>
      </c>
      <c r="G1329" t="str">
        <f>"237 p."</f>
        <v>237 p.</v>
      </c>
      <c r="H1329" s="1">
        <v>19</v>
      </c>
      <c r="I1329">
        <v>2019</v>
      </c>
      <c r="J1329" t="str">
        <f t="shared" si="160"/>
        <v>12: 600 - 699</v>
      </c>
      <c r="L1329" t="s">
        <v>2403</v>
      </c>
      <c r="M1329" t="s">
        <v>28</v>
      </c>
      <c r="N1329" t="s">
        <v>2404</v>
      </c>
      <c r="O1329">
        <v>3</v>
      </c>
      <c r="P1329" s="2">
        <v>43762</v>
      </c>
      <c r="Q1329" s="1">
        <v>35</v>
      </c>
      <c r="R1329" t="s">
        <v>3219</v>
      </c>
    </row>
    <row r="1330" spans="1:19" x14ac:dyDescent="0.2">
      <c r="A1330" t="str">
        <f t="shared" si="158"/>
        <v>Adult Nonfiction</v>
      </c>
      <c r="B1330" t="str">
        <f>"NEW 650.1 POL"</f>
        <v>NEW 650.1 POL</v>
      </c>
      <c r="C1330" t="str">
        <f>"The remix: how to lead and succeed in the multigenerational workplace"</f>
        <v>The remix: how to lead and succeed in the multigenerational workplace</v>
      </c>
      <c r="D1330">
        <v>360243</v>
      </c>
      <c r="E1330" t="str">
        <f>"Pollak, Lindsey"</f>
        <v>Pollak, Lindsey</v>
      </c>
      <c r="G1330" t="str">
        <f>"xvi, 283 pages, 24 cm, illustrations"</f>
        <v>xvi, 283 pages, 24 cm, illustrations</v>
      </c>
      <c r="H1330" s="1">
        <v>19</v>
      </c>
      <c r="I1330">
        <v>2019</v>
      </c>
      <c r="J1330" t="str">
        <f t="shared" si="160"/>
        <v>12: 600 - 699</v>
      </c>
      <c r="L1330" t="s">
        <v>2395</v>
      </c>
      <c r="M1330" t="s">
        <v>28</v>
      </c>
      <c r="N1330" t="s">
        <v>2404</v>
      </c>
      <c r="O1330">
        <v>1</v>
      </c>
      <c r="P1330" s="2">
        <v>43844</v>
      </c>
      <c r="Q1330" s="1">
        <v>35</v>
      </c>
      <c r="R1330" t="s">
        <v>3220</v>
      </c>
      <c r="S1330">
        <v>1090278832</v>
      </c>
    </row>
    <row r="1331" spans="1:19" x14ac:dyDescent="0.2">
      <c r="A1331" t="str">
        <f t="shared" si="158"/>
        <v>Adult Nonfiction</v>
      </c>
      <c r="B1331" t="str">
        <f>"NEW 650.1 ROD"</f>
        <v>NEW 650.1 ROD</v>
      </c>
      <c r="C1331" t="str">
        <f>"Fair play: a game-changing solution for when you have too much to do (and more life to live)"</f>
        <v>Fair play: a game-changing solution for when you have too much to do (and more life to live)</v>
      </c>
      <c r="D1331">
        <v>358534</v>
      </c>
      <c r="E1331" t="str">
        <f>"Rodsky, Eve"</f>
        <v>Rodsky, Eve</v>
      </c>
      <c r="G1331" t="str">
        <f>"ix, 339 pages, 22 cm, illustrations"</f>
        <v>ix, 339 pages, 22 cm, illustrations</v>
      </c>
      <c r="H1331" s="1">
        <v>19</v>
      </c>
      <c r="I1331">
        <v>2019</v>
      </c>
      <c r="J1331" t="str">
        <f t="shared" si="160"/>
        <v>12: 600 - 699</v>
      </c>
      <c r="L1331" t="s">
        <v>2403</v>
      </c>
      <c r="M1331" t="s">
        <v>28</v>
      </c>
      <c r="N1331" t="s">
        <v>2404</v>
      </c>
      <c r="O1331">
        <v>3</v>
      </c>
      <c r="P1331" s="2">
        <v>43756</v>
      </c>
      <c r="Q1331" s="1">
        <v>31</v>
      </c>
      <c r="R1331" t="s">
        <v>3221</v>
      </c>
      <c r="S1331">
        <v>1108807916</v>
      </c>
    </row>
    <row r="1332" spans="1:19" x14ac:dyDescent="0.2">
      <c r="A1332" t="str">
        <f t="shared" si="158"/>
        <v>Adult Nonfiction</v>
      </c>
      <c r="B1332" t="str">
        <f>"NEW 650.1 ROD"</f>
        <v>NEW 650.1 ROD</v>
      </c>
      <c r="C1332" t="str">
        <f>"Fair play: a game-changing solution for when you have too much to do (and more life to live)"</f>
        <v>Fair play: a game-changing solution for when you have too much to do (and more life to live)</v>
      </c>
      <c r="D1332">
        <v>358867</v>
      </c>
      <c r="E1332" t="str">
        <f>"Rodsky, Eve"</f>
        <v>Rodsky, Eve</v>
      </c>
      <c r="G1332" t="str">
        <f>"ix, 339 pages, 22 cm, illustrations"</f>
        <v>ix, 339 pages, 22 cm, illustrations</v>
      </c>
      <c r="H1332" s="1">
        <v>19</v>
      </c>
      <c r="I1332">
        <v>2019</v>
      </c>
      <c r="J1332" t="str">
        <f t="shared" si="160"/>
        <v>12: 600 - 699</v>
      </c>
      <c r="L1332" t="s">
        <v>2403</v>
      </c>
      <c r="M1332" t="s">
        <v>28</v>
      </c>
      <c r="N1332" t="s">
        <v>2404</v>
      </c>
      <c r="O1332">
        <v>3</v>
      </c>
      <c r="P1332" s="2">
        <v>43769</v>
      </c>
      <c r="Q1332" s="1">
        <v>31</v>
      </c>
      <c r="R1332" t="s">
        <v>3221</v>
      </c>
      <c r="S1332">
        <v>1108807916</v>
      </c>
    </row>
    <row r="1333" spans="1:19" x14ac:dyDescent="0.2">
      <c r="A1333" t="str">
        <f t="shared" si="158"/>
        <v>Adult Nonfiction</v>
      </c>
      <c r="B1333" t="str">
        <f>"NEW 650.1 YOU"</f>
        <v>NEW 650.1 YOU</v>
      </c>
      <c r="C1333" t="str">
        <f>"Ultralearning: master hard skills, outsmart the competition, and accelerate your career"</f>
        <v>Ultralearning: master hard skills, outsmart the competition, and accelerate your career</v>
      </c>
      <c r="D1333">
        <v>358574</v>
      </c>
      <c r="E1333" t="str">
        <f>"Young, Scott"</f>
        <v>Young, Scott</v>
      </c>
      <c r="G1333" t="str">
        <f>"xv, 283 pages, 24 cm, illustration"</f>
        <v>xv, 283 pages, 24 cm, illustration</v>
      </c>
      <c r="H1333" s="1">
        <v>19</v>
      </c>
      <c r="I1333">
        <v>2019</v>
      </c>
      <c r="J1333" t="str">
        <f t="shared" si="160"/>
        <v>12: 600 - 699</v>
      </c>
      <c r="L1333" t="s">
        <v>2403</v>
      </c>
      <c r="M1333" t="s">
        <v>28</v>
      </c>
      <c r="N1333" t="s">
        <v>2404</v>
      </c>
      <c r="O1333">
        <v>4</v>
      </c>
      <c r="P1333" s="2">
        <v>43756</v>
      </c>
      <c r="Q1333" s="1">
        <v>34</v>
      </c>
      <c r="R1333" t="s">
        <v>3222</v>
      </c>
      <c r="S1333">
        <v>1064714967</v>
      </c>
    </row>
    <row r="1334" spans="1:19" x14ac:dyDescent="0.2">
      <c r="A1334" t="str">
        <f t="shared" si="158"/>
        <v>Adult Nonfiction</v>
      </c>
      <c r="B1334" t="str">
        <f>"NEW 658.3 NEW"</f>
        <v>NEW 658.3 NEW</v>
      </c>
      <c r="C1334" t="str">
        <f>"Diversity, Inc: the failed promise of a billion-dollar business"</f>
        <v>Diversity, Inc: the failed promise of a billion-dollar business</v>
      </c>
      <c r="D1334">
        <v>360429</v>
      </c>
      <c r="E1334" t="str">
        <f>"Newkirk, Pamela"</f>
        <v>Newkirk, Pamela</v>
      </c>
      <c r="G1334" t="str">
        <f>"261 pages, 22 cm"</f>
        <v>261 pages, 22 cm</v>
      </c>
      <c r="H1334" s="1">
        <v>20</v>
      </c>
      <c r="I1334">
        <v>2019</v>
      </c>
      <c r="J1334" t="str">
        <f t="shared" si="160"/>
        <v>12: 600 - 699</v>
      </c>
      <c r="L1334" t="s">
        <v>2395</v>
      </c>
      <c r="M1334" t="s">
        <v>28</v>
      </c>
      <c r="N1334" t="s">
        <v>2396</v>
      </c>
      <c r="O1334">
        <v>0</v>
      </c>
      <c r="P1334" s="2">
        <v>43851</v>
      </c>
      <c r="Q1334" s="1">
        <v>32</v>
      </c>
      <c r="R1334" t="s">
        <v>3223</v>
      </c>
      <c r="S1334">
        <v>1084361522</v>
      </c>
    </row>
    <row r="1335" spans="1:19" x14ac:dyDescent="0.2">
      <c r="A1335" t="str">
        <f t="shared" si="158"/>
        <v>Adult Nonfiction</v>
      </c>
      <c r="B1335" t="str">
        <f>"NEW 658.4 BEN"</f>
        <v>NEW 658.4 BEN</v>
      </c>
      <c r="C1335" t="str">
        <f>"Trailblazer: leading in an era of business as the greatest platform for change"</f>
        <v>Trailblazer: leading in an era of business as the greatest platform for change</v>
      </c>
      <c r="D1335">
        <v>358508</v>
      </c>
      <c r="E1335" t="str">
        <f>"Benioff, Marc R.,"</f>
        <v>Benioff, Marc R.,</v>
      </c>
      <c r="G1335" t="str">
        <f>"231 p."</f>
        <v>231 p.</v>
      </c>
      <c r="H1335" s="1">
        <v>19</v>
      </c>
      <c r="I1335">
        <v>2019</v>
      </c>
      <c r="J1335" t="str">
        <f t="shared" si="160"/>
        <v>12: 600 - 699</v>
      </c>
      <c r="L1335" t="s">
        <v>2395</v>
      </c>
      <c r="M1335" t="s">
        <v>28</v>
      </c>
      <c r="N1335" t="s">
        <v>2404</v>
      </c>
      <c r="O1335">
        <v>5</v>
      </c>
      <c r="P1335" s="2">
        <v>43753</v>
      </c>
      <c r="Q1335" s="1">
        <v>33</v>
      </c>
      <c r="R1335" t="s">
        <v>3224</v>
      </c>
    </row>
    <row r="1336" spans="1:19" x14ac:dyDescent="0.2">
      <c r="A1336" t="str">
        <f t="shared" si="158"/>
        <v>Adult Nonfiction</v>
      </c>
      <c r="B1336" t="str">
        <f>"NEW 658.4 IGE"</f>
        <v>NEW 658.4 IGE</v>
      </c>
      <c r="C1336" t="str">
        <f>"The ride of a lifetime: lessons learned from 15 years as CEO of the Walt Disney Company"</f>
        <v>The ride of a lifetime: lessons learned from 15 years as CEO of the Walt Disney Company</v>
      </c>
      <c r="D1336">
        <v>357839</v>
      </c>
      <c r="E1336" t="str">
        <f>"Iger, Robert."</f>
        <v>Iger, Robert.</v>
      </c>
      <c r="G1336" t="str">
        <f>"246 p."</f>
        <v>246 p.</v>
      </c>
      <c r="H1336" s="1">
        <v>19</v>
      </c>
      <c r="I1336">
        <v>2019</v>
      </c>
      <c r="J1336" t="str">
        <f t="shared" si="160"/>
        <v>12: 600 - 699</v>
      </c>
      <c r="L1336" t="s">
        <v>2395</v>
      </c>
      <c r="M1336" t="s">
        <v>28</v>
      </c>
      <c r="N1336" t="s">
        <v>2401</v>
      </c>
      <c r="O1336">
        <v>3</v>
      </c>
      <c r="P1336" s="2">
        <v>43731</v>
      </c>
      <c r="Q1336" s="1">
        <v>33</v>
      </c>
      <c r="R1336" t="s">
        <v>3225</v>
      </c>
      <c r="S1336">
        <v>1119538616</v>
      </c>
    </row>
    <row r="1337" spans="1:19" x14ac:dyDescent="0.2">
      <c r="A1337" t="str">
        <f t="shared" si="158"/>
        <v>Adult Nonfiction</v>
      </c>
      <c r="B1337" t="str">
        <f>"NEW 658.4 IGE"</f>
        <v>NEW 658.4 IGE</v>
      </c>
      <c r="C1337" t="str">
        <f>"The ride of a lifetime: lessons learned from 15 years as CEO of the Walt Disney Company"</f>
        <v>The ride of a lifetime: lessons learned from 15 years as CEO of the Walt Disney Company</v>
      </c>
      <c r="D1337">
        <v>359571</v>
      </c>
      <c r="E1337" t="str">
        <f>"Iger, Robert."</f>
        <v>Iger, Robert.</v>
      </c>
      <c r="G1337" t="str">
        <f>"246 p."</f>
        <v>246 p.</v>
      </c>
      <c r="H1337" s="1">
        <v>19</v>
      </c>
      <c r="I1337">
        <v>2019</v>
      </c>
      <c r="J1337" t="str">
        <f t="shared" si="160"/>
        <v>12: 600 - 699</v>
      </c>
      <c r="L1337" t="s">
        <v>2395</v>
      </c>
      <c r="M1337" t="s">
        <v>28</v>
      </c>
      <c r="N1337" t="s">
        <v>2404</v>
      </c>
      <c r="O1337">
        <v>3</v>
      </c>
      <c r="P1337" s="2">
        <v>43802</v>
      </c>
      <c r="Q1337" s="1">
        <v>33</v>
      </c>
      <c r="R1337" t="s">
        <v>3225</v>
      </c>
      <c r="S1337">
        <v>1119538616</v>
      </c>
    </row>
    <row r="1338" spans="1:19" x14ac:dyDescent="0.2">
      <c r="A1338" t="str">
        <f t="shared" si="158"/>
        <v>Adult Nonfiction</v>
      </c>
      <c r="B1338" t="str">
        <f>"NEW 658.4 JOH"</f>
        <v>NEW 658.4 JOH</v>
      </c>
      <c r="C1338" t="str">
        <f>"Disrupt yourself: master relentless change and speed up your learning curve"</f>
        <v>Disrupt yourself: master relentless change and speed up your learning curve</v>
      </c>
      <c r="D1338">
        <v>360154</v>
      </c>
      <c r="E1338" t="str">
        <f>"Johnson, Whitney"</f>
        <v>Johnson, Whitney</v>
      </c>
      <c r="G1338" t="str">
        <f>"162 pp."</f>
        <v>162 pp.</v>
      </c>
      <c r="H1338" s="1">
        <v>19</v>
      </c>
      <c r="I1338">
        <v>2019</v>
      </c>
      <c r="J1338" t="str">
        <f t="shared" si="160"/>
        <v>12: 600 - 699</v>
      </c>
      <c r="L1338" t="s">
        <v>2395</v>
      </c>
      <c r="M1338" t="s">
        <v>28</v>
      </c>
      <c r="N1338" t="s">
        <v>2396</v>
      </c>
      <c r="O1338">
        <v>0</v>
      </c>
      <c r="P1338" s="2">
        <v>43833</v>
      </c>
      <c r="Q1338" s="1">
        <v>33</v>
      </c>
      <c r="R1338" t="s">
        <v>3226</v>
      </c>
    </row>
    <row r="1339" spans="1:19" x14ac:dyDescent="0.2">
      <c r="A1339" t="str">
        <f t="shared" si="158"/>
        <v>Adult Nonfiction</v>
      </c>
      <c r="B1339" t="str">
        <f>"NEW 658.4 SIN"</f>
        <v>NEW 658.4 SIN</v>
      </c>
      <c r="C1339" t="str">
        <f>"The infinite game"</f>
        <v>The infinite game</v>
      </c>
      <c r="D1339">
        <v>358663</v>
      </c>
      <c r="E1339" t="str">
        <f>"Sinek, Simon."</f>
        <v>Sinek, Simon.</v>
      </c>
      <c r="G1339" t="str">
        <f>"xiv, 251 pages, 25 cm"</f>
        <v>xiv, 251 pages, 25 cm</v>
      </c>
      <c r="H1339" s="1">
        <v>19</v>
      </c>
      <c r="I1339">
        <v>2019</v>
      </c>
      <c r="J1339" t="str">
        <f t="shared" si="160"/>
        <v>12: 600 - 699</v>
      </c>
      <c r="L1339" t="s">
        <v>2395</v>
      </c>
      <c r="M1339" t="s">
        <v>28</v>
      </c>
      <c r="N1339" t="str">
        <f>"Reserve Cart"</f>
        <v>Reserve Cart</v>
      </c>
      <c r="O1339">
        <v>4</v>
      </c>
      <c r="P1339" s="2">
        <v>43760</v>
      </c>
      <c r="Q1339" s="1">
        <v>33</v>
      </c>
      <c r="R1339" t="s">
        <v>3227</v>
      </c>
      <c r="S1339">
        <v>1021087150</v>
      </c>
    </row>
    <row r="1340" spans="1:19" x14ac:dyDescent="0.2">
      <c r="A1340" t="str">
        <f t="shared" si="158"/>
        <v>Adult Nonfiction</v>
      </c>
      <c r="B1340" t="str">
        <f>"NEW 658.5 KUA"</f>
        <v>NEW 658.5 KUA</v>
      </c>
      <c r="C1340" t="str">
        <f>"User friendly: how the hidden rules of design are changing the way we live, work, and play"</f>
        <v>User friendly: how the hidden rules of design are changing the way we live, work, and play</v>
      </c>
      <c r="D1340">
        <v>359492</v>
      </c>
      <c r="E1340" t="str">
        <f>"Kuang, Cliff,"</f>
        <v>Kuang, Cliff,</v>
      </c>
      <c r="G1340" t="str">
        <f>"405 pages, 22 cm, illustrations"</f>
        <v>405 pages, 22 cm, illustrations</v>
      </c>
      <c r="H1340" s="1">
        <v>19</v>
      </c>
      <c r="I1340">
        <v>2019</v>
      </c>
      <c r="J1340" t="str">
        <f t="shared" si="160"/>
        <v>12: 600 - 699</v>
      </c>
      <c r="L1340" t="s">
        <v>2395</v>
      </c>
      <c r="M1340" t="s">
        <v>28</v>
      </c>
      <c r="N1340" t="s">
        <v>2396</v>
      </c>
      <c r="O1340">
        <v>2</v>
      </c>
      <c r="P1340" s="2">
        <v>43802</v>
      </c>
      <c r="Q1340" s="1">
        <v>33</v>
      </c>
      <c r="R1340" t="s">
        <v>3228</v>
      </c>
      <c r="S1340">
        <v>1053574701</v>
      </c>
    </row>
    <row r="1341" spans="1:19" x14ac:dyDescent="0.2">
      <c r="A1341" t="str">
        <f t="shared" si="158"/>
        <v>Adult Nonfiction</v>
      </c>
      <c r="B1341" t="str">
        <f>"NEW 658.8 MEI"</f>
        <v>NEW 658.8 MEI</v>
      </c>
      <c r="C1341" t="str">
        <f>"So you want to start a podcast: finding your voice, telling your story, and building a community that will listen"</f>
        <v>So you want to start a podcast: finding your voice, telling your story, and building a community that will listen</v>
      </c>
      <c r="D1341">
        <v>357131</v>
      </c>
      <c r="E1341" t="str">
        <f>"Meinzer, Kristen,"</f>
        <v>Meinzer, Kristen,</v>
      </c>
      <c r="G1341" t="str">
        <f>"viii, 216 p., 22 cm"</f>
        <v>viii, 216 p., 22 cm</v>
      </c>
      <c r="H1341" s="1">
        <v>19</v>
      </c>
      <c r="I1341">
        <v>2019</v>
      </c>
      <c r="J1341" t="str">
        <f>"7: 000 - 199"</f>
        <v>7: 000 - 199</v>
      </c>
      <c r="L1341" t="s">
        <v>2403</v>
      </c>
      <c r="M1341" t="s">
        <v>28</v>
      </c>
      <c r="N1341" t="s">
        <v>2396</v>
      </c>
      <c r="O1341">
        <v>1</v>
      </c>
      <c r="P1341" s="2">
        <v>43704</v>
      </c>
      <c r="Q1341" s="1">
        <v>27</v>
      </c>
      <c r="R1341" t="s">
        <v>3229</v>
      </c>
      <c r="S1341">
        <v>1101637923</v>
      </c>
    </row>
    <row r="1342" spans="1:19" x14ac:dyDescent="0.2">
      <c r="A1342" t="str">
        <f t="shared" si="158"/>
        <v>Adult Nonfiction</v>
      </c>
      <c r="B1342" t="str">
        <f>"NEW 659.1 AND"</f>
        <v>NEW 659.1 AND</v>
      </c>
      <c r="C1342" t="str">
        <f>"Hidden persuasion: 33 psychological influences techniques in advertising"</f>
        <v>Hidden persuasion: 33 psychological influences techniques in advertising</v>
      </c>
      <c r="D1342">
        <v>358142</v>
      </c>
      <c r="E1342" t="str">
        <f>"Andrews, Marc"</f>
        <v>Andrews, Marc</v>
      </c>
      <c r="G1342" t="str">
        <f>"190 p."</f>
        <v>190 p.</v>
      </c>
      <c r="H1342" s="1">
        <v>19</v>
      </c>
      <c r="I1342">
        <v>2019</v>
      </c>
      <c r="J1342" t="str">
        <f>"12: 600 - 699"</f>
        <v>12: 600 - 699</v>
      </c>
      <c r="L1342" t="s">
        <v>2395</v>
      </c>
      <c r="M1342" t="s">
        <v>28</v>
      </c>
      <c r="N1342" t="s">
        <v>2404</v>
      </c>
      <c r="O1342">
        <v>1</v>
      </c>
      <c r="P1342" s="2">
        <v>43740</v>
      </c>
      <c r="Q1342" s="1">
        <v>30</v>
      </c>
      <c r="R1342" t="s">
        <v>3230</v>
      </c>
      <c r="S1342">
        <v>1076550185</v>
      </c>
    </row>
    <row r="1343" spans="1:19" x14ac:dyDescent="0.2">
      <c r="A1343" t="str">
        <f t="shared" si="158"/>
        <v>Adult Nonfiction</v>
      </c>
      <c r="B1343" t="str">
        <f>"NEW 659.2 BEH"</f>
        <v>NEW 659.2 BEH</v>
      </c>
      <c r="C1343" t="str">
        <f>"The global PR revolution: how thought leaders succeed in the transformed world of PR"</f>
        <v>The global PR revolution: how thought leaders succeed in the transformed world of PR</v>
      </c>
      <c r="D1343">
        <v>358538</v>
      </c>
      <c r="E1343" t="str">
        <f>"Behar, Maxim"</f>
        <v>Behar, Maxim</v>
      </c>
      <c r="G1343" t="str">
        <f>"275 p."</f>
        <v>275 p.</v>
      </c>
      <c r="H1343" s="1">
        <v>19</v>
      </c>
      <c r="I1343">
        <v>2019</v>
      </c>
      <c r="J1343" t="str">
        <f>"12: 600 - 699"</f>
        <v>12: 600 - 699</v>
      </c>
      <c r="L1343" t="s">
        <v>2403</v>
      </c>
      <c r="M1343" t="s">
        <v>28</v>
      </c>
      <c r="N1343" t="s">
        <v>2396</v>
      </c>
      <c r="O1343">
        <v>2</v>
      </c>
      <c r="P1343" s="2">
        <v>43756</v>
      </c>
      <c r="Q1343" s="1">
        <v>35</v>
      </c>
      <c r="R1343" t="s">
        <v>3231</v>
      </c>
      <c r="S1343">
        <v>1085220254</v>
      </c>
    </row>
    <row r="1344" spans="1:19" x14ac:dyDescent="0.2">
      <c r="A1344" t="str">
        <f t="shared" si="158"/>
        <v>Adult Nonfiction</v>
      </c>
      <c r="B1344" t="str">
        <f>"NEW 700.1 ART"</f>
        <v>NEW 700.1 ART</v>
      </c>
      <c r="C1344" t="str">
        <f>"The art of C.G. Jung"</f>
        <v>The art of C.G. Jung</v>
      </c>
      <c r="D1344">
        <v>357488</v>
      </c>
      <c r="G1344" t="str">
        <f>"271 pages, 29 cm, illustrations (some color)"</f>
        <v>271 pages, 29 cm, illustrations (some color)</v>
      </c>
      <c r="H1344" s="1">
        <v>19</v>
      </c>
      <c r="I1344">
        <v>2019</v>
      </c>
      <c r="J1344" t="str">
        <f t="shared" ref="J1344:J1390" si="161">"13: 700 - 799"</f>
        <v>13: 700 - 799</v>
      </c>
      <c r="L1344" t="s">
        <v>2403</v>
      </c>
      <c r="M1344" t="s">
        <v>28</v>
      </c>
      <c r="N1344" t="s">
        <v>2396</v>
      </c>
      <c r="O1344">
        <v>4</v>
      </c>
      <c r="P1344" s="2">
        <v>43719</v>
      </c>
      <c r="Q1344" s="1">
        <v>90</v>
      </c>
      <c r="R1344" t="s">
        <v>3232</v>
      </c>
      <c r="S1344">
        <v>1021802677</v>
      </c>
    </row>
    <row r="1345" spans="1:19" x14ac:dyDescent="0.2">
      <c r="A1345" t="str">
        <f t="shared" si="158"/>
        <v>Adult Nonfiction</v>
      </c>
      <c r="B1345" t="str">
        <f>"NEW 709.04 LOW"</f>
        <v>NEW 709.04 LOW</v>
      </c>
      <c r="C1345" t="str">
        <f>"MoMA highlights"</f>
        <v>MoMA highlights</v>
      </c>
      <c r="D1345">
        <v>359147</v>
      </c>
      <c r="E1345" t="str">
        <f>"Lowry, Glenn"</f>
        <v>Lowry, Glenn</v>
      </c>
      <c r="G1345" t="str">
        <f>"408 p."</f>
        <v>408 p.</v>
      </c>
      <c r="H1345" s="1">
        <v>19</v>
      </c>
      <c r="I1345">
        <v>2019</v>
      </c>
      <c r="J1345" t="str">
        <f t="shared" si="161"/>
        <v>13: 700 - 799</v>
      </c>
      <c r="L1345" t="s">
        <v>2403</v>
      </c>
      <c r="M1345" t="s">
        <v>28</v>
      </c>
      <c r="N1345" t="s">
        <v>2404</v>
      </c>
      <c r="O1345">
        <v>2</v>
      </c>
      <c r="P1345" s="2">
        <v>43781</v>
      </c>
      <c r="Q1345" s="1">
        <v>30</v>
      </c>
      <c r="R1345" t="s">
        <v>3233</v>
      </c>
      <c r="S1345">
        <v>1126168567</v>
      </c>
    </row>
    <row r="1346" spans="1:19" x14ac:dyDescent="0.2">
      <c r="A1346" t="str">
        <f t="shared" si="158"/>
        <v>Adult Nonfiction</v>
      </c>
      <c r="B1346" t="str">
        <f>"NEW 709.2 KEI"</f>
        <v>NEW 709.2 KEI</v>
      </c>
      <c r="C1346" t="str">
        <f>"Keith Haring"</f>
        <v>Keith Haring</v>
      </c>
      <c r="D1346">
        <v>358119</v>
      </c>
      <c r="G1346" t="str">
        <f>"127 pages, 25 cm, illustrations (chiefly color)"</f>
        <v>127 pages, 25 cm, illustrations (chiefly color)</v>
      </c>
      <c r="H1346" s="1">
        <v>19</v>
      </c>
      <c r="I1346">
        <v>2019</v>
      </c>
      <c r="J1346" t="str">
        <f t="shared" si="161"/>
        <v>13: 700 - 799</v>
      </c>
      <c r="L1346" t="s">
        <v>2395</v>
      </c>
      <c r="M1346" t="s">
        <v>28</v>
      </c>
      <c r="N1346" t="s">
        <v>2396</v>
      </c>
      <c r="O1346">
        <v>2</v>
      </c>
      <c r="P1346" s="2">
        <v>43740</v>
      </c>
      <c r="Q1346" s="1">
        <v>30</v>
      </c>
      <c r="R1346" t="s">
        <v>3234</v>
      </c>
      <c r="S1346">
        <v>1054377479</v>
      </c>
    </row>
    <row r="1347" spans="1:19" x14ac:dyDescent="0.2">
      <c r="A1347" t="str">
        <f t="shared" si="158"/>
        <v>Adult Nonfiction</v>
      </c>
      <c r="B1347" t="str">
        <f>"NEW 726.6 FOL"</f>
        <v>NEW 726.6 FOL</v>
      </c>
      <c r="C1347" t="str">
        <f>"Notre-Dame: a short history of the meaning of cathedrals"</f>
        <v>Notre-Dame: a short history of the meaning of cathedrals</v>
      </c>
      <c r="D1347">
        <v>358828</v>
      </c>
      <c r="E1347" t="str">
        <f>"Follett, Ken"</f>
        <v>Follett, Ken</v>
      </c>
      <c r="G1347" t="str">
        <f>"pages cm"</f>
        <v>pages cm</v>
      </c>
      <c r="H1347" s="1">
        <v>19</v>
      </c>
      <c r="I1347">
        <v>2019</v>
      </c>
      <c r="J1347" t="str">
        <f t="shared" si="161"/>
        <v>13: 700 - 799</v>
      </c>
      <c r="L1347" t="s">
        <v>2403</v>
      </c>
      <c r="M1347" t="s">
        <v>28</v>
      </c>
      <c r="N1347" t="s">
        <v>2404</v>
      </c>
      <c r="O1347">
        <v>7</v>
      </c>
      <c r="P1347" s="2">
        <v>43766</v>
      </c>
      <c r="Q1347" s="1">
        <v>22</v>
      </c>
      <c r="R1347" t="s">
        <v>3235</v>
      </c>
      <c r="S1347">
        <v>1104916991</v>
      </c>
    </row>
    <row r="1348" spans="1:19" x14ac:dyDescent="0.2">
      <c r="A1348" t="str">
        <f t="shared" si="158"/>
        <v>Adult Nonfiction</v>
      </c>
      <c r="B1348" t="str">
        <f>"NEW 738.5 HER"</f>
        <v>NEW 738.5 HER</v>
      </c>
      <c r="C1348" t="str">
        <f>"The tile book: history, pattern, design"</f>
        <v>The tile book: history, pattern, design</v>
      </c>
      <c r="D1348">
        <v>359888</v>
      </c>
      <c r="E1348" t="str">
        <f>"Here Design."</f>
        <v>Here Design.</v>
      </c>
      <c r="H1348" s="1">
        <v>19</v>
      </c>
      <c r="I1348">
        <v>2019</v>
      </c>
      <c r="J1348" t="str">
        <f t="shared" si="161"/>
        <v>13: 700 - 799</v>
      </c>
      <c r="L1348" t="s">
        <v>2395</v>
      </c>
      <c r="M1348" t="s">
        <v>28</v>
      </c>
      <c r="N1348" t="s">
        <v>2396</v>
      </c>
      <c r="O1348">
        <v>0</v>
      </c>
      <c r="P1348" s="2">
        <v>43815</v>
      </c>
      <c r="Q1348" s="1">
        <v>35</v>
      </c>
      <c r="R1348" t="s">
        <v>3236</v>
      </c>
      <c r="S1348">
        <v>1052874678</v>
      </c>
    </row>
    <row r="1349" spans="1:19" x14ac:dyDescent="0.2">
      <c r="A1349" t="str">
        <f t="shared" si="158"/>
        <v>Adult Nonfiction</v>
      </c>
      <c r="B1349" t="str">
        <f>"NEW 741.5 BES"</f>
        <v>NEW 741.5 BES</v>
      </c>
      <c r="C1349" t="str">
        <f>"The best American comics 2019"</f>
        <v>The best American comics 2019</v>
      </c>
      <c r="D1349">
        <v>358296</v>
      </c>
      <c r="E1349" t="str">
        <f>"Tamaki, Jillian,"</f>
        <v>Tamaki, Jillian,</v>
      </c>
      <c r="F1349" t="str">
        <f>"Best American series"</f>
        <v>Best American series</v>
      </c>
      <c r="H1349" s="1">
        <v>19</v>
      </c>
      <c r="I1349">
        <v>2019</v>
      </c>
      <c r="J1349" t="str">
        <f t="shared" si="161"/>
        <v>13: 700 - 799</v>
      </c>
      <c r="L1349" t="s">
        <v>2395</v>
      </c>
      <c r="M1349" t="s">
        <v>28</v>
      </c>
      <c r="N1349" t="s">
        <v>2396</v>
      </c>
      <c r="O1349">
        <v>2</v>
      </c>
      <c r="P1349" s="2">
        <v>43749</v>
      </c>
      <c r="Q1349" s="1">
        <v>30</v>
      </c>
      <c r="R1349" t="s">
        <v>3237</v>
      </c>
      <c r="S1349">
        <v>1080274464</v>
      </c>
    </row>
    <row r="1350" spans="1:19" x14ac:dyDescent="0.2">
      <c r="A1350" t="str">
        <f t="shared" si="158"/>
        <v>Adult Nonfiction</v>
      </c>
      <c r="B1350" t="str">
        <f>"NEW 741.5 MAC"</f>
        <v>NEW 741.5 MAC</v>
      </c>
      <c r="C1350" t="str">
        <f>"The boy, the mole, the fox and the horse"</f>
        <v>The boy, the mole, the fox and the horse</v>
      </c>
      <c r="D1350">
        <v>359405</v>
      </c>
      <c r="E1350" t="str">
        <f>"Mackesy, Charlie"</f>
        <v>Mackesy, Charlie</v>
      </c>
      <c r="G1350" t="str">
        <f>"pages cm"</f>
        <v>pages cm</v>
      </c>
      <c r="H1350" s="1">
        <v>19</v>
      </c>
      <c r="I1350">
        <v>2019</v>
      </c>
      <c r="J1350" t="str">
        <f t="shared" si="161"/>
        <v>13: 700 - 799</v>
      </c>
      <c r="L1350" t="s">
        <v>2395</v>
      </c>
      <c r="M1350" t="s">
        <v>28</v>
      </c>
      <c r="N1350" t="s">
        <v>2404</v>
      </c>
      <c r="O1350">
        <v>3</v>
      </c>
      <c r="P1350" s="2">
        <v>43788</v>
      </c>
      <c r="Q1350" s="1">
        <v>28</v>
      </c>
      <c r="R1350" t="s">
        <v>3238</v>
      </c>
      <c r="S1350">
        <v>1114279999</v>
      </c>
    </row>
    <row r="1351" spans="1:19" x14ac:dyDescent="0.2">
      <c r="A1351" t="str">
        <f t="shared" si="158"/>
        <v>Adult Nonfiction</v>
      </c>
      <c r="B1351" t="str">
        <f>"NEW 741.5 MAR"</f>
        <v>NEW 741.5 MAR</v>
      </c>
      <c r="C1351" t="str">
        <f>"You can only yell at me for one thing at a time: rules for couples"</f>
        <v>You can only yell at me for one thing at a time: rules for couples</v>
      </c>
      <c r="D1351">
        <v>360461</v>
      </c>
      <c r="E1351" t="str">
        <f>"Marx, Patricia"</f>
        <v>Marx, Patricia</v>
      </c>
      <c r="G1351" t="str">
        <f>"xiv, 139 pages, 19 cm, color illustrations"</f>
        <v>xiv, 139 pages, 19 cm, color illustrations</v>
      </c>
      <c r="H1351" s="1">
        <v>20</v>
      </c>
      <c r="I1351">
        <v>2020</v>
      </c>
      <c r="J1351" t="str">
        <f t="shared" si="161"/>
        <v>13: 700 - 799</v>
      </c>
      <c r="L1351" t="s">
        <v>2395</v>
      </c>
      <c r="M1351" t="s">
        <v>28</v>
      </c>
      <c r="N1351" t="s">
        <v>2404</v>
      </c>
      <c r="O1351">
        <v>1</v>
      </c>
      <c r="P1351" s="2">
        <v>43851</v>
      </c>
      <c r="Q1351" s="1">
        <v>25</v>
      </c>
      <c r="R1351" t="s">
        <v>3239</v>
      </c>
      <c r="S1351">
        <v>1090915405</v>
      </c>
    </row>
    <row r="1352" spans="1:19" x14ac:dyDescent="0.2">
      <c r="A1352" t="str">
        <f t="shared" si="158"/>
        <v>Adult Nonfiction</v>
      </c>
      <c r="B1352" t="str">
        <f>"NEW 741.5 PEA"</f>
        <v>NEW 741.5 PEA</v>
      </c>
      <c r="C1352" t="str">
        <f>"The Peanuts papers: writers and cartoonists on Charlie Brown, Snoopy &amp; the gang, and the meaning of life"</f>
        <v>The Peanuts papers: writers and cartoonists on Charlie Brown, Snoopy &amp; the gang, and the meaning of life</v>
      </c>
      <c r="D1352">
        <v>359681</v>
      </c>
      <c r="G1352" t="str">
        <f>"xiv, 338 pages, 22 cm, illustrations"</f>
        <v>xiv, 338 pages, 22 cm, illustrations</v>
      </c>
      <c r="H1352" s="1">
        <v>19</v>
      </c>
      <c r="I1352">
        <v>2019</v>
      </c>
      <c r="J1352" t="str">
        <f t="shared" si="161"/>
        <v>13: 700 - 799</v>
      </c>
      <c r="L1352" t="s">
        <v>2395</v>
      </c>
      <c r="M1352" t="s">
        <v>28</v>
      </c>
      <c r="N1352" t="s">
        <v>2404</v>
      </c>
      <c r="O1352">
        <v>2</v>
      </c>
      <c r="P1352" s="2">
        <v>43804</v>
      </c>
      <c r="Q1352" s="1">
        <v>30</v>
      </c>
      <c r="R1352" t="s">
        <v>3240</v>
      </c>
      <c r="S1352">
        <v>1083228350</v>
      </c>
    </row>
    <row r="1353" spans="1:19" x14ac:dyDescent="0.2">
      <c r="A1353" t="str">
        <f t="shared" si="158"/>
        <v>Adult Nonfiction</v>
      </c>
      <c r="B1353" t="str">
        <f>"NEW 741.5 PYL"</f>
        <v>NEW 741.5 PYL</v>
      </c>
      <c r="C1353" t="str">
        <f>"Strange planet"</f>
        <v>Strange planet</v>
      </c>
      <c r="D1353">
        <v>359688</v>
      </c>
      <c r="E1353" t="str">
        <f>"Pyle, Nathan W."</f>
        <v>Pyle, Nathan W.</v>
      </c>
      <c r="G1353" t="str">
        <f>"1 volume (unpaged), 16 cm, chiefly color illustrations"</f>
        <v>1 volume (unpaged), 16 cm, chiefly color illustrations</v>
      </c>
      <c r="H1353" s="1">
        <v>19</v>
      </c>
      <c r="I1353">
        <v>2019</v>
      </c>
      <c r="J1353" t="str">
        <f t="shared" si="161"/>
        <v>13: 700 - 799</v>
      </c>
      <c r="L1353" t="s">
        <v>2403</v>
      </c>
      <c r="M1353" t="s">
        <v>28</v>
      </c>
      <c r="N1353" t="s">
        <v>2404</v>
      </c>
      <c r="O1353">
        <v>5</v>
      </c>
      <c r="P1353" s="2">
        <v>43804</v>
      </c>
      <c r="Q1353" s="1">
        <v>20</v>
      </c>
      <c r="R1353" t="s">
        <v>3241</v>
      </c>
      <c r="S1353">
        <v>1096343117</v>
      </c>
    </row>
    <row r="1354" spans="1:19" x14ac:dyDescent="0.2">
      <c r="A1354" t="str">
        <f t="shared" si="158"/>
        <v>Adult Nonfiction</v>
      </c>
      <c r="B1354" t="str">
        <f>"NEW 741.5 WHY"</f>
        <v>NEW 741.5 WHY</v>
      </c>
      <c r="C1354" t="str">
        <f>"Why my cat is more impressive than your baby"</f>
        <v>Why my cat is more impressive than your baby</v>
      </c>
      <c r="D1354">
        <v>407043</v>
      </c>
      <c r="G1354" t="str">
        <f>"159 pages, 23 cm, illustrations (chiefly color), 1 poster"</f>
        <v>159 pages, 23 cm, illustrations (chiefly color), 1 poster</v>
      </c>
      <c r="H1354" s="1">
        <v>19</v>
      </c>
      <c r="I1354">
        <v>2019</v>
      </c>
      <c r="J1354" t="str">
        <f t="shared" si="161"/>
        <v>13: 700 - 799</v>
      </c>
      <c r="L1354" t="s">
        <v>2403</v>
      </c>
      <c r="M1354" t="s">
        <v>28</v>
      </c>
      <c r="N1354" t="s">
        <v>2404</v>
      </c>
      <c r="O1354">
        <v>14</v>
      </c>
      <c r="P1354" s="2">
        <v>43657</v>
      </c>
      <c r="Q1354" s="1">
        <v>20</v>
      </c>
      <c r="R1354" t="s">
        <v>3242</v>
      </c>
      <c r="S1354">
        <v>1078552495</v>
      </c>
    </row>
    <row r="1355" spans="1:19" x14ac:dyDescent="0.2">
      <c r="A1355" t="str">
        <f t="shared" si="158"/>
        <v>Adult Nonfiction</v>
      </c>
      <c r="B1355" t="str">
        <f>"NEW 745 YAN"</f>
        <v>NEW 745 YAN</v>
      </c>
      <c r="C1355" t="str">
        <f>"The beauty of everyday things"</f>
        <v>The beauty of everyday things</v>
      </c>
      <c r="D1355">
        <v>358678</v>
      </c>
      <c r="E1355" t="str">
        <f>"Yanagi, Soetsu."</f>
        <v>Yanagi, Soetsu.</v>
      </c>
      <c r="F1355" t="str">
        <f>"Penguin classics"</f>
        <v>Penguin classics</v>
      </c>
      <c r="G1355" t="str">
        <f>"345 p."</f>
        <v>345 p.</v>
      </c>
      <c r="H1355" s="1">
        <v>19</v>
      </c>
      <c r="I1355">
        <v>2019</v>
      </c>
      <c r="J1355" t="str">
        <f t="shared" si="161"/>
        <v>13: 700 - 799</v>
      </c>
      <c r="L1355" t="s">
        <v>2403</v>
      </c>
      <c r="M1355" t="s">
        <v>28</v>
      </c>
      <c r="N1355" t="s">
        <v>2404</v>
      </c>
      <c r="O1355">
        <v>4</v>
      </c>
      <c r="P1355" s="2">
        <v>43762</v>
      </c>
      <c r="Q1355" s="1">
        <v>21</v>
      </c>
      <c r="R1355" t="s">
        <v>3243</v>
      </c>
      <c r="S1355">
        <v>1031959896</v>
      </c>
    </row>
    <row r="1356" spans="1:19" x14ac:dyDescent="0.2">
      <c r="A1356" t="str">
        <f t="shared" si="158"/>
        <v>Adult Nonfiction</v>
      </c>
      <c r="B1356" t="str">
        <f>"NEW 745.5 ART"</f>
        <v>NEW 745.5 ART</v>
      </c>
      <c r="C1356" t="str">
        <f>"The art of curiosity: 50 visionary artists, scientists, poets, makers &amp; dreamers who are changing the way we see our world"</f>
        <v>The art of curiosity: 50 visionary artists, scientists, poets, makers &amp; dreamers who are changing the way we see our world</v>
      </c>
      <c r="D1356">
        <v>359176</v>
      </c>
      <c r="E1356" t="str">
        <f>"Exploratorium (Organization)"</f>
        <v>Exploratorium (Organization)</v>
      </c>
      <c r="G1356" t="str">
        <f>"199 p."</f>
        <v>199 p.</v>
      </c>
      <c r="H1356" s="1">
        <v>19</v>
      </c>
      <c r="I1356">
        <v>2019</v>
      </c>
      <c r="J1356" t="str">
        <f t="shared" si="161"/>
        <v>13: 700 - 799</v>
      </c>
      <c r="L1356" t="s">
        <v>2395</v>
      </c>
      <c r="M1356" t="s">
        <v>28</v>
      </c>
      <c r="N1356" t="s">
        <v>2396</v>
      </c>
      <c r="O1356">
        <v>0</v>
      </c>
      <c r="P1356" s="2">
        <v>43782</v>
      </c>
      <c r="Q1356" s="1">
        <v>40</v>
      </c>
      <c r="R1356" t="s">
        <v>3244</v>
      </c>
      <c r="S1356">
        <v>1126315812</v>
      </c>
    </row>
    <row r="1357" spans="1:19" x14ac:dyDescent="0.2">
      <c r="A1357" t="str">
        <f t="shared" si="158"/>
        <v>Adult Nonfiction</v>
      </c>
      <c r="B1357" t="str">
        <f>"NEW 745.5 FRE"</f>
        <v>NEW 745.5 FRE</v>
      </c>
      <c r="C1357" t="str">
        <f>"Almost lost arts: traditional crafts and the artisans keeping them alive"</f>
        <v>Almost lost arts: traditional crafts and the artisans keeping them alive</v>
      </c>
      <c r="D1357">
        <v>359652</v>
      </c>
      <c r="E1357" t="str">
        <f>"Freidenrich, Emily"</f>
        <v>Freidenrich, Emily</v>
      </c>
      <c r="G1357" t="str">
        <f>"208 pages, 29 cm, illustrations (chiefly color)"</f>
        <v>208 pages, 29 cm, illustrations (chiefly color)</v>
      </c>
      <c r="H1357" s="1">
        <v>19</v>
      </c>
      <c r="I1357">
        <v>2019</v>
      </c>
      <c r="J1357" t="str">
        <f t="shared" si="161"/>
        <v>13: 700 - 799</v>
      </c>
      <c r="L1357" t="s">
        <v>2395</v>
      </c>
      <c r="M1357" t="s">
        <v>28</v>
      </c>
      <c r="N1357" t="s">
        <v>2396</v>
      </c>
      <c r="O1357">
        <v>1</v>
      </c>
      <c r="P1357" s="2">
        <v>43804</v>
      </c>
      <c r="Q1357" s="1">
        <v>40</v>
      </c>
      <c r="R1357" t="s">
        <v>3245</v>
      </c>
      <c r="S1357">
        <v>1050143555</v>
      </c>
    </row>
    <row r="1358" spans="1:19" x14ac:dyDescent="0.2">
      <c r="A1358" t="str">
        <f t="shared" si="158"/>
        <v>Adult Nonfiction</v>
      </c>
      <c r="B1358" t="str">
        <f>"NEW 745.51 ZEE"</f>
        <v>NEW 745.51 ZEE</v>
      </c>
      <c r="C1358" t="str">
        <f>"The way of the woodshop: creating, designing &amp; decorating with wood"</f>
        <v>The way of the woodshop: creating, designing &amp; decorating with wood</v>
      </c>
      <c r="D1358">
        <v>358815</v>
      </c>
      <c r="E1358" t="str">
        <f>"Zee, Aleksandra."</f>
        <v>Zee, Aleksandra.</v>
      </c>
      <c r="G1358" t="str">
        <f>"175 p."</f>
        <v>175 p.</v>
      </c>
      <c r="H1358" s="1">
        <v>19</v>
      </c>
      <c r="I1358">
        <v>2019</v>
      </c>
      <c r="J1358" t="str">
        <f t="shared" si="161"/>
        <v>13: 700 - 799</v>
      </c>
      <c r="L1358" t="s">
        <v>2403</v>
      </c>
      <c r="M1358" t="s">
        <v>28</v>
      </c>
      <c r="N1358" t="s">
        <v>2404</v>
      </c>
      <c r="O1358">
        <v>3</v>
      </c>
      <c r="P1358" s="2">
        <v>43766</v>
      </c>
      <c r="Q1358" s="1">
        <v>32</v>
      </c>
      <c r="R1358" t="s">
        <v>3246</v>
      </c>
    </row>
    <row r="1359" spans="1:19" x14ac:dyDescent="0.2">
      <c r="A1359" t="str">
        <f t="shared" ref="A1359:A1422" si="162">"Adult Nonfiction"</f>
        <v>Adult Nonfiction</v>
      </c>
      <c r="B1359" t="str">
        <f>"NEW 745.54 DES"</f>
        <v>NEW 745.54 DES</v>
      </c>
      <c r="C1359" t="str">
        <f>"Beginner's guide to kirigami: 24 skill-building projects using origami &amp; papercrafting skills"</f>
        <v>Beginner's guide to kirigami: 24 skill-building projects using origami &amp; papercrafting skills</v>
      </c>
      <c r="D1359">
        <v>360149</v>
      </c>
      <c r="E1359" t="str">
        <f>"Descamps, Ghylenn,"</f>
        <v>Descamps, Ghylenn,</v>
      </c>
      <c r="G1359" t="str">
        <f>"94 pages, 23 cm, illustrations (chiefly color)"</f>
        <v>94 pages, 23 cm, illustrations (chiefly color)</v>
      </c>
      <c r="H1359" s="1">
        <v>19</v>
      </c>
      <c r="I1359">
        <v>2019</v>
      </c>
      <c r="J1359" t="str">
        <f t="shared" si="161"/>
        <v>13: 700 - 799</v>
      </c>
      <c r="L1359" t="s">
        <v>2395</v>
      </c>
      <c r="M1359" t="s">
        <v>28</v>
      </c>
      <c r="N1359" t="s">
        <v>2404</v>
      </c>
      <c r="O1359">
        <v>1</v>
      </c>
      <c r="P1359" s="2">
        <v>43833</v>
      </c>
      <c r="Q1359" s="1">
        <v>20</v>
      </c>
      <c r="R1359" t="s">
        <v>3247</v>
      </c>
      <c r="S1359">
        <v>1104856310</v>
      </c>
    </row>
    <row r="1360" spans="1:19" x14ac:dyDescent="0.2">
      <c r="A1360" t="str">
        <f t="shared" si="162"/>
        <v>Adult Nonfiction</v>
      </c>
      <c r="B1360" t="str">
        <f>"NEW 746 STC"</f>
        <v>NEW 746 STC</v>
      </c>
      <c r="C1360" t="str">
        <f>"The golden thread: how fabric changed history"</f>
        <v>The golden thread: how fabric changed history</v>
      </c>
      <c r="D1360">
        <v>359557</v>
      </c>
      <c r="E1360" t="str">
        <f>"St. Clair, Kassia"</f>
        <v>St. Clair, Kassia</v>
      </c>
      <c r="G1360" t="str">
        <f>"xii, 351 pages, 25 cm, illustrations"</f>
        <v>xii, 351 pages, 25 cm, illustrations</v>
      </c>
      <c r="H1360" s="1">
        <v>19</v>
      </c>
      <c r="I1360">
        <v>2019</v>
      </c>
      <c r="J1360" t="str">
        <f t="shared" si="161"/>
        <v>13: 700 - 799</v>
      </c>
      <c r="L1360" t="s">
        <v>2395</v>
      </c>
      <c r="M1360" t="s">
        <v>28</v>
      </c>
      <c r="N1360" t="s">
        <v>2404</v>
      </c>
      <c r="O1360">
        <v>2</v>
      </c>
      <c r="P1360" s="2">
        <v>43802</v>
      </c>
      <c r="Q1360" s="1">
        <v>29</v>
      </c>
      <c r="R1360" t="s">
        <v>3248</v>
      </c>
      <c r="S1360">
        <v>1125148647</v>
      </c>
    </row>
    <row r="1361" spans="1:19" x14ac:dyDescent="0.2">
      <c r="A1361" t="str">
        <f t="shared" si="162"/>
        <v>Adult Nonfiction</v>
      </c>
      <c r="B1361" t="str">
        <f>"NEW 746.1 JAR"</f>
        <v>NEW 746.1 JAR</v>
      </c>
      <c r="C1361" t="str">
        <f>"The weaving explorer: ingenious techniques, accessible tools &amp; creative projects with yarn, paper, wire &amp; more"</f>
        <v>The weaving explorer: ingenious techniques, accessible tools &amp; creative projects with yarn, paper, wire &amp; more</v>
      </c>
      <c r="D1361">
        <v>360184</v>
      </c>
      <c r="E1361" t="str">
        <f>"Jarchow, Deborah"</f>
        <v>Jarchow, Deborah</v>
      </c>
      <c r="G1361" t="str">
        <f>"310 pages, 27 cm, illustrations"</f>
        <v>310 pages, 27 cm, illustrations</v>
      </c>
      <c r="H1361" s="1">
        <v>19</v>
      </c>
      <c r="I1361">
        <v>2019</v>
      </c>
      <c r="J1361" t="str">
        <f t="shared" si="161"/>
        <v>13: 700 - 799</v>
      </c>
      <c r="L1361" t="s">
        <v>2395</v>
      </c>
      <c r="M1361" t="s">
        <v>28</v>
      </c>
      <c r="N1361" t="s">
        <v>2404</v>
      </c>
      <c r="O1361">
        <v>1</v>
      </c>
      <c r="P1361" s="2">
        <v>43833</v>
      </c>
      <c r="Q1361" s="1">
        <v>35</v>
      </c>
      <c r="R1361" t="s">
        <v>3249</v>
      </c>
      <c r="S1361">
        <v>1113055234</v>
      </c>
    </row>
    <row r="1362" spans="1:19" x14ac:dyDescent="0.2">
      <c r="A1362" t="str">
        <f t="shared" si="162"/>
        <v>Adult Nonfiction</v>
      </c>
      <c r="B1362" t="str">
        <f>"NEW 746.1 TRE"</f>
        <v>NEW 746.1 TRE</v>
      </c>
      <c r="C1362" t="str">
        <f>"Weaving: contemporary makers on the loom"</f>
        <v>Weaving: contemporary makers on the loom</v>
      </c>
      <c r="D1362">
        <v>358576</v>
      </c>
      <c r="E1362" t="str">
        <f>"Treggiden, Katie"</f>
        <v>Treggiden, Katie</v>
      </c>
      <c r="G1362" t="str">
        <f>"219 p."</f>
        <v>219 p.</v>
      </c>
      <c r="H1362" s="1">
        <v>19</v>
      </c>
      <c r="I1362">
        <v>2018</v>
      </c>
      <c r="J1362" t="str">
        <f t="shared" si="161"/>
        <v>13: 700 - 799</v>
      </c>
      <c r="L1362" t="s">
        <v>2395</v>
      </c>
      <c r="M1362" t="s">
        <v>28</v>
      </c>
      <c r="N1362" t="s">
        <v>2396</v>
      </c>
      <c r="O1362">
        <v>3</v>
      </c>
      <c r="P1362" s="2">
        <v>43756</v>
      </c>
      <c r="Q1362" s="1">
        <v>50</v>
      </c>
      <c r="R1362" t="s">
        <v>3250</v>
      </c>
      <c r="S1362">
        <v>1060595377</v>
      </c>
    </row>
    <row r="1363" spans="1:19" x14ac:dyDescent="0.2">
      <c r="A1363" t="str">
        <f t="shared" si="162"/>
        <v>Adult Nonfiction</v>
      </c>
      <c r="B1363" t="str">
        <f>"NEW 746.42 KAT"</f>
        <v>NEW 746.42 KAT</v>
      </c>
      <c r="C1363" t="str">
        <f>"Modern macram�: 33 stylish projects for your handmade home"</f>
        <v>Modern macram�: 33 stylish projects for your handmade home</v>
      </c>
      <c r="D1363">
        <v>359565</v>
      </c>
      <c r="E1363" t="str">
        <f>"Katz, Emily"</f>
        <v>Katz, Emily</v>
      </c>
      <c r="G1363" t="str">
        <f>"247 pages, 26 cm, color illustrations"</f>
        <v>247 pages, 26 cm, color illustrations</v>
      </c>
      <c r="H1363" s="1">
        <v>19</v>
      </c>
      <c r="I1363">
        <v>2018</v>
      </c>
      <c r="J1363" t="str">
        <f t="shared" si="161"/>
        <v>13: 700 - 799</v>
      </c>
      <c r="L1363" t="s">
        <v>2395</v>
      </c>
      <c r="M1363" t="s">
        <v>28</v>
      </c>
      <c r="N1363" t="s">
        <v>2396</v>
      </c>
      <c r="O1363">
        <v>1</v>
      </c>
      <c r="P1363" s="2">
        <v>43802</v>
      </c>
      <c r="Q1363" s="1">
        <v>30</v>
      </c>
      <c r="R1363" t="s">
        <v>3251</v>
      </c>
      <c r="S1363">
        <v>1035015452</v>
      </c>
    </row>
    <row r="1364" spans="1:19" x14ac:dyDescent="0.2">
      <c r="A1364" t="str">
        <f t="shared" si="162"/>
        <v>Adult Nonfiction</v>
      </c>
      <c r="B1364" t="str">
        <f>"NEW 746.43 BAR"</f>
        <v>NEW 746.43 BAR</v>
      </c>
      <c r="C1364" t="str">
        <f>"Knits from the greenhouse: knitting patterns for plant-based fibers"</f>
        <v>Knits from the greenhouse: knitting patterns for plant-based fibers</v>
      </c>
      <c r="D1364">
        <v>360163</v>
      </c>
      <c r="E1364" t="str">
        <f>"Bartlette, Cornelia"</f>
        <v>Bartlette, Cornelia</v>
      </c>
      <c r="G1364" t="str">
        <f>"151 pages, 28 cm, illustrations (chiefly color)"</f>
        <v>151 pages, 28 cm, illustrations (chiefly color)</v>
      </c>
      <c r="H1364" s="1">
        <v>19</v>
      </c>
      <c r="I1364">
        <v>2019</v>
      </c>
      <c r="J1364" t="str">
        <f t="shared" si="161"/>
        <v>13: 700 - 799</v>
      </c>
      <c r="L1364" t="s">
        <v>2395</v>
      </c>
      <c r="M1364" t="s">
        <v>28</v>
      </c>
      <c r="N1364" t="s">
        <v>2396</v>
      </c>
      <c r="O1364">
        <v>0</v>
      </c>
      <c r="P1364" s="2">
        <v>43833</v>
      </c>
      <c r="Q1364" s="1">
        <v>32</v>
      </c>
      <c r="R1364" t="s">
        <v>3252</v>
      </c>
      <c r="S1364">
        <v>1048440270</v>
      </c>
    </row>
    <row r="1365" spans="1:19" x14ac:dyDescent="0.2">
      <c r="A1365" t="str">
        <f t="shared" si="162"/>
        <v>Adult Nonfiction</v>
      </c>
      <c r="B1365" t="str">
        <f>"NEW 746.43 CAE"</f>
        <v>NEW 746.43 CAE</v>
      </c>
      <c r="C1365" t="str">
        <f>"Kawaii craft life: super-cute projects for home, work &amp; play"</f>
        <v>Kawaii craft life: super-cute projects for home, work &amp; play</v>
      </c>
      <c r="D1365">
        <v>406846</v>
      </c>
      <c r="E1365" t="str">
        <f>"Caetano, Sosae"</f>
        <v>Caetano, Sosae</v>
      </c>
      <c r="G1365" t="str">
        <f>"188 pages, 21 cm, illustrations (some color)"</f>
        <v>188 pages, 21 cm, illustrations (some color)</v>
      </c>
      <c r="H1365" s="1">
        <v>19</v>
      </c>
      <c r="I1365">
        <v>2019</v>
      </c>
      <c r="J1365" t="str">
        <f t="shared" si="161"/>
        <v>13: 700 - 799</v>
      </c>
      <c r="L1365" t="s">
        <v>2395</v>
      </c>
      <c r="M1365" t="s">
        <v>28</v>
      </c>
      <c r="N1365" t="s">
        <v>2396</v>
      </c>
      <c r="O1365">
        <v>12</v>
      </c>
      <c r="P1365" s="2">
        <v>43636</v>
      </c>
      <c r="Q1365" s="1">
        <v>25</v>
      </c>
      <c r="R1365" t="s">
        <v>3253</v>
      </c>
      <c r="S1365">
        <v>1051137074</v>
      </c>
    </row>
    <row r="1366" spans="1:19" x14ac:dyDescent="0.2">
      <c r="A1366" t="str">
        <f t="shared" si="162"/>
        <v>Adult Nonfiction</v>
      </c>
      <c r="B1366" t="str">
        <f>"NEW 746.43 DEB"</f>
        <v>NEW 746.43 DEB</v>
      </c>
      <c r="C1366" t="str">
        <f>"Modern crochet: patterns and designs for the minimalist maker"</f>
        <v>Modern crochet: patterns and designs for the minimalist maker</v>
      </c>
      <c r="D1366">
        <v>359478</v>
      </c>
      <c r="E1366" t="str">
        <f>"Carter, Teresa"</f>
        <v>Carter, Teresa</v>
      </c>
      <c r="G1366" t="str">
        <f>"175 p."</f>
        <v>175 p.</v>
      </c>
      <c r="H1366" s="1">
        <v>19</v>
      </c>
      <c r="I1366">
        <v>2019</v>
      </c>
      <c r="J1366" t="str">
        <f t="shared" si="161"/>
        <v>13: 700 - 799</v>
      </c>
      <c r="L1366" t="s">
        <v>2395</v>
      </c>
      <c r="M1366" t="s">
        <v>28</v>
      </c>
      <c r="N1366" t="s">
        <v>2404</v>
      </c>
      <c r="O1366">
        <v>2</v>
      </c>
      <c r="P1366" s="2">
        <v>43802</v>
      </c>
      <c r="Q1366" s="1">
        <v>30</v>
      </c>
      <c r="R1366" t="s">
        <v>3254</v>
      </c>
      <c r="S1366">
        <v>1105301572</v>
      </c>
    </row>
    <row r="1367" spans="1:19" x14ac:dyDescent="0.2">
      <c r="A1367" t="str">
        <f t="shared" si="162"/>
        <v>Adult Nonfiction</v>
      </c>
      <c r="B1367" t="str">
        <f>"NEW 746.43 HAT"</f>
        <v>NEW 746.43 HAT</v>
      </c>
      <c r="C1367" t="str">
        <f>"Japanese knitting stitches from Tokyo's Kazekobo Studio: a dictionary of 200 stitch patterns"</f>
        <v>Japanese knitting stitches from Tokyo's Kazekobo Studio: a dictionary of 200 stitch patterns</v>
      </c>
      <c r="D1367">
        <v>357706</v>
      </c>
      <c r="E1367" t="str">
        <f>"Hatta, Yoko"</f>
        <v>Hatta, Yoko</v>
      </c>
      <c r="G1367" t="str">
        <f>"128 pages, 29 cm, illustrations (some color)"</f>
        <v>128 pages, 29 cm, illustrations (some color)</v>
      </c>
      <c r="H1367" s="1">
        <v>19</v>
      </c>
      <c r="I1367">
        <v>2019</v>
      </c>
      <c r="J1367" t="str">
        <f t="shared" si="161"/>
        <v>13: 700 - 799</v>
      </c>
      <c r="L1367" t="s">
        <v>2403</v>
      </c>
      <c r="M1367" t="s">
        <v>28</v>
      </c>
      <c r="N1367" t="s">
        <v>2396</v>
      </c>
      <c r="O1367">
        <v>2</v>
      </c>
      <c r="P1367" s="2">
        <v>43725</v>
      </c>
      <c r="Q1367" s="1">
        <v>24</v>
      </c>
      <c r="R1367" t="s">
        <v>3255</v>
      </c>
      <c r="S1367">
        <v>1111611400</v>
      </c>
    </row>
    <row r="1368" spans="1:19" x14ac:dyDescent="0.2">
      <c r="A1368" t="str">
        <f t="shared" si="162"/>
        <v>Adult Nonfiction</v>
      </c>
      <c r="B1368" t="str">
        <f>"NEW 746.43 HOW"</f>
        <v>NEW 746.43 HOW</v>
      </c>
      <c r="C1368" t="str">
        <f>"The knit vibe: a knitter's guide to creativity, community and well-being for mind, body &amp; soul"</f>
        <v>The knit vibe: a knitter's guide to creativity, community and well-being for mind, body &amp; soul</v>
      </c>
      <c r="D1368">
        <v>359029</v>
      </c>
      <c r="E1368" t="str">
        <f>"Howell, Vickie."</f>
        <v>Howell, Vickie.</v>
      </c>
      <c r="G1368" t="str">
        <f>"205 p."</f>
        <v>205 p.</v>
      </c>
      <c r="H1368" s="1">
        <v>19</v>
      </c>
      <c r="I1368">
        <v>2019</v>
      </c>
      <c r="J1368" t="str">
        <f t="shared" si="161"/>
        <v>13: 700 - 799</v>
      </c>
      <c r="L1368" t="s">
        <v>2403</v>
      </c>
      <c r="M1368" t="s">
        <v>28</v>
      </c>
      <c r="N1368" t="s">
        <v>2396</v>
      </c>
      <c r="O1368">
        <v>2</v>
      </c>
      <c r="P1368" s="2">
        <v>43776</v>
      </c>
      <c r="Q1368" s="1">
        <v>35</v>
      </c>
      <c r="R1368" t="s">
        <v>3256</v>
      </c>
      <c r="S1368">
        <v>1121092813</v>
      </c>
    </row>
    <row r="1369" spans="1:19" x14ac:dyDescent="0.2">
      <c r="A1369" t="str">
        <f t="shared" si="162"/>
        <v>Adult Nonfiction</v>
      </c>
      <c r="B1369" t="str">
        <f>"NEW 746.43 OSM"</f>
        <v>NEW 746.43 OSM</v>
      </c>
      <c r="C1369" t="str">
        <f>"Weekend makes: stash knitting: 25 quick and easy projects to make"</f>
        <v>Weekend makes: stash knitting: 25 quick and easy projects to make</v>
      </c>
      <c r="D1369">
        <v>354780</v>
      </c>
      <c r="E1369" t="str">
        <f>"Osmond, Emma"</f>
        <v>Osmond, Emma</v>
      </c>
      <c r="G1369" t="str">
        <f>"143 p."</f>
        <v>143 p.</v>
      </c>
      <c r="H1369" s="1">
        <v>19</v>
      </c>
      <c r="I1369">
        <v>2019</v>
      </c>
      <c r="J1369" t="str">
        <f t="shared" si="161"/>
        <v>13: 700 - 799</v>
      </c>
      <c r="L1369" t="s">
        <v>2395</v>
      </c>
      <c r="M1369" t="s">
        <v>28</v>
      </c>
      <c r="N1369" t="s">
        <v>2404</v>
      </c>
      <c r="O1369">
        <v>10</v>
      </c>
      <c r="P1369" s="2">
        <v>43602</v>
      </c>
      <c r="Q1369" s="1">
        <v>28</v>
      </c>
      <c r="R1369" t="s">
        <v>3257</v>
      </c>
      <c r="S1369">
        <v>1091699862</v>
      </c>
    </row>
    <row r="1370" spans="1:19" x14ac:dyDescent="0.2">
      <c r="A1370" t="str">
        <f t="shared" si="162"/>
        <v>Adult Nonfiction</v>
      </c>
      <c r="B1370" t="str">
        <f>"NEW 746.44 BON"</f>
        <v>NEW 746.44 BON</v>
      </c>
      <c r="C1370" t="str">
        <f>"Wool, needle &amp; thread: the go-to guide for wool stitchery"</f>
        <v>Wool, needle &amp; thread: the go-to guide for wool stitchery</v>
      </c>
      <c r="D1370">
        <v>360322</v>
      </c>
      <c r="E1370" t="str">
        <f>"Bongean, Lisa,"</f>
        <v>Bongean, Lisa,</v>
      </c>
      <c r="G1370" t="str">
        <f>"111 p."</f>
        <v>111 p.</v>
      </c>
      <c r="H1370" s="1">
        <v>19</v>
      </c>
      <c r="I1370">
        <v>2019</v>
      </c>
      <c r="J1370" t="str">
        <f t="shared" si="161"/>
        <v>13: 700 - 799</v>
      </c>
      <c r="L1370" t="s">
        <v>2403</v>
      </c>
      <c r="M1370" t="s">
        <v>28</v>
      </c>
      <c r="N1370" t="s">
        <v>2404</v>
      </c>
      <c r="O1370">
        <v>1</v>
      </c>
      <c r="P1370" s="2">
        <v>43844</v>
      </c>
      <c r="Q1370" s="1">
        <v>33.99</v>
      </c>
      <c r="R1370" t="s">
        <v>3258</v>
      </c>
      <c r="S1370">
        <v>1100426989</v>
      </c>
    </row>
    <row r="1371" spans="1:19" x14ac:dyDescent="0.2">
      <c r="A1371" t="str">
        <f t="shared" si="162"/>
        <v>Adult Nonfiction</v>
      </c>
      <c r="B1371" t="str">
        <f>"NEW 746.44 HIG"</f>
        <v>NEW 746.44 HIG</v>
      </c>
      <c r="C1371" t="str">
        <f>"Embroidered botanicals: beautiful motifs that explore stitching with wool, cotton, and metallic threads"</f>
        <v>Embroidered botanicals: beautiful motifs that explore stitching with wool, cotton, and metallic threads</v>
      </c>
      <c r="D1371">
        <v>357501</v>
      </c>
      <c r="E1371" t="str">
        <f>"Higuchi, Yumiko,"</f>
        <v>Higuchi, Yumiko,</v>
      </c>
      <c r="G1371" t="str">
        <f>"95 p."</f>
        <v>95 p.</v>
      </c>
      <c r="H1371" s="1">
        <v>19</v>
      </c>
      <c r="I1371">
        <v>2019</v>
      </c>
      <c r="J1371" t="str">
        <f t="shared" si="161"/>
        <v>13: 700 - 799</v>
      </c>
      <c r="L1371" t="s">
        <v>2395</v>
      </c>
      <c r="M1371" t="s">
        <v>28</v>
      </c>
      <c r="N1371" t="s">
        <v>2404</v>
      </c>
      <c r="O1371">
        <v>5</v>
      </c>
      <c r="P1371" s="2">
        <v>43719</v>
      </c>
      <c r="Q1371" s="1">
        <v>27</v>
      </c>
      <c r="R1371" t="s">
        <v>3259</v>
      </c>
      <c r="S1371">
        <v>1057243019</v>
      </c>
    </row>
    <row r="1372" spans="1:19" x14ac:dyDescent="0.2">
      <c r="A1372" t="str">
        <f t="shared" si="162"/>
        <v>Adult Nonfiction</v>
      </c>
      <c r="B1372" t="str">
        <f>"NEW 746.44 KHO"</f>
        <v>NEW 746.44 KHO</v>
      </c>
      <c r="C1372" t="str">
        <f>"Punch needle: master the art of punch needling accessories for you and your home"</f>
        <v>Punch needle: master the art of punch needling accessories for you and your home</v>
      </c>
      <c r="D1372">
        <v>360172</v>
      </c>
      <c r="E1372" t="str">
        <f>"Khounnoraj, Arounna"</f>
        <v>Khounnoraj, Arounna</v>
      </c>
      <c r="G1372" t="str">
        <f>"159 pages, 26 cm, illustrations (chiefly color)"</f>
        <v>159 pages, 26 cm, illustrations (chiefly color)</v>
      </c>
      <c r="H1372" s="1">
        <v>19</v>
      </c>
      <c r="I1372">
        <v>2019</v>
      </c>
      <c r="J1372" t="str">
        <f t="shared" si="161"/>
        <v>13: 700 - 799</v>
      </c>
      <c r="L1372" t="s">
        <v>2403</v>
      </c>
      <c r="M1372" t="s">
        <v>28</v>
      </c>
      <c r="N1372" t="s">
        <v>2396</v>
      </c>
      <c r="O1372">
        <v>0</v>
      </c>
      <c r="P1372" s="2">
        <v>43833</v>
      </c>
      <c r="Q1372" s="1">
        <v>25</v>
      </c>
      <c r="R1372" t="s">
        <v>3260</v>
      </c>
      <c r="S1372">
        <v>1104219292</v>
      </c>
    </row>
    <row r="1373" spans="1:19" x14ac:dyDescent="0.2">
      <c r="A1373" t="str">
        <f t="shared" si="162"/>
        <v>Adult Nonfiction</v>
      </c>
      <c r="B1373" t="str">
        <f>"NEW 779 CUN"</f>
        <v>NEW 779 CUN</v>
      </c>
      <c r="C1373" t="str">
        <f>"Bill Cunningham's on the street: five decades of iconic photography"</f>
        <v>Bill Cunningham's on the street: five decades of iconic photography</v>
      </c>
      <c r="D1373">
        <v>357981</v>
      </c>
      <c r="E1373" t="str">
        <f>"Cunningham, Bill"</f>
        <v>Cunningham, Bill</v>
      </c>
      <c r="G1373" t="str">
        <f>"381 pages, 30 cm, chiefly illustrations (some color)"</f>
        <v>381 pages, 30 cm, chiefly illustrations (some color)</v>
      </c>
      <c r="H1373" s="1">
        <v>19</v>
      </c>
      <c r="I1373">
        <v>2019</v>
      </c>
      <c r="J1373" t="str">
        <f t="shared" si="161"/>
        <v>13: 700 - 799</v>
      </c>
      <c r="L1373" t="s">
        <v>2395</v>
      </c>
      <c r="M1373" t="s">
        <v>28</v>
      </c>
      <c r="N1373" t="str">
        <f>"Reserve Cart"</f>
        <v>Reserve Cart</v>
      </c>
      <c r="O1373">
        <v>5</v>
      </c>
      <c r="P1373" s="2">
        <v>43739</v>
      </c>
      <c r="Q1373" s="1">
        <v>70</v>
      </c>
      <c r="R1373" t="s">
        <v>3261</v>
      </c>
      <c r="S1373">
        <v>1080554564</v>
      </c>
    </row>
    <row r="1374" spans="1:19" x14ac:dyDescent="0.2">
      <c r="A1374" t="str">
        <f t="shared" si="162"/>
        <v>Adult Nonfiction</v>
      </c>
      <c r="B1374" t="str">
        <f>"NEW 779 HUG"</f>
        <v>NEW 779 HUG</v>
      </c>
      <c r="C1374" t="str">
        <f>"Our rainbow queen: a tribute to Queen Elizabeth II and her colorful wardrobe"</f>
        <v>Our rainbow queen: a tribute to Queen Elizabeth II and her colorful wardrobe</v>
      </c>
      <c r="D1374">
        <v>358551</v>
      </c>
      <c r="E1374" t="str">
        <f>"Hughes, Sali,"</f>
        <v>Hughes, Sali,</v>
      </c>
      <c r="G1374" t="str">
        <f>"179 pages, 19 cm, illustrations (chiefly color)"</f>
        <v>179 pages, 19 cm, illustrations (chiefly color)</v>
      </c>
      <c r="H1374" s="1">
        <v>19</v>
      </c>
      <c r="I1374">
        <v>2019</v>
      </c>
      <c r="J1374" t="str">
        <f t="shared" si="161"/>
        <v>13: 700 - 799</v>
      </c>
      <c r="L1374" t="s">
        <v>2395</v>
      </c>
      <c r="M1374" t="s">
        <v>28</v>
      </c>
      <c r="N1374" t="s">
        <v>2404</v>
      </c>
      <c r="O1374">
        <v>2</v>
      </c>
      <c r="P1374" s="2">
        <v>43756</v>
      </c>
      <c r="Q1374" s="1">
        <v>25</v>
      </c>
      <c r="R1374" t="s">
        <v>3262</v>
      </c>
      <c r="S1374">
        <v>1088636366</v>
      </c>
    </row>
    <row r="1375" spans="1:19" x14ac:dyDescent="0.2">
      <c r="A1375" t="str">
        <f t="shared" si="162"/>
        <v>Adult Nonfiction</v>
      </c>
      <c r="B1375" t="str">
        <f>"NEW 780 MAU"</f>
        <v>NEW 780 MAU</v>
      </c>
      <c r="C1375" t="str">
        <f>"For the love of music: a conductor's guide to the art of listening"</f>
        <v>For the love of music: a conductor's guide to the art of listening</v>
      </c>
      <c r="D1375">
        <v>358111</v>
      </c>
      <c r="E1375" t="str">
        <f>"Mauceri, John"</f>
        <v>Mauceri, John</v>
      </c>
      <c r="G1375" t="str">
        <f>"210 pages, 22 cm, illustrations"</f>
        <v>210 pages, 22 cm, illustrations</v>
      </c>
      <c r="H1375" s="1">
        <v>19</v>
      </c>
      <c r="I1375">
        <v>2019</v>
      </c>
      <c r="J1375" t="str">
        <f t="shared" si="161"/>
        <v>13: 700 - 799</v>
      </c>
      <c r="L1375" t="s">
        <v>2395</v>
      </c>
      <c r="M1375" t="s">
        <v>28</v>
      </c>
      <c r="N1375" t="s">
        <v>2404</v>
      </c>
      <c r="O1375">
        <v>3</v>
      </c>
      <c r="P1375" s="2">
        <v>43740</v>
      </c>
      <c r="Q1375" s="1">
        <v>31</v>
      </c>
      <c r="R1375" t="s">
        <v>3263</v>
      </c>
      <c r="S1375">
        <v>1061865062</v>
      </c>
    </row>
    <row r="1376" spans="1:19" x14ac:dyDescent="0.2">
      <c r="A1376" t="str">
        <f t="shared" si="162"/>
        <v>Adult Nonfiction</v>
      </c>
      <c r="B1376" t="str">
        <f>"NEW 780.9 GIO"</f>
        <v>NEW 780.9 GIO</v>
      </c>
      <c r="C1376" t="str">
        <f>"Music: a subversive history"</f>
        <v>Music: a subversive history</v>
      </c>
      <c r="D1376">
        <v>358885</v>
      </c>
      <c r="E1376" t="str">
        <f>"Gioia, Ted"</f>
        <v>Gioia, Ted</v>
      </c>
      <c r="G1376" t="str">
        <f>"x, 514 pages, 24 cm"</f>
        <v>x, 514 pages, 24 cm</v>
      </c>
      <c r="H1376" s="1">
        <v>19</v>
      </c>
      <c r="I1376">
        <v>2019</v>
      </c>
      <c r="J1376" t="str">
        <f t="shared" si="161"/>
        <v>13: 700 - 799</v>
      </c>
      <c r="L1376" t="s">
        <v>2403</v>
      </c>
      <c r="M1376" t="s">
        <v>28</v>
      </c>
      <c r="N1376" t="s">
        <v>2404</v>
      </c>
      <c r="O1376">
        <v>2</v>
      </c>
      <c r="P1376" s="2">
        <v>43769</v>
      </c>
      <c r="Q1376" s="1">
        <v>40</v>
      </c>
      <c r="R1376" t="s">
        <v>3264</v>
      </c>
      <c r="S1376">
        <v>1083153301</v>
      </c>
    </row>
    <row r="1377" spans="1:19" x14ac:dyDescent="0.2">
      <c r="A1377" t="str">
        <f t="shared" si="162"/>
        <v>Adult Nonfiction</v>
      </c>
      <c r="B1377" t="str">
        <f>"NEW 781.64 DYS"</f>
        <v>NEW 781.64 DYS</v>
      </c>
      <c r="C1377" t="str">
        <f>"Jay-Z: made in America"</f>
        <v>Jay-Z: made in America</v>
      </c>
      <c r="D1377">
        <v>359561</v>
      </c>
      <c r="E1377" t="str">
        <f>"Dyson, Michael Eric"</f>
        <v>Dyson, Michael Eric</v>
      </c>
      <c r="G1377" t="str">
        <f>"xii, 226 pages, 20 cm, illustrations"</f>
        <v>xii, 226 pages, 20 cm, illustrations</v>
      </c>
      <c r="H1377" s="1">
        <v>19</v>
      </c>
      <c r="I1377">
        <v>2019</v>
      </c>
      <c r="J1377" t="str">
        <f t="shared" si="161"/>
        <v>13: 700 - 799</v>
      </c>
      <c r="L1377" t="s">
        <v>2403</v>
      </c>
      <c r="M1377" t="s">
        <v>28</v>
      </c>
      <c r="N1377" t="s">
        <v>2396</v>
      </c>
      <c r="O1377">
        <v>2</v>
      </c>
      <c r="P1377" s="2">
        <v>43802</v>
      </c>
      <c r="Q1377" s="1">
        <v>31</v>
      </c>
      <c r="R1377" t="s">
        <v>3265</v>
      </c>
      <c r="S1377">
        <v>1119145096</v>
      </c>
    </row>
    <row r="1378" spans="1:19" x14ac:dyDescent="0.2">
      <c r="A1378" t="str">
        <f t="shared" si="162"/>
        <v>Adult Nonfiction</v>
      </c>
      <c r="B1378" t="str">
        <f>"NEW 781.66 BRE"</f>
        <v>NEW 781.66 BRE</v>
      </c>
      <c r="C1378" t="str">
        <f>"Disgraceland: musicians getting away with murder and behaving very badly"</f>
        <v>Disgraceland: musicians getting away with murder and behaving very badly</v>
      </c>
      <c r="D1378">
        <v>358103</v>
      </c>
      <c r="E1378" t="str">
        <f>"Brennan, Jake."</f>
        <v>Brennan, Jake.</v>
      </c>
      <c r="G1378" t="str">
        <f>"228 p."</f>
        <v>228 p.</v>
      </c>
      <c r="H1378" s="1">
        <v>19</v>
      </c>
      <c r="I1378">
        <v>2019</v>
      </c>
      <c r="J1378" t="str">
        <f t="shared" si="161"/>
        <v>13: 700 - 799</v>
      </c>
      <c r="L1378" t="s">
        <v>2395</v>
      </c>
      <c r="M1378" t="s">
        <v>28</v>
      </c>
      <c r="N1378" t="s">
        <v>2396</v>
      </c>
      <c r="O1378">
        <v>4</v>
      </c>
      <c r="P1378" s="2">
        <v>43740</v>
      </c>
      <c r="Q1378" s="1">
        <v>33</v>
      </c>
      <c r="R1378" t="s">
        <v>3266</v>
      </c>
      <c r="S1378">
        <v>1107433445</v>
      </c>
    </row>
    <row r="1379" spans="1:19" x14ac:dyDescent="0.2">
      <c r="A1379" t="str">
        <f t="shared" si="162"/>
        <v>Adult Nonfiction</v>
      </c>
      <c r="B1379" t="str">
        <f>"NEW 781.66 HIA"</f>
        <v>NEW 781.66 HIA</v>
      </c>
      <c r="C1379" t="str">
        <f>"Bruce Springsteen: the stories behind the songs"</f>
        <v>Bruce Springsteen: the stories behind the songs</v>
      </c>
      <c r="D1379">
        <v>353854</v>
      </c>
      <c r="E1379" t="str">
        <f>"Hiatt, Brian."</f>
        <v>Hiatt, Brian.</v>
      </c>
      <c r="G1379" t="str">
        <f>"287 p."</f>
        <v>287 p.</v>
      </c>
      <c r="H1379" s="1">
        <v>19</v>
      </c>
      <c r="I1379">
        <v>2019</v>
      </c>
      <c r="J1379" t="str">
        <f t="shared" si="161"/>
        <v>13: 700 - 799</v>
      </c>
      <c r="L1379" t="s">
        <v>2403</v>
      </c>
      <c r="M1379" t="s">
        <v>28</v>
      </c>
      <c r="N1379" t="s">
        <v>2401</v>
      </c>
      <c r="O1379">
        <v>2</v>
      </c>
      <c r="P1379" s="2">
        <v>43556</v>
      </c>
      <c r="Q1379" s="1">
        <v>40</v>
      </c>
      <c r="R1379" t="s">
        <v>3267</v>
      </c>
      <c r="S1379">
        <v>1048940053</v>
      </c>
    </row>
    <row r="1380" spans="1:19" x14ac:dyDescent="0.2">
      <c r="A1380" t="str">
        <f t="shared" si="162"/>
        <v>Adult Nonfiction</v>
      </c>
      <c r="B1380" t="str">
        <f>"NEW 781.66 MIT"</f>
        <v>NEW 781.66 MIT</v>
      </c>
      <c r="C1380" t="str">
        <f>"Morning glory on the vine: early songs &amp; drawings"</f>
        <v>Morning glory on the vine: early songs &amp; drawings</v>
      </c>
      <c r="D1380">
        <v>358712</v>
      </c>
      <c r="E1380" t="str">
        <f>"Mitchell, Joni"</f>
        <v>Mitchell, Joni</v>
      </c>
      <c r="G1380" t="str">
        <f>"1 volume (unpaged), 29 cm, illustrations (chiefly color)"</f>
        <v>1 volume (unpaged), 29 cm, illustrations (chiefly color)</v>
      </c>
      <c r="H1380" s="1">
        <v>19</v>
      </c>
      <c r="I1380">
        <v>2019</v>
      </c>
      <c r="J1380" t="str">
        <f t="shared" si="161"/>
        <v>13: 700 - 799</v>
      </c>
      <c r="L1380" t="s">
        <v>2395</v>
      </c>
      <c r="M1380" t="s">
        <v>28</v>
      </c>
      <c r="N1380" t="s">
        <v>2396</v>
      </c>
      <c r="O1380">
        <v>2</v>
      </c>
      <c r="P1380" s="2">
        <v>43762</v>
      </c>
      <c r="Q1380" s="1">
        <v>45</v>
      </c>
      <c r="R1380" t="s">
        <v>3268</v>
      </c>
      <c r="S1380">
        <v>1090002606</v>
      </c>
    </row>
    <row r="1381" spans="1:19" x14ac:dyDescent="0.2">
      <c r="A1381" t="str">
        <f t="shared" si="162"/>
        <v>Adult Nonfiction</v>
      </c>
      <c r="B1381" t="str">
        <f>"NEW 781.66 WAR"</f>
        <v>NEW 781.66 WAR</v>
      </c>
      <c r="C1381" t="str">
        <f>"The history of rock &amp; roll, v.2: 1964-1977 : the Beatles, the Stones, and the rise of classic rock"</f>
        <v>The history of rock &amp; roll, v.2: 1964-1977 : the Beatles, the Stones, and the rise of classic rock</v>
      </c>
      <c r="D1381">
        <v>359860</v>
      </c>
      <c r="E1381" t="str">
        <f>"Ward, Ed,"</f>
        <v>Ward, Ed,</v>
      </c>
      <c r="G1381" t="str">
        <f>"viii, 324 pages, 25 cm, illustrations"</f>
        <v>viii, 324 pages, 25 cm, illustrations</v>
      </c>
      <c r="H1381" s="1">
        <v>19</v>
      </c>
      <c r="I1381">
        <v>2019</v>
      </c>
      <c r="J1381" t="str">
        <f t="shared" si="161"/>
        <v>13: 700 - 799</v>
      </c>
      <c r="L1381" t="s">
        <v>2395</v>
      </c>
      <c r="M1381" t="s">
        <v>28</v>
      </c>
      <c r="N1381" t="s">
        <v>2396</v>
      </c>
      <c r="O1381">
        <v>3</v>
      </c>
      <c r="P1381" s="2">
        <v>43815</v>
      </c>
      <c r="Q1381" s="1">
        <v>35</v>
      </c>
      <c r="R1381" t="s">
        <v>3269</v>
      </c>
    </row>
    <row r="1382" spans="1:19" x14ac:dyDescent="0.2">
      <c r="A1382" t="str">
        <f t="shared" si="162"/>
        <v>Adult Nonfiction</v>
      </c>
      <c r="B1382" t="str">
        <f>"NEW 791.43 MAR"</f>
        <v>NEW 791.43 MAR</v>
      </c>
      <c r="C1382" t="str">
        <f>"Downton Abbey: the official film companion"</f>
        <v>Downton Abbey: the official film companion</v>
      </c>
      <c r="D1382">
        <v>357889</v>
      </c>
      <c r="E1382" t="str">
        <f>"Marriott, Emma"</f>
        <v>Marriott, Emma</v>
      </c>
      <c r="G1382" t="str">
        <f>"313 pages, 26 cm, illustrations (chiefly color)"</f>
        <v>313 pages, 26 cm, illustrations (chiefly color)</v>
      </c>
      <c r="H1382" s="1">
        <v>19</v>
      </c>
      <c r="I1382">
        <v>2019</v>
      </c>
      <c r="J1382" t="str">
        <f t="shared" si="161"/>
        <v>13: 700 - 799</v>
      </c>
      <c r="L1382" t="s">
        <v>2395</v>
      </c>
      <c r="M1382" t="s">
        <v>28</v>
      </c>
      <c r="N1382" t="s">
        <v>2404</v>
      </c>
      <c r="O1382">
        <v>6</v>
      </c>
      <c r="P1382" s="2">
        <v>43733</v>
      </c>
      <c r="Q1382" s="1">
        <v>35</v>
      </c>
      <c r="R1382" t="s">
        <v>3270</v>
      </c>
      <c r="S1382">
        <v>1089271974</v>
      </c>
    </row>
    <row r="1383" spans="1:19" x14ac:dyDescent="0.2">
      <c r="A1383" t="str">
        <f t="shared" si="162"/>
        <v>Adult Nonfiction</v>
      </c>
      <c r="B1383" t="str">
        <f>"NEW 791.43 ROT"</f>
        <v>NEW 791.43 ROT</v>
      </c>
      <c r="C1383" t="str">
        <f>"Rotten movies we love: cult classics, underrated gems, and films so bad they're good"</f>
        <v>Rotten movies we love: cult classics, underrated gems, and films so bad they're good</v>
      </c>
      <c r="D1383">
        <v>358719</v>
      </c>
      <c r="E1383" t="str">
        <f>"The Editors of Rotten Tomatoes."</f>
        <v>The Editors of Rotten Tomatoes.</v>
      </c>
      <c r="G1383" t="str">
        <f>"240 p."</f>
        <v>240 p.</v>
      </c>
      <c r="H1383" s="1">
        <v>19</v>
      </c>
      <c r="I1383">
        <v>2019</v>
      </c>
      <c r="J1383" t="str">
        <f t="shared" si="161"/>
        <v>13: 700 - 799</v>
      </c>
      <c r="L1383" t="s">
        <v>2395</v>
      </c>
      <c r="M1383" t="s">
        <v>28</v>
      </c>
      <c r="N1383" t="s">
        <v>2404</v>
      </c>
      <c r="O1383">
        <v>3</v>
      </c>
      <c r="P1383" s="2">
        <v>43762</v>
      </c>
      <c r="Q1383" s="1">
        <v>29</v>
      </c>
      <c r="R1383" t="s">
        <v>3271</v>
      </c>
    </row>
    <row r="1384" spans="1:19" x14ac:dyDescent="0.2">
      <c r="A1384" t="str">
        <f t="shared" si="162"/>
        <v>Adult Nonfiction</v>
      </c>
      <c r="B1384" t="str">
        <f>"NEW 791.43 SER"</f>
        <v>NEW 791.43 SER</v>
      </c>
      <c r="C1384" t="str">
        <f>"Movies (and other things): a collection of questions asked, answered, illustrated"</f>
        <v>Movies (and other things): a collection of questions asked, answered, illustrated</v>
      </c>
      <c r="D1384">
        <v>358327</v>
      </c>
      <c r="E1384" t="str">
        <f>"Serrano, Shea,"</f>
        <v>Serrano, Shea,</v>
      </c>
      <c r="G1384" t="str">
        <f>"255 pages, 24 cm, color illustrations"</f>
        <v>255 pages, 24 cm, color illustrations</v>
      </c>
      <c r="H1384" s="1">
        <v>19</v>
      </c>
      <c r="I1384">
        <v>2019</v>
      </c>
      <c r="J1384" t="str">
        <f t="shared" si="161"/>
        <v>13: 700 - 799</v>
      </c>
      <c r="L1384" t="s">
        <v>2395</v>
      </c>
      <c r="M1384" t="s">
        <v>28</v>
      </c>
      <c r="N1384" t="s">
        <v>2404</v>
      </c>
      <c r="O1384">
        <v>3</v>
      </c>
      <c r="P1384" s="2">
        <v>43749</v>
      </c>
      <c r="Q1384" s="1">
        <v>30</v>
      </c>
      <c r="R1384" t="s">
        <v>3272</v>
      </c>
      <c r="S1384">
        <v>1108807737</v>
      </c>
    </row>
    <row r="1385" spans="1:19" x14ac:dyDescent="0.2">
      <c r="A1385" t="str">
        <f t="shared" si="162"/>
        <v>Adult Nonfiction</v>
      </c>
      <c r="B1385" t="str">
        <f>"NEW 791.45 WAG"</f>
        <v>NEW 791.45 WAG</v>
      </c>
      <c r="C1385" t="str">
        <f>"Mister Rogers' Neighborhood: a visual history"</f>
        <v>Mister Rogers' Neighborhood: a visual history</v>
      </c>
      <c r="D1385">
        <v>359036</v>
      </c>
      <c r="E1385" t="str">
        <f>"Wagner, Melissa,"</f>
        <v>Wagner, Melissa,</v>
      </c>
      <c r="G1385" t="str">
        <f>"334 pages, 27 cm, illustrations, some color"</f>
        <v>334 pages, 27 cm, illustrations, some color</v>
      </c>
      <c r="H1385" s="1">
        <v>19</v>
      </c>
      <c r="I1385">
        <v>2019</v>
      </c>
      <c r="J1385" t="str">
        <f t="shared" si="161"/>
        <v>13: 700 - 799</v>
      </c>
      <c r="L1385" t="s">
        <v>2403</v>
      </c>
      <c r="M1385" t="s">
        <v>28</v>
      </c>
      <c r="N1385" t="s">
        <v>2396</v>
      </c>
      <c r="O1385">
        <v>4</v>
      </c>
      <c r="P1385" s="2">
        <v>43776</v>
      </c>
      <c r="Q1385" s="1">
        <v>40</v>
      </c>
      <c r="R1385" t="s">
        <v>3273</v>
      </c>
      <c r="S1385">
        <v>1080275634</v>
      </c>
    </row>
    <row r="1386" spans="1:19" x14ac:dyDescent="0.2">
      <c r="A1386" t="str">
        <f t="shared" si="162"/>
        <v>Adult Nonfiction</v>
      </c>
      <c r="B1386" t="str">
        <f>"NEW 796 BES"</f>
        <v>NEW 796 BES</v>
      </c>
      <c r="C1386" t="str">
        <f>"The best American sports writing 2019"</f>
        <v>The best American sports writing 2019</v>
      </c>
      <c r="D1386">
        <v>358297</v>
      </c>
      <c r="F1386" t="str">
        <f>"Best American series"</f>
        <v>Best American series</v>
      </c>
      <c r="G1386" t="str">
        <f>"xxviii, 317 pages, 21 cm"</f>
        <v>xxviii, 317 pages, 21 cm</v>
      </c>
      <c r="H1386" s="1">
        <v>19</v>
      </c>
      <c r="I1386">
        <v>2019</v>
      </c>
      <c r="J1386" t="str">
        <f t="shared" si="161"/>
        <v>13: 700 - 799</v>
      </c>
      <c r="L1386" t="s">
        <v>2395</v>
      </c>
      <c r="M1386" t="s">
        <v>28</v>
      </c>
      <c r="N1386" t="s">
        <v>2404</v>
      </c>
      <c r="O1386">
        <v>3</v>
      </c>
      <c r="P1386" s="2">
        <v>43749</v>
      </c>
      <c r="Q1386" s="1">
        <v>21</v>
      </c>
      <c r="R1386" t="s">
        <v>3274</v>
      </c>
      <c r="S1386">
        <v>1080246919</v>
      </c>
    </row>
    <row r="1387" spans="1:19" x14ac:dyDescent="0.2">
      <c r="A1387" t="str">
        <f t="shared" si="162"/>
        <v>Adult Nonfiction</v>
      </c>
      <c r="B1387" t="str">
        <f>"NEW 796.323 POW"</f>
        <v>NEW 796.323 POW</v>
      </c>
      <c r="C1387" t="str">
        <f>"Canyon dreams: a basketball season on the Navajo Nation"</f>
        <v>Canyon dreams: a basketball season on the Navajo Nation</v>
      </c>
      <c r="D1387">
        <v>359845</v>
      </c>
      <c r="E1387" t="str">
        <f>"Powell, Michael"</f>
        <v>Powell, Michael</v>
      </c>
      <c r="G1387" t="str">
        <f>"264 pages, 8 unnumbered pages of plates, 24 cm, color illustrations"</f>
        <v>264 pages, 8 unnumbered pages of plates, 24 cm, color illustrations</v>
      </c>
      <c r="H1387" s="1">
        <v>19</v>
      </c>
      <c r="I1387">
        <v>2019</v>
      </c>
      <c r="J1387" t="str">
        <f t="shared" si="161"/>
        <v>13: 700 - 799</v>
      </c>
      <c r="L1387" t="s">
        <v>2403</v>
      </c>
      <c r="M1387" t="s">
        <v>28</v>
      </c>
      <c r="N1387" t="s">
        <v>2396</v>
      </c>
      <c r="O1387">
        <v>2</v>
      </c>
      <c r="P1387" s="2">
        <v>43815</v>
      </c>
      <c r="Q1387" s="1">
        <v>33</v>
      </c>
      <c r="R1387" t="s">
        <v>3275</v>
      </c>
      <c r="S1387">
        <v>1126650716</v>
      </c>
    </row>
    <row r="1388" spans="1:19" x14ac:dyDescent="0.2">
      <c r="A1388" t="str">
        <f t="shared" si="162"/>
        <v>Adult Nonfiction</v>
      </c>
      <c r="B1388" t="str">
        <f>"NEW 796.332 HOR"</f>
        <v>NEW 796.332 HOR</v>
      </c>
      <c r="C1388" t="str">
        <f>"NFL century: the one-hundred-year rise of America's greatest sports league"</f>
        <v>NFL century: the one-hundred-year rise of America's greatest sports league</v>
      </c>
      <c r="D1388">
        <v>357906</v>
      </c>
      <c r="E1388" t="str">
        <f>"Horrigan, Joe."</f>
        <v>Horrigan, Joe.</v>
      </c>
      <c r="G1388" t="str">
        <f>"xii,370 pages, 16 unnumbered pages of plates, 25 cm, illustrations (some color)"</f>
        <v>xii,370 pages, 16 unnumbered pages of plates, 25 cm, illustrations (some color)</v>
      </c>
      <c r="H1388" s="1">
        <v>19</v>
      </c>
      <c r="I1388">
        <v>2019</v>
      </c>
      <c r="J1388" t="str">
        <f t="shared" si="161"/>
        <v>13: 700 - 799</v>
      </c>
      <c r="L1388" t="s">
        <v>2403</v>
      </c>
      <c r="M1388" t="s">
        <v>28</v>
      </c>
      <c r="N1388" t="s">
        <v>2396</v>
      </c>
      <c r="O1388">
        <v>3</v>
      </c>
      <c r="P1388" s="2">
        <v>43733</v>
      </c>
      <c r="Q1388" s="1">
        <v>33</v>
      </c>
      <c r="R1388" t="s">
        <v>3276</v>
      </c>
      <c r="S1388">
        <v>1077956737</v>
      </c>
    </row>
    <row r="1389" spans="1:19" x14ac:dyDescent="0.2">
      <c r="A1389" t="str">
        <f t="shared" si="162"/>
        <v>Adult Nonfiction</v>
      </c>
      <c r="B1389" t="str">
        <f>"NEW 796.357 SEL"</f>
        <v>NEW 796.357 SEL</v>
      </c>
      <c r="C1389" t="str">
        <f>"For the good of the game: the inside story of the surprising and dramatic transformation of major league baseball"</f>
        <v>For the good of the game: the inside story of the surprising and dramatic transformation of major league baseball</v>
      </c>
      <c r="D1389">
        <v>356293</v>
      </c>
      <c r="E1389" t="str">
        <f>"Selig, Bud."</f>
        <v>Selig, Bud.</v>
      </c>
      <c r="G1389" t="str">
        <f>"316 p."</f>
        <v>316 p.</v>
      </c>
      <c r="H1389" s="1">
        <v>19</v>
      </c>
      <c r="I1389">
        <v>2019</v>
      </c>
      <c r="J1389" t="str">
        <f t="shared" si="161"/>
        <v>13: 700 - 799</v>
      </c>
      <c r="L1389" t="s">
        <v>2395</v>
      </c>
      <c r="M1389" t="s">
        <v>28</v>
      </c>
      <c r="N1389" t="s">
        <v>2401</v>
      </c>
      <c r="O1389">
        <v>5</v>
      </c>
      <c r="P1389" s="2">
        <v>43668</v>
      </c>
      <c r="Q1389" s="1">
        <v>34</v>
      </c>
      <c r="R1389" t="s">
        <v>3277</v>
      </c>
      <c r="S1389">
        <v>1090827288</v>
      </c>
    </row>
    <row r="1390" spans="1:19" x14ac:dyDescent="0.2">
      <c r="A1390" t="str">
        <f t="shared" si="162"/>
        <v>Adult Nonfiction</v>
      </c>
      <c r="B1390" t="str">
        <f>"NEW 796.42 FUT"</f>
        <v>NEW 796.42 FUT</v>
      </c>
      <c r="C1390" t="str">
        <f>"Running to the edge: a band of misfits and the guru who unlocked the secrets of speed"</f>
        <v>Running to the edge: a band of misfits and the guru who unlocked the secrets of speed</v>
      </c>
      <c r="D1390">
        <v>355959</v>
      </c>
      <c r="E1390" t="str">
        <f>"Futterman, Matthew"</f>
        <v>Futterman, Matthew</v>
      </c>
      <c r="G1390" t="str">
        <f>"xiv, 283 pages, 25 cm, illustrations"</f>
        <v>xiv, 283 pages, 25 cm, illustrations</v>
      </c>
      <c r="H1390" s="1">
        <v>19</v>
      </c>
      <c r="I1390">
        <v>2019</v>
      </c>
      <c r="J1390" t="str">
        <f t="shared" si="161"/>
        <v>13: 700 - 799</v>
      </c>
      <c r="L1390" t="s">
        <v>2395</v>
      </c>
      <c r="M1390" t="s">
        <v>28</v>
      </c>
      <c r="N1390" t="s">
        <v>2404</v>
      </c>
      <c r="O1390">
        <v>6</v>
      </c>
      <c r="P1390" s="2">
        <v>43647</v>
      </c>
      <c r="Q1390" s="1">
        <v>34</v>
      </c>
      <c r="R1390" t="s">
        <v>3278</v>
      </c>
      <c r="S1390">
        <v>1052351511</v>
      </c>
    </row>
    <row r="1391" spans="1:19" x14ac:dyDescent="0.2">
      <c r="A1391" t="str">
        <f t="shared" si="162"/>
        <v>Adult Nonfiction</v>
      </c>
      <c r="B1391" t="str">
        <f>"NEW 808 CLA"</f>
        <v>NEW 808 CLA</v>
      </c>
      <c r="C1391" t="str">
        <f>"Murder your darlings: and other gentle writing advice from Aristotle to Zinsser"</f>
        <v>Murder your darlings: and other gentle writing advice from Aristotle to Zinsser</v>
      </c>
      <c r="D1391">
        <v>360625</v>
      </c>
      <c r="E1391" t="str">
        <f>"Clark, Roy Peter"</f>
        <v>Clark, Roy Peter</v>
      </c>
      <c r="G1391" t="str">
        <f>"ix, 340 pages, 22 cm"</f>
        <v>ix, 340 pages, 22 cm</v>
      </c>
      <c r="H1391" s="1">
        <v>20</v>
      </c>
      <c r="I1391">
        <v>2020</v>
      </c>
      <c r="J1391" t="str">
        <f t="shared" ref="J1391:J1422" si="163">"14: 800 - 899"</f>
        <v>14: 800 - 899</v>
      </c>
      <c r="L1391" t="s">
        <v>2395</v>
      </c>
      <c r="M1391" t="s">
        <v>28</v>
      </c>
      <c r="N1391" t="s">
        <v>2495</v>
      </c>
      <c r="O1391">
        <v>0</v>
      </c>
      <c r="P1391" s="2">
        <v>43859</v>
      </c>
      <c r="Q1391" s="1">
        <v>32</v>
      </c>
      <c r="R1391" t="s">
        <v>3279</v>
      </c>
      <c r="S1391">
        <v>1135800570</v>
      </c>
    </row>
    <row r="1392" spans="1:19" x14ac:dyDescent="0.2">
      <c r="A1392" t="str">
        <f t="shared" si="162"/>
        <v>Adult Nonfiction</v>
      </c>
      <c r="B1392" t="str">
        <f>"NEW 809 MEN"</f>
        <v>NEW 809 MEN</v>
      </c>
      <c r="C1392" t="str">
        <f>"Ecstasy and terror: from the Greeks to Game of thrones"</f>
        <v>Ecstasy and terror: from the Greeks to Game of thrones</v>
      </c>
      <c r="D1392">
        <v>359853</v>
      </c>
      <c r="E1392" t="str">
        <f>"Mendelsohn, Daniel Adam,"</f>
        <v>Mendelsohn, Daniel Adam,</v>
      </c>
      <c r="G1392" t="str">
        <f>"378 pages, 22 cm"</f>
        <v>378 pages, 22 cm</v>
      </c>
      <c r="H1392" s="1">
        <v>19</v>
      </c>
      <c r="I1392">
        <v>2019</v>
      </c>
      <c r="J1392" t="str">
        <f t="shared" si="163"/>
        <v>14: 800 - 899</v>
      </c>
      <c r="L1392" t="s">
        <v>2403</v>
      </c>
      <c r="M1392" t="s">
        <v>28</v>
      </c>
      <c r="N1392" t="s">
        <v>2396</v>
      </c>
      <c r="O1392">
        <v>1</v>
      </c>
      <c r="P1392" s="2">
        <v>43815</v>
      </c>
      <c r="Q1392" s="1">
        <v>24</v>
      </c>
      <c r="R1392" t="s">
        <v>3280</v>
      </c>
      <c r="S1392">
        <v>1082442927</v>
      </c>
    </row>
    <row r="1393" spans="1:19" x14ac:dyDescent="0.2">
      <c r="A1393" t="str">
        <f t="shared" si="162"/>
        <v>Adult Nonfiction</v>
      </c>
      <c r="B1393" t="str">
        <f>"NEW 809 PRI"</f>
        <v>NEW 809 PRI</v>
      </c>
      <c r="C1393" t="str">
        <f>"What we talk about when we talk about books: the history and future of reading"</f>
        <v>What we talk about when we talk about books: the history and future of reading</v>
      </c>
      <c r="D1393">
        <v>357129</v>
      </c>
      <c r="E1393" t="str">
        <f>"Price, Leah"</f>
        <v>Price, Leah</v>
      </c>
      <c r="G1393" t="str">
        <f>"214 pages, 22 cm"</f>
        <v>214 pages, 22 cm</v>
      </c>
      <c r="H1393" s="1">
        <v>19</v>
      </c>
      <c r="I1393">
        <v>2019</v>
      </c>
      <c r="J1393" t="str">
        <f t="shared" si="163"/>
        <v>14: 800 - 899</v>
      </c>
      <c r="L1393" t="s">
        <v>2403</v>
      </c>
      <c r="M1393" t="s">
        <v>28</v>
      </c>
      <c r="N1393" t="s">
        <v>2404</v>
      </c>
      <c r="O1393">
        <v>4</v>
      </c>
      <c r="P1393" s="2">
        <v>43704</v>
      </c>
      <c r="Q1393" s="1">
        <v>33</v>
      </c>
      <c r="R1393" t="s">
        <v>3281</v>
      </c>
      <c r="S1393">
        <v>1078894143</v>
      </c>
    </row>
    <row r="1394" spans="1:19" x14ac:dyDescent="0.2">
      <c r="A1394" t="str">
        <f t="shared" si="162"/>
        <v>Adult Nonfiction</v>
      </c>
      <c r="B1394" t="str">
        <f>"NEW 811 ADT"</f>
        <v>NEW 811 ADT</v>
      </c>
      <c r="C1394" t="str">
        <f>"When death takes something from you give it back: Carl's book"</f>
        <v>When death takes something from you give it back: Carl's book</v>
      </c>
      <c r="D1394">
        <v>359067</v>
      </c>
      <c r="E1394" t="str">
        <f>"Aidt, Naja Marie,"</f>
        <v>Aidt, Naja Marie,</v>
      </c>
      <c r="G1394" t="str">
        <f>"133 pages, 21 cm"</f>
        <v>133 pages, 21 cm</v>
      </c>
      <c r="H1394" s="1">
        <v>19</v>
      </c>
      <c r="I1394">
        <v>2019</v>
      </c>
      <c r="J1394" t="str">
        <f t="shared" si="163"/>
        <v>14: 800 - 899</v>
      </c>
      <c r="L1394" t="s">
        <v>2403</v>
      </c>
      <c r="M1394" t="s">
        <v>28</v>
      </c>
      <c r="N1394" t="s">
        <v>2404</v>
      </c>
      <c r="O1394">
        <v>2</v>
      </c>
      <c r="P1394" s="2">
        <v>43776</v>
      </c>
      <c r="Q1394" s="1">
        <v>28</v>
      </c>
      <c r="R1394" t="s">
        <v>3282</v>
      </c>
      <c r="S1394">
        <v>1080250743</v>
      </c>
    </row>
    <row r="1395" spans="1:19" x14ac:dyDescent="0.2">
      <c r="A1395" t="str">
        <f t="shared" si="162"/>
        <v>Adult Nonfiction</v>
      </c>
      <c r="B1395" t="str">
        <f>"NEW 811 ALY"</f>
        <v>NEW 811 ALY</v>
      </c>
      <c r="C1395" t="str">
        <f>"The twenty-ninth year: poems"</f>
        <v>The twenty-ninth year: poems</v>
      </c>
      <c r="D1395">
        <v>359395</v>
      </c>
      <c r="E1395" t="str">
        <f>"Alyan, Hala,"</f>
        <v>Alyan, Hala,</v>
      </c>
      <c r="G1395" t="str">
        <f>"ix, 83 pages, 23 cm"</f>
        <v>ix, 83 pages, 23 cm</v>
      </c>
      <c r="H1395" s="1">
        <v>19</v>
      </c>
      <c r="I1395">
        <v>2019</v>
      </c>
      <c r="J1395" t="str">
        <f t="shared" si="163"/>
        <v>14: 800 - 899</v>
      </c>
      <c r="L1395" t="s">
        <v>2395</v>
      </c>
      <c r="M1395" t="s">
        <v>28</v>
      </c>
      <c r="N1395" t="s">
        <v>2396</v>
      </c>
      <c r="O1395">
        <v>1</v>
      </c>
      <c r="P1395" s="2">
        <v>43788</v>
      </c>
      <c r="Q1395" s="1">
        <v>21</v>
      </c>
      <c r="R1395" t="s">
        <v>3283</v>
      </c>
      <c r="S1395">
        <v>1039188705</v>
      </c>
    </row>
    <row r="1396" spans="1:19" x14ac:dyDescent="0.2">
      <c r="A1396" t="str">
        <f t="shared" si="162"/>
        <v>Adult Nonfiction</v>
      </c>
      <c r="B1396" t="str">
        <f>"NEW 811 BRO"</f>
        <v>NEW 811 BRO</v>
      </c>
      <c r="C1396" t="str">
        <f>"The tradition"</f>
        <v>The tradition</v>
      </c>
      <c r="D1396">
        <v>358727</v>
      </c>
      <c r="E1396" t="str">
        <f>"Brown, Jericho"</f>
        <v>Brown, Jericho</v>
      </c>
      <c r="G1396" t="str">
        <f>"xiii, 77 pages, 23 cm"</f>
        <v>xiii, 77 pages, 23 cm</v>
      </c>
      <c r="H1396" s="1">
        <v>19</v>
      </c>
      <c r="I1396">
        <v>2019</v>
      </c>
      <c r="J1396" t="str">
        <f t="shared" si="163"/>
        <v>14: 800 - 899</v>
      </c>
      <c r="L1396" t="s">
        <v>2403</v>
      </c>
      <c r="M1396" t="s">
        <v>28</v>
      </c>
      <c r="N1396" t="s">
        <v>2396</v>
      </c>
      <c r="O1396">
        <v>2</v>
      </c>
      <c r="P1396" s="2">
        <v>43762</v>
      </c>
      <c r="Q1396" s="1">
        <v>22</v>
      </c>
      <c r="R1396" t="s">
        <v>3284</v>
      </c>
      <c r="S1396">
        <v>964346525</v>
      </c>
    </row>
    <row r="1397" spans="1:19" x14ac:dyDescent="0.2">
      <c r="A1397" t="str">
        <f t="shared" si="162"/>
        <v>Adult Nonfiction</v>
      </c>
      <c r="B1397" t="str">
        <f>"NEW 811 BUR"</f>
        <v>NEW 811 BUR</v>
      </c>
      <c r="C1397" t="str">
        <f>"Don't read poetry: a book about how to read poems"</f>
        <v>Don't read poetry: a book about how to read poems</v>
      </c>
      <c r="D1397">
        <v>357247</v>
      </c>
      <c r="E1397" t="str">
        <f>"Burt, Stephanie,"</f>
        <v>Burt, Stephanie,</v>
      </c>
      <c r="G1397" t="str">
        <f>"ix, 306 pages, 22 cm"</f>
        <v>ix, 306 pages, 22 cm</v>
      </c>
      <c r="H1397" s="1">
        <v>19</v>
      </c>
      <c r="I1397">
        <v>2019</v>
      </c>
      <c r="J1397" t="str">
        <f t="shared" si="163"/>
        <v>14: 800 - 899</v>
      </c>
      <c r="L1397" t="s">
        <v>2395</v>
      </c>
      <c r="M1397" t="s">
        <v>28</v>
      </c>
      <c r="N1397" t="s">
        <v>2404</v>
      </c>
      <c r="O1397">
        <v>3</v>
      </c>
      <c r="P1397" s="2">
        <v>43711</v>
      </c>
      <c r="Q1397" s="1">
        <v>35</v>
      </c>
      <c r="R1397" t="s">
        <v>3285</v>
      </c>
      <c r="S1397">
        <v>1051137375</v>
      </c>
    </row>
    <row r="1398" spans="1:19" x14ac:dyDescent="0.2">
      <c r="A1398" t="str">
        <f t="shared" si="162"/>
        <v>Adult Nonfiction</v>
      </c>
      <c r="B1398" t="str">
        <f>"NEW 811 DER"</f>
        <v>NEW 811 DER</v>
      </c>
      <c r="C1398" t="str">
        <f>"""I"": new and selected poems"</f>
        <v>"I": new and selected poems</v>
      </c>
      <c r="D1398">
        <v>359374</v>
      </c>
      <c r="E1398" t="str">
        <f>"Derricotte, Toi,"</f>
        <v>Derricotte, Toi,</v>
      </c>
      <c r="G1398" t="str">
        <f>"xxi, 298 pages, 24 cm"</f>
        <v>xxi, 298 pages, 24 cm</v>
      </c>
      <c r="H1398" s="1">
        <v>19</v>
      </c>
      <c r="I1398">
        <v>2019</v>
      </c>
      <c r="J1398" t="str">
        <f t="shared" si="163"/>
        <v>14: 800 - 899</v>
      </c>
      <c r="L1398" t="s">
        <v>2403</v>
      </c>
      <c r="M1398" t="s">
        <v>28</v>
      </c>
      <c r="N1398" t="s">
        <v>2396</v>
      </c>
      <c r="O1398">
        <v>0</v>
      </c>
      <c r="P1398" s="2">
        <v>43788</v>
      </c>
      <c r="Q1398" s="1">
        <v>35</v>
      </c>
      <c r="R1398" t="s">
        <v>3286</v>
      </c>
      <c r="S1398">
        <v>1057376747</v>
      </c>
    </row>
    <row r="1399" spans="1:19" x14ac:dyDescent="0.2">
      <c r="A1399" t="str">
        <f t="shared" si="162"/>
        <v>Adult Nonfiction</v>
      </c>
      <c r="B1399" t="str">
        <f>"NEW 811 GIM"</f>
        <v>NEW 811 GIM</v>
      </c>
      <c r="C1399" t="str">
        <f>"Be recorder: poems"</f>
        <v>Be recorder: poems</v>
      </c>
      <c r="D1399">
        <v>359358</v>
      </c>
      <c r="E1399" t="str">
        <f>"Gim�nez Smith, Carmen,"</f>
        <v>Gim�nez Smith, Carmen,</v>
      </c>
      <c r="G1399" t="str">
        <f>"84 pages, 23 cm"</f>
        <v>84 pages, 23 cm</v>
      </c>
      <c r="H1399" s="1">
        <v>19</v>
      </c>
      <c r="I1399">
        <v>2019</v>
      </c>
      <c r="J1399" t="str">
        <f t="shared" si="163"/>
        <v>14: 800 - 899</v>
      </c>
      <c r="L1399" t="s">
        <v>2403</v>
      </c>
      <c r="M1399" t="s">
        <v>28</v>
      </c>
      <c r="N1399" t="s">
        <v>2404</v>
      </c>
      <c r="O1399">
        <v>1</v>
      </c>
      <c r="P1399" s="2">
        <v>43788</v>
      </c>
      <c r="Q1399" s="1">
        <v>21</v>
      </c>
      <c r="R1399" t="s">
        <v>3287</v>
      </c>
      <c r="S1399">
        <v>1053578975</v>
      </c>
    </row>
    <row r="1400" spans="1:19" x14ac:dyDescent="0.2">
      <c r="A1400" t="str">
        <f t="shared" si="162"/>
        <v>Adult Nonfiction</v>
      </c>
      <c r="B1400" t="str">
        <f>"NEW 811 KAM"</f>
        <v>NEW 811 KAM</v>
      </c>
      <c r="C1400" t="str">
        <f>"Deaf republic: poems"</f>
        <v>Deaf republic: poems</v>
      </c>
      <c r="D1400">
        <v>358102</v>
      </c>
      <c r="E1400" t="str">
        <f>"Kaminsky, Ilya,"</f>
        <v>Kaminsky, Ilya,</v>
      </c>
      <c r="G1400" t="str">
        <f>"76 pages, 23 cm, illustrations"</f>
        <v>76 pages, 23 cm, illustrations</v>
      </c>
      <c r="H1400" s="1">
        <v>19</v>
      </c>
      <c r="I1400">
        <v>2019</v>
      </c>
      <c r="J1400" t="str">
        <f t="shared" si="163"/>
        <v>14: 800 - 899</v>
      </c>
      <c r="L1400" t="s">
        <v>2395</v>
      </c>
      <c r="M1400" t="s">
        <v>28</v>
      </c>
      <c r="N1400" t="s">
        <v>2396</v>
      </c>
      <c r="O1400">
        <v>1</v>
      </c>
      <c r="P1400" s="2">
        <v>43740</v>
      </c>
      <c r="Q1400" s="1">
        <v>21</v>
      </c>
      <c r="R1400" t="s">
        <v>3288</v>
      </c>
      <c r="S1400">
        <v>1088728242</v>
      </c>
    </row>
    <row r="1401" spans="1:19" x14ac:dyDescent="0.2">
      <c r="A1401" t="str">
        <f t="shared" si="162"/>
        <v>Adult Nonfiction</v>
      </c>
      <c r="B1401" t="str">
        <f>"NEW 811 NAT"</f>
        <v>NEW 811 NAT</v>
      </c>
      <c r="C1401" t="str">
        <f>"Native voices: indigenous American poetry, craft and conversations"</f>
        <v>Native voices: indigenous American poetry, craft and conversations</v>
      </c>
      <c r="D1401">
        <v>407450</v>
      </c>
      <c r="G1401" t="str">
        <f>"xxv, 526 pages, 23 cm"</f>
        <v>xxv, 526 pages, 23 cm</v>
      </c>
      <c r="H1401" s="1">
        <v>19</v>
      </c>
      <c r="I1401">
        <v>2019</v>
      </c>
      <c r="J1401" t="str">
        <f t="shared" si="163"/>
        <v>14: 800 - 899</v>
      </c>
      <c r="L1401" t="s">
        <v>2403</v>
      </c>
      <c r="M1401" t="s">
        <v>28</v>
      </c>
      <c r="N1401" t="s">
        <v>2396</v>
      </c>
      <c r="O1401">
        <v>2</v>
      </c>
      <c r="P1401" s="2">
        <v>43717</v>
      </c>
      <c r="Q1401" s="1">
        <v>29.95</v>
      </c>
      <c r="R1401" t="s">
        <v>3289</v>
      </c>
      <c r="S1401">
        <v>1088922502</v>
      </c>
    </row>
    <row r="1402" spans="1:19" x14ac:dyDescent="0.2">
      <c r="A1402" t="str">
        <f t="shared" si="162"/>
        <v>Adult Nonfiction</v>
      </c>
      <c r="B1402" t="str">
        <f>"NEW 811 PIC"</f>
        <v>NEW 811 PIC</v>
      </c>
      <c r="C1402" t="s">
        <v>3290</v>
      </c>
      <c r="D1402">
        <v>360431</v>
      </c>
      <c r="E1402" t="str">
        <f>"Pico, Tommy"</f>
        <v>Pico, Tommy</v>
      </c>
      <c r="G1402" t="str">
        <f>"78 p."</f>
        <v>78 p.</v>
      </c>
      <c r="H1402" s="1">
        <v>20</v>
      </c>
      <c r="I1402">
        <v>2019</v>
      </c>
      <c r="J1402" t="str">
        <f t="shared" si="163"/>
        <v>14: 800 - 899</v>
      </c>
      <c r="L1402" t="s">
        <v>2395</v>
      </c>
      <c r="M1402" t="s">
        <v>28</v>
      </c>
      <c r="N1402" t="s">
        <v>2396</v>
      </c>
      <c r="O1402">
        <v>0</v>
      </c>
      <c r="P1402" s="2">
        <v>43851</v>
      </c>
      <c r="Q1402" s="1">
        <v>21</v>
      </c>
      <c r="R1402" t="s">
        <v>3291</v>
      </c>
      <c r="S1402">
        <v>1084333512</v>
      </c>
    </row>
    <row r="1403" spans="1:19" x14ac:dyDescent="0.2">
      <c r="A1403" t="str">
        <f t="shared" si="162"/>
        <v>Adult Nonfiction</v>
      </c>
      <c r="B1403" t="str">
        <f>"NEW 811 RUE"</f>
        <v>NEW 811 RUE</v>
      </c>
      <c r="C1403" t="s">
        <v>3292</v>
      </c>
      <c r="D1403">
        <v>360003</v>
      </c>
      <c r="E1403" t="str">
        <f>"Ruefle, Mary,"</f>
        <v>Ruefle, Mary,</v>
      </c>
      <c r="G1403" t="str">
        <f>"99 pages, 22 cm"</f>
        <v>99 pages, 22 cm</v>
      </c>
      <c r="H1403" s="1">
        <v>19</v>
      </c>
      <c r="I1403">
        <v>2019</v>
      </c>
      <c r="J1403" t="str">
        <f t="shared" si="163"/>
        <v>14: 800 - 899</v>
      </c>
      <c r="L1403" t="s">
        <v>2395</v>
      </c>
      <c r="M1403" t="s">
        <v>28</v>
      </c>
      <c r="N1403" t="s">
        <v>2404</v>
      </c>
      <c r="O1403">
        <v>1</v>
      </c>
      <c r="P1403" s="2">
        <v>43826</v>
      </c>
      <c r="Q1403" s="1">
        <v>30</v>
      </c>
      <c r="R1403" t="s">
        <v>3293</v>
      </c>
      <c r="S1403">
        <v>1082328437</v>
      </c>
    </row>
    <row r="1404" spans="1:19" x14ac:dyDescent="0.2">
      <c r="A1404" t="str">
        <f t="shared" si="162"/>
        <v>Adult Nonfiction</v>
      </c>
      <c r="B1404" t="str">
        <f>"NEW 811 SHA"</f>
        <v>NEW 811 SHA</v>
      </c>
      <c r="C1404" t="str">
        <f>"The octopus museum: poems"</f>
        <v>The octopus museum: poems</v>
      </c>
      <c r="D1404">
        <v>360311</v>
      </c>
      <c r="E1404" t="str">
        <f>"Shaughnessy, Brenda,"</f>
        <v>Shaughnessy, Brenda,</v>
      </c>
      <c r="G1404" t="str">
        <f>"xi, 68 pages, 23 cm"</f>
        <v>xi, 68 pages, 23 cm</v>
      </c>
      <c r="H1404" s="1">
        <v>19</v>
      </c>
      <c r="I1404">
        <v>2019</v>
      </c>
      <c r="J1404" t="str">
        <f t="shared" si="163"/>
        <v>14: 800 - 899</v>
      </c>
      <c r="L1404" t="s">
        <v>2395</v>
      </c>
      <c r="M1404" t="s">
        <v>28</v>
      </c>
      <c r="N1404" t="s">
        <v>2404</v>
      </c>
      <c r="O1404">
        <v>1</v>
      </c>
      <c r="P1404" s="2">
        <v>43844</v>
      </c>
      <c r="Q1404" s="1">
        <v>30</v>
      </c>
      <c r="R1404" t="s">
        <v>3294</v>
      </c>
      <c r="S1404">
        <v>1045209176</v>
      </c>
    </row>
    <row r="1405" spans="1:19" x14ac:dyDescent="0.2">
      <c r="A1405" t="str">
        <f t="shared" si="162"/>
        <v>Adult Nonfiction</v>
      </c>
      <c r="B1405" t="str">
        <f>"NEW 811 SKE"</f>
        <v>NEW 811 SKE</v>
      </c>
      <c r="C1405" t="str">
        <f>"Eyes bottle dark with a mouthful of flowers: poems"</f>
        <v>Eyes bottle dark with a mouthful of flowers: poems</v>
      </c>
      <c r="D1405">
        <v>359551</v>
      </c>
      <c r="E1405" t="str">
        <f>"Skeets, Jake"</f>
        <v>Skeets, Jake</v>
      </c>
      <c r="G1405" t="str">
        <f>"83 p."</f>
        <v>83 p.</v>
      </c>
      <c r="H1405" s="1">
        <v>19</v>
      </c>
      <c r="I1405">
        <v>2019</v>
      </c>
      <c r="J1405" t="str">
        <f t="shared" si="163"/>
        <v>14: 800 - 899</v>
      </c>
      <c r="L1405" t="s">
        <v>2395</v>
      </c>
      <c r="M1405" t="s">
        <v>28</v>
      </c>
      <c r="N1405" t="s">
        <v>2396</v>
      </c>
      <c r="O1405">
        <v>1</v>
      </c>
      <c r="P1405" s="2">
        <v>43802</v>
      </c>
      <c r="Q1405" s="1">
        <v>21</v>
      </c>
      <c r="R1405" t="s">
        <v>3295</v>
      </c>
      <c r="S1405">
        <v>1083152272</v>
      </c>
    </row>
    <row r="1406" spans="1:19" x14ac:dyDescent="0.2">
      <c r="A1406" t="str">
        <f t="shared" si="162"/>
        <v>Adult Nonfiction</v>
      </c>
      <c r="B1406" t="str">
        <f>"NEW 811 SZE"</f>
        <v>NEW 811 SZE</v>
      </c>
      <c r="C1406" t="str">
        <f>"Sight lines"</f>
        <v>Sight lines</v>
      </c>
      <c r="D1406">
        <v>359631</v>
      </c>
      <c r="E1406" t="str">
        <f>"Sze, Arthur"</f>
        <v>Sze, Arthur</v>
      </c>
      <c r="G1406" t="str">
        <f>"viii, 69 pages, 25 cm"</f>
        <v>viii, 69 pages, 25 cm</v>
      </c>
      <c r="H1406" s="1">
        <v>19</v>
      </c>
      <c r="I1406">
        <v>2019</v>
      </c>
      <c r="J1406" t="str">
        <f t="shared" si="163"/>
        <v>14: 800 - 899</v>
      </c>
      <c r="L1406" t="s">
        <v>2403</v>
      </c>
      <c r="M1406" t="s">
        <v>28</v>
      </c>
      <c r="N1406" t="s">
        <v>2396</v>
      </c>
      <c r="O1406">
        <v>1</v>
      </c>
      <c r="P1406" s="2">
        <v>43803</v>
      </c>
      <c r="Q1406" s="1">
        <v>21</v>
      </c>
      <c r="R1406" t="s">
        <v>3296</v>
      </c>
      <c r="S1406">
        <v>1050955727</v>
      </c>
    </row>
    <row r="1407" spans="1:19" x14ac:dyDescent="0.2">
      <c r="A1407" t="str">
        <f t="shared" si="162"/>
        <v>Adult Nonfiction</v>
      </c>
      <c r="B1407" t="str">
        <f>"NEW 811 WHA"</f>
        <v>NEW 811 WHA</v>
      </c>
      <c r="C1407" t="str">
        <f>"Selected poems of Edith Wharton"</f>
        <v>Selected poems of Edith Wharton</v>
      </c>
      <c r="D1407">
        <v>356518</v>
      </c>
      <c r="E1407" t="str">
        <f>"Wharton, Edith"</f>
        <v>Wharton, Edith</v>
      </c>
      <c r="G1407" t="str">
        <f>"317 p."</f>
        <v>317 p.</v>
      </c>
      <c r="H1407" s="1">
        <v>19</v>
      </c>
      <c r="I1407">
        <v>2019</v>
      </c>
      <c r="J1407" t="str">
        <f t="shared" si="163"/>
        <v>14: 800 - 899</v>
      </c>
      <c r="L1407" t="s">
        <v>2403</v>
      </c>
      <c r="M1407" t="s">
        <v>28</v>
      </c>
      <c r="N1407" t="s">
        <v>2404</v>
      </c>
      <c r="O1407">
        <v>5</v>
      </c>
      <c r="P1407" s="2">
        <v>43678</v>
      </c>
      <c r="Q1407" s="1">
        <v>23</v>
      </c>
      <c r="R1407" t="s">
        <v>3297</v>
      </c>
      <c r="S1407">
        <v>1109843174</v>
      </c>
    </row>
    <row r="1408" spans="1:19" x14ac:dyDescent="0.2">
      <c r="A1408" t="str">
        <f t="shared" si="162"/>
        <v>Adult Nonfiction</v>
      </c>
      <c r="B1408" t="str">
        <f>"NEW 814 BES"</f>
        <v>NEW 814 BES</v>
      </c>
      <c r="C1408" t="str">
        <f>"The best American essays 2019"</f>
        <v>The best American essays 2019</v>
      </c>
      <c r="D1408">
        <v>358852</v>
      </c>
      <c r="F1408" t="str">
        <f>"Best American series"</f>
        <v>Best American series</v>
      </c>
      <c r="G1408" t="str">
        <f>"xxvii, 226 pages, 21 cm"</f>
        <v>xxvii, 226 pages, 21 cm</v>
      </c>
      <c r="H1408" s="1">
        <v>19</v>
      </c>
      <c r="I1408">
        <v>2019</v>
      </c>
      <c r="J1408" t="str">
        <f t="shared" si="163"/>
        <v>14: 800 - 899</v>
      </c>
      <c r="L1408" t="s">
        <v>2395</v>
      </c>
      <c r="M1408" t="s">
        <v>28</v>
      </c>
      <c r="N1408" t="s">
        <v>2404</v>
      </c>
      <c r="O1408">
        <v>3</v>
      </c>
      <c r="P1408" s="2">
        <v>43769</v>
      </c>
      <c r="Q1408" s="1">
        <v>21</v>
      </c>
      <c r="R1408" t="s">
        <v>3298</v>
      </c>
      <c r="S1408">
        <v>1080247634</v>
      </c>
    </row>
    <row r="1409" spans="1:19" x14ac:dyDescent="0.2">
      <c r="A1409" t="str">
        <f t="shared" si="162"/>
        <v>Adult Nonfiction</v>
      </c>
      <c r="B1409" t="str">
        <f>"NEW 814 BIL"</f>
        <v>NEW 814 BIL</v>
      </c>
      <c r="C1409" t="str">
        <f>"On our way home from the revolution: reflections on Ukraine"</f>
        <v>On our way home from the revolution: reflections on Ukraine</v>
      </c>
      <c r="D1409">
        <v>360446</v>
      </c>
      <c r="E1409" t="str">
        <f>"Bilocerkowycz, Sonya"</f>
        <v>Bilocerkowycz, Sonya</v>
      </c>
      <c r="G1409" t="str">
        <f>"ix, 219 pages, 22 cm, illustration"</f>
        <v>ix, 219 pages, 22 cm, illustration</v>
      </c>
      <c r="H1409" s="1">
        <v>20</v>
      </c>
      <c r="I1409">
        <v>2019</v>
      </c>
      <c r="J1409" t="str">
        <f t="shared" si="163"/>
        <v>14: 800 - 899</v>
      </c>
      <c r="L1409" t="s">
        <v>2395</v>
      </c>
      <c r="M1409" t="s">
        <v>28</v>
      </c>
      <c r="N1409" t="s">
        <v>2396</v>
      </c>
      <c r="O1409">
        <v>0</v>
      </c>
      <c r="P1409" s="2">
        <v>43851</v>
      </c>
      <c r="Q1409" s="1">
        <v>25</v>
      </c>
      <c r="R1409" t="s">
        <v>3299</v>
      </c>
      <c r="S1409">
        <v>1096233915</v>
      </c>
    </row>
    <row r="1410" spans="1:19" x14ac:dyDescent="0.2">
      <c r="A1410" t="str">
        <f t="shared" si="162"/>
        <v>Adult Nonfiction</v>
      </c>
      <c r="B1410" t="str">
        <f>"NEW 814 BIR"</f>
        <v>NEW 814 BIR</v>
      </c>
      <c r="C1410" t="str">
        <f>"Recent studies indicate: the best of Sarah Bird"</f>
        <v>Recent studies indicate: the best of Sarah Bird</v>
      </c>
      <c r="D1410">
        <v>358717</v>
      </c>
      <c r="E1410" t="str">
        <f>"Bird, Sarah"</f>
        <v>Bird, Sarah</v>
      </c>
      <c r="G1410" t="str">
        <f>"xiv, 287 pages, 21 cm"</f>
        <v>xiv, 287 pages, 21 cm</v>
      </c>
      <c r="H1410" s="1">
        <v>19</v>
      </c>
      <c r="I1410">
        <v>2019</v>
      </c>
      <c r="J1410" t="str">
        <f t="shared" si="163"/>
        <v>14: 800 - 899</v>
      </c>
      <c r="L1410" t="s">
        <v>2395</v>
      </c>
      <c r="M1410" t="s">
        <v>28</v>
      </c>
      <c r="N1410" t="s">
        <v>2396</v>
      </c>
      <c r="O1410">
        <v>4</v>
      </c>
      <c r="P1410" s="2">
        <v>43762</v>
      </c>
      <c r="Q1410" s="1">
        <v>24</v>
      </c>
      <c r="R1410" t="s">
        <v>3300</v>
      </c>
      <c r="S1410">
        <v>1051776068</v>
      </c>
    </row>
    <row r="1411" spans="1:19" x14ac:dyDescent="0.2">
      <c r="A1411" t="str">
        <f t="shared" si="162"/>
        <v>Adult Nonfiction</v>
      </c>
      <c r="B1411" t="str">
        <f>"NEW 814 DOY"</f>
        <v>NEW 814 DOY</v>
      </c>
      <c r="C1411" t="str">
        <f>"One long river of song: notes on wonder"</f>
        <v>One long river of song: notes on wonder</v>
      </c>
      <c r="D1411">
        <v>360237</v>
      </c>
      <c r="E1411" t="str">
        <f>"Doyle, Brian,"</f>
        <v>Doyle, Brian,</v>
      </c>
      <c r="G1411" t="str">
        <f>"xix, 251 pages, 25 cm"</f>
        <v>xix, 251 pages, 25 cm</v>
      </c>
      <c r="H1411" s="1">
        <v>19</v>
      </c>
      <c r="I1411">
        <v>2019</v>
      </c>
      <c r="J1411" t="str">
        <f t="shared" si="163"/>
        <v>14: 800 - 899</v>
      </c>
      <c r="L1411" t="s">
        <v>2395</v>
      </c>
      <c r="M1411" t="s">
        <v>28</v>
      </c>
      <c r="N1411" t="s">
        <v>2495</v>
      </c>
      <c r="O1411">
        <v>0</v>
      </c>
      <c r="P1411" s="2">
        <v>43844</v>
      </c>
      <c r="Q1411" s="1">
        <v>32</v>
      </c>
      <c r="R1411" t="s">
        <v>3301</v>
      </c>
      <c r="S1411">
        <v>1096468394</v>
      </c>
    </row>
    <row r="1412" spans="1:19" x14ac:dyDescent="0.2">
      <c r="A1412" t="str">
        <f t="shared" si="162"/>
        <v>Adult Nonfiction</v>
      </c>
      <c r="B1412" t="str">
        <f>"NEW 814 ELL"</f>
        <v>NEW 814 ELL</v>
      </c>
      <c r="C1412" t="str">
        <f>"A mind spread out on the ground"</f>
        <v>A mind spread out on the ground</v>
      </c>
      <c r="D1412">
        <v>407375</v>
      </c>
      <c r="E1412" t="str">
        <f>"Elliott, Alicia"</f>
        <v>Elliott, Alicia</v>
      </c>
      <c r="G1412" t="str">
        <f>"223 pages, 22 cm"</f>
        <v>223 pages, 22 cm</v>
      </c>
      <c r="H1412" s="1">
        <v>19</v>
      </c>
      <c r="I1412">
        <v>2019</v>
      </c>
      <c r="J1412" t="str">
        <f t="shared" si="163"/>
        <v>14: 800 - 899</v>
      </c>
      <c r="L1412" t="s">
        <v>2403</v>
      </c>
      <c r="M1412" t="s">
        <v>28</v>
      </c>
      <c r="N1412" t="s">
        <v>2396</v>
      </c>
      <c r="O1412">
        <v>5</v>
      </c>
      <c r="P1412" s="2">
        <v>43706</v>
      </c>
      <c r="Q1412" s="1">
        <v>30</v>
      </c>
      <c r="R1412" t="s">
        <v>3302</v>
      </c>
      <c r="S1412">
        <v>1077245603</v>
      </c>
    </row>
    <row r="1413" spans="1:19" x14ac:dyDescent="0.2">
      <c r="A1413" t="str">
        <f t="shared" si="162"/>
        <v>Adult Nonfiction</v>
      </c>
      <c r="B1413" t="str">
        <f>"NEW 814 JAM"</f>
        <v>NEW 814 JAM</v>
      </c>
      <c r="C1413" t="s">
        <v>3303</v>
      </c>
      <c r="D1413">
        <v>358352</v>
      </c>
      <c r="E1413" t="str">
        <f>"Jamie, Kathleen,"</f>
        <v>Jamie, Kathleen,</v>
      </c>
      <c r="G1413" t="str">
        <f>"247 pages, 21 cm, illustrations"</f>
        <v>247 pages, 21 cm, illustrations</v>
      </c>
      <c r="H1413" s="1">
        <v>19</v>
      </c>
      <c r="I1413">
        <v>2019</v>
      </c>
      <c r="J1413" t="str">
        <f t="shared" si="163"/>
        <v>14: 800 - 899</v>
      </c>
      <c r="L1413" t="s">
        <v>2395</v>
      </c>
      <c r="M1413" t="s">
        <v>28</v>
      </c>
      <c r="N1413" t="s">
        <v>2404</v>
      </c>
      <c r="O1413">
        <v>4</v>
      </c>
      <c r="P1413" s="2">
        <v>43749</v>
      </c>
      <c r="Q1413" s="1">
        <v>22</v>
      </c>
      <c r="R1413" t="s">
        <v>3304</v>
      </c>
      <c r="S1413">
        <v>1083708156</v>
      </c>
    </row>
    <row r="1414" spans="1:19" x14ac:dyDescent="0.2">
      <c r="A1414" t="str">
        <f t="shared" si="162"/>
        <v>Adult Nonfiction</v>
      </c>
      <c r="B1414" t="str">
        <f>"NEW 814 JAM"</f>
        <v>NEW 814 JAM</v>
      </c>
      <c r="C1414" t="str">
        <f>"Make it scream, make it burn: essays"</f>
        <v>Make it scream, make it burn: essays</v>
      </c>
      <c r="D1414">
        <v>358323</v>
      </c>
      <c r="E1414" t="str">
        <f>"Jamison, Leslie,"</f>
        <v>Jamison, Leslie,</v>
      </c>
      <c r="G1414" t="str">
        <f>"ix, 257 pages, 25 cm, illustrations"</f>
        <v>ix, 257 pages, 25 cm, illustrations</v>
      </c>
      <c r="H1414" s="1">
        <v>19</v>
      </c>
      <c r="I1414">
        <v>2019</v>
      </c>
      <c r="J1414" t="str">
        <f t="shared" si="163"/>
        <v>14: 800 - 899</v>
      </c>
      <c r="L1414" t="s">
        <v>2403</v>
      </c>
      <c r="M1414" t="s">
        <v>28</v>
      </c>
      <c r="N1414" t="s">
        <v>2396</v>
      </c>
      <c r="O1414">
        <v>0</v>
      </c>
      <c r="P1414" s="2">
        <v>43749</v>
      </c>
      <c r="Q1414" s="1">
        <v>33</v>
      </c>
      <c r="R1414" t="s">
        <v>3305</v>
      </c>
      <c r="S1414">
        <v>1117773672</v>
      </c>
    </row>
    <row r="1415" spans="1:19" x14ac:dyDescent="0.2">
      <c r="A1415" t="str">
        <f t="shared" si="162"/>
        <v>Adult Nonfiction</v>
      </c>
      <c r="B1415" t="str">
        <f>"NEW 814 TOL"</f>
        <v>NEW 814 TOL</v>
      </c>
      <c r="C1415" t="str">
        <f>"Trick mirror: reflections on self-delusion"</f>
        <v>Trick mirror: reflections on self-delusion</v>
      </c>
      <c r="D1415">
        <v>357429</v>
      </c>
      <c r="E1415" t="str">
        <f>"Tolentino, Jia"</f>
        <v>Tolentino, Jia</v>
      </c>
      <c r="G1415" t="str">
        <f>"xi, 303 pages, 25 cm"</f>
        <v>xi, 303 pages, 25 cm</v>
      </c>
      <c r="H1415" s="1">
        <v>19</v>
      </c>
      <c r="I1415">
        <v>2019</v>
      </c>
      <c r="J1415" t="str">
        <f t="shared" si="163"/>
        <v>14: 800 - 899</v>
      </c>
      <c r="L1415" t="s">
        <v>2403</v>
      </c>
      <c r="M1415" t="s">
        <v>28</v>
      </c>
      <c r="N1415" t="s">
        <v>2404</v>
      </c>
      <c r="O1415">
        <v>6</v>
      </c>
      <c r="P1415" s="2">
        <v>43718</v>
      </c>
      <c r="Q1415" s="1">
        <v>32</v>
      </c>
      <c r="R1415" t="s">
        <v>3306</v>
      </c>
    </row>
    <row r="1416" spans="1:19" x14ac:dyDescent="0.2">
      <c r="A1416" t="str">
        <f t="shared" si="162"/>
        <v>Adult Nonfiction</v>
      </c>
      <c r="B1416" t="str">
        <f>"NEW 814 TUM"</f>
        <v>NEW 814 TUM</v>
      </c>
      <c r="C1416" t="s">
        <v>3307</v>
      </c>
      <c r="D1416">
        <v>359997</v>
      </c>
      <c r="E1416" t="str">
        <f>"Tumarkin, Maria M."</f>
        <v>Tumarkin, Maria M.</v>
      </c>
      <c r="G1416" t="str">
        <f>"225 pages, 21 cm"</f>
        <v>225 pages, 21 cm</v>
      </c>
      <c r="H1416" s="1">
        <v>19</v>
      </c>
      <c r="I1416">
        <v>2019</v>
      </c>
      <c r="J1416" t="str">
        <f t="shared" si="163"/>
        <v>14: 800 - 899</v>
      </c>
      <c r="L1416" t="s">
        <v>2395</v>
      </c>
      <c r="M1416" t="s">
        <v>28</v>
      </c>
      <c r="N1416" t="s">
        <v>2396</v>
      </c>
      <c r="O1416">
        <v>0</v>
      </c>
      <c r="P1416" s="2">
        <v>43826</v>
      </c>
      <c r="Q1416" s="1">
        <v>22</v>
      </c>
      <c r="R1416" t="s">
        <v>3308</v>
      </c>
      <c r="S1416">
        <v>1084325846</v>
      </c>
    </row>
    <row r="1417" spans="1:19" x14ac:dyDescent="0.2">
      <c r="A1417" t="str">
        <f t="shared" si="162"/>
        <v>Adult Nonfiction</v>
      </c>
      <c r="B1417" t="str">
        <f>"NEW 814 WIL"</f>
        <v>NEW 814 WIL</v>
      </c>
      <c r="C1417" t="str">
        <f>"Erosion: essays of undoing"</f>
        <v>Erosion: essays of undoing</v>
      </c>
      <c r="D1417">
        <v>358694</v>
      </c>
      <c r="E1417" t="str">
        <f>"Williams, Terry Tempest"</f>
        <v>Williams, Terry Tempest</v>
      </c>
      <c r="G1417" t="str">
        <f>"xiii, 318 pages, 22 cm, map"</f>
        <v>xiii, 318 pages, 22 cm, map</v>
      </c>
      <c r="H1417" s="1">
        <v>19</v>
      </c>
      <c r="I1417">
        <v>2019</v>
      </c>
      <c r="J1417" t="str">
        <f t="shared" si="163"/>
        <v>14: 800 - 899</v>
      </c>
      <c r="L1417" t="s">
        <v>2395</v>
      </c>
      <c r="M1417" t="s">
        <v>28</v>
      </c>
      <c r="N1417" t="s">
        <v>2404</v>
      </c>
      <c r="O1417">
        <v>3</v>
      </c>
      <c r="P1417" s="2">
        <v>43762</v>
      </c>
      <c r="Q1417" s="1">
        <v>32</v>
      </c>
      <c r="R1417" t="s">
        <v>3309</v>
      </c>
      <c r="S1417">
        <v>1082542217</v>
      </c>
    </row>
    <row r="1418" spans="1:19" x14ac:dyDescent="0.2">
      <c r="A1418" t="str">
        <f t="shared" si="162"/>
        <v>Adult Nonfiction</v>
      </c>
      <c r="B1418" t="str">
        <f>"NEW 816 OCO"</f>
        <v>NEW 816 OCO</v>
      </c>
      <c r="C1418" t="str">
        <f>"Good things out of Nazareth: the uncollected letters of Flannery O'Connor and friends"</f>
        <v>Good things out of Nazareth: the uncollected letters of Flannery O'Connor and friends</v>
      </c>
      <c r="D1418">
        <v>358699</v>
      </c>
      <c r="E1418" t="str">
        <f>"O'Connor, Flannery"</f>
        <v>O'Connor, Flannery</v>
      </c>
      <c r="G1418" t="str">
        <f>"xxi, 386 pages, 24 cm"</f>
        <v>xxi, 386 pages, 24 cm</v>
      </c>
      <c r="H1418" s="1">
        <v>19</v>
      </c>
      <c r="I1418">
        <v>2019</v>
      </c>
      <c r="J1418" t="str">
        <f t="shared" si="163"/>
        <v>14: 800 - 899</v>
      </c>
      <c r="L1418" t="s">
        <v>2403</v>
      </c>
      <c r="M1418" t="s">
        <v>28</v>
      </c>
      <c r="N1418" t="s">
        <v>2396</v>
      </c>
      <c r="O1418">
        <v>1</v>
      </c>
      <c r="P1418" s="2">
        <v>43762</v>
      </c>
      <c r="Q1418" s="1">
        <v>31</v>
      </c>
      <c r="R1418" t="s">
        <v>3310</v>
      </c>
      <c r="S1418">
        <v>1122615920</v>
      </c>
    </row>
    <row r="1419" spans="1:19" x14ac:dyDescent="0.2">
      <c r="A1419" t="str">
        <f t="shared" si="162"/>
        <v>Adult Nonfiction</v>
      </c>
      <c r="B1419" t="str">
        <f>"NEW 818 BES"</f>
        <v>NEW 818 BES</v>
      </c>
      <c r="C1419" t="str">
        <f>"The best American nonrequired reading, 2019"</f>
        <v>The best American nonrequired reading, 2019</v>
      </c>
      <c r="D1419">
        <v>358854</v>
      </c>
      <c r="F1419" t="str">
        <f>"Best American series"</f>
        <v>Best American series</v>
      </c>
      <c r="G1419" t="str">
        <f>"xix, 247 pages, 21 cm, illustrations (chiefly color)"</f>
        <v>xix, 247 pages, 21 cm, illustrations (chiefly color)</v>
      </c>
      <c r="H1419" s="1">
        <v>19</v>
      </c>
      <c r="I1419">
        <v>2019</v>
      </c>
      <c r="J1419" t="str">
        <f t="shared" si="163"/>
        <v>14: 800 - 899</v>
      </c>
      <c r="L1419" t="s">
        <v>2403</v>
      </c>
      <c r="M1419" t="s">
        <v>28</v>
      </c>
      <c r="N1419" t="s">
        <v>2396</v>
      </c>
      <c r="O1419">
        <v>1</v>
      </c>
      <c r="P1419" s="2">
        <v>43769</v>
      </c>
      <c r="Q1419" s="1">
        <v>21</v>
      </c>
      <c r="R1419" t="s">
        <v>3311</v>
      </c>
      <c r="S1419">
        <v>1121661629</v>
      </c>
    </row>
    <row r="1420" spans="1:19" x14ac:dyDescent="0.2">
      <c r="A1420" t="str">
        <f t="shared" si="162"/>
        <v>Adult Nonfiction</v>
      </c>
      <c r="B1420" t="str">
        <f>"NEW 818 FLA"</f>
        <v>NEW 818 FLA</v>
      </c>
      <c r="C1420" t="str">
        <f>"That was awkward: the art &amp; etiquette of the awkward hug"</f>
        <v>That was awkward: the art &amp; etiquette of the awkward hug</v>
      </c>
      <c r="D1420">
        <v>408518</v>
      </c>
      <c r="E1420" t="str">
        <f>"Flake, Emily,"</f>
        <v>Flake, Emily,</v>
      </c>
      <c r="G1420" t="str">
        <f>"1 volume (unpaged), 20 cm, illustrations"</f>
        <v>1 volume (unpaged), 20 cm, illustrations</v>
      </c>
      <c r="H1420" s="1">
        <v>19</v>
      </c>
      <c r="I1420">
        <v>2019</v>
      </c>
      <c r="J1420" t="str">
        <f t="shared" si="163"/>
        <v>14: 800 - 899</v>
      </c>
      <c r="L1420" t="s">
        <v>2403</v>
      </c>
      <c r="M1420" t="s">
        <v>28</v>
      </c>
      <c r="N1420" t="s">
        <v>2396</v>
      </c>
      <c r="O1420">
        <v>3</v>
      </c>
      <c r="P1420" s="2">
        <v>43811</v>
      </c>
      <c r="Q1420" s="1">
        <v>21</v>
      </c>
      <c r="R1420" t="s">
        <v>3312</v>
      </c>
      <c r="S1420">
        <v>1123192666</v>
      </c>
    </row>
    <row r="1421" spans="1:19" x14ac:dyDescent="0.2">
      <c r="A1421" t="str">
        <f t="shared" si="162"/>
        <v>Adult Nonfiction</v>
      </c>
      <c r="B1421" t="str">
        <f>"NEW 818 HOD"</f>
        <v>NEW 818 HOD</v>
      </c>
      <c r="C1421" t="str">
        <f>"Medallion status: true stories from secret rooms"</f>
        <v>Medallion status: true stories from secret rooms</v>
      </c>
      <c r="D1421">
        <v>359034</v>
      </c>
      <c r="E1421" t="str">
        <f>"Hodgman, John"</f>
        <v>Hodgman, John</v>
      </c>
      <c r="G1421" t="str">
        <f>"291 p., 22 cm"</f>
        <v>291 p., 22 cm</v>
      </c>
      <c r="H1421" s="1">
        <v>19</v>
      </c>
      <c r="I1421">
        <v>2019</v>
      </c>
      <c r="J1421" t="str">
        <f t="shared" si="163"/>
        <v>14: 800 - 899</v>
      </c>
      <c r="L1421" t="s">
        <v>2403</v>
      </c>
      <c r="M1421" t="s">
        <v>28</v>
      </c>
      <c r="N1421" t="s">
        <v>2404</v>
      </c>
      <c r="O1421">
        <v>1</v>
      </c>
      <c r="P1421" s="2">
        <v>43776</v>
      </c>
      <c r="Q1421" s="1">
        <v>30</v>
      </c>
      <c r="R1421" t="s">
        <v>3313</v>
      </c>
      <c r="S1421">
        <v>1107804709</v>
      </c>
    </row>
    <row r="1422" spans="1:19" x14ac:dyDescent="0.2">
      <c r="A1422" t="str">
        <f t="shared" si="162"/>
        <v>Adult Nonfiction</v>
      </c>
      <c r="B1422" t="str">
        <f>"NEW 818 ROW"</f>
        <v>NEW 818 ROW</v>
      </c>
      <c r="C1422" t="str">
        <f>"The way I heard it"</f>
        <v>The way I heard it</v>
      </c>
      <c r="D1422">
        <v>358466</v>
      </c>
      <c r="E1422" t="str">
        <f>"Rowe, Mike"</f>
        <v>Rowe, Mike</v>
      </c>
      <c r="G1422" t="str">
        <f>"xiii, 254 pages, 24 cm, illustrations"</f>
        <v>xiii, 254 pages, 24 cm, illustrations</v>
      </c>
      <c r="H1422" s="1">
        <v>19</v>
      </c>
      <c r="I1422">
        <v>2019</v>
      </c>
      <c r="J1422" t="str">
        <f t="shared" si="163"/>
        <v>14: 800 - 899</v>
      </c>
      <c r="L1422" t="s">
        <v>2395</v>
      </c>
      <c r="M1422" t="s">
        <v>28</v>
      </c>
      <c r="N1422" t="s">
        <v>2396</v>
      </c>
      <c r="O1422">
        <v>4</v>
      </c>
      <c r="P1422" s="2">
        <v>43753</v>
      </c>
      <c r="Q1422" s="1">
        <v>33</v>
      </c>
      <c r="R1422" t="s">
        <v>3314</v>
      </c>
      <c r="S1422">
        <v>732767658</v>
      </c>
    </row>
    <row r="1423" spans="1:19" x14ac:dyDescent="0.2">
      <c r="A1423" t="str">
        <f t="shared" ref="A1423:A1486" si="164">"Adult Nonfiction"</f>
        <v>Adult Nonfiction</v>
      </c>
      <c r="B1423" t="str">
        <f>"NEW 818 SEA"</f>
        <v>NEW 818 SEA</v>
      </c>
      <c r="C1423" t="str">
        <f>"Small doses"</f>
        <v>Small doses</v>
      </c>
      <c r="D1423">
        <v>407228</v>
      </c>
      <c r="E1423" t="str">
        <f>"Seales, Amanda,"</f>
        <v>Seales, Amanda,</v>
      </c>
      <c r="G1423" t="str">
        <f>"311 p., 22 cm, illustrations (some color)"</f>
        <v>311 p., 22 cm, illustrations (some color)</v>
      </c>
      <c r="H1423" s="1">
        <v>19</v>
      </c>
      <c r="I1423">
        <v>2019</v>
      </c>
      <c r="J1423" t="str">
        <f>"7: 000 - 199"</f>
        <v>7: 000 - 199</v>
      </c>
      <c r="L1423" t="s">
        <v>2395</v>
      </c>
      <c r="M1423" t="s">
        <v>28</v>
      </c>
      <c r="N1423" t="s">
        <v>2396</v>
      </c>
      <c r="O1423">
        <v>0</v>
      </c>
      <c r="P1423" s="2">
        <v>43844</v>
      </c>
      <c r="Q1423" s="1">
        <v>31</v>
      </c>
      <c r="R1423" t="s">
        <v>3315</v>
      </c>
      <c r="S1423">
        <v>1086339856</v>
      </c>
    </row>
    <row r="1424" spans="1:19" x14ac:dyDescent="0.2">
      <c r="A1424" t="str">
        <f t="shared" si="164"/>
        <v>Adult Nonfiction</v>
      </c>
      <c r="B1424" t="str">
        <f>"NEW 823.08 BES"</f>
        <v>NEW 823.08 BES</v>
      </c>
      <c r="C1424" t="str">
        <f>"The best American science fiction and fantasy, 2019"</f>
        <v>The best American science fiction and fantasy, 2019</v>
      </c>
      <c r="D1424">
        <v>358855</v>
      </c>
      <c r="F1424" t="str">
        <f>"Best American series"</f>
        <v>Best American series</v>
      </c>
      <c r="G1424" t="str">
        <f>"xx, 411 p., 22 cm"</f>
        <v>xx, 411 p., 22 cm</v>
      </c>
      <c r="H1424" s="1">
        <v>19</v>
      </c>
      <c r="I1424">
        <v>2019</v>
      </c>
      <c r="J1424" t="str">
        <f>"2: Fiction"</f>
        <v>2: Fiction</v>
      </c>
      <c r="L1424" t="s">
        <v>2395</v>
      </c>
      <c r="M1424" t="s">
        <v>28</v>
      </c>
      <c r="N1424" t="s">
        <v>2404</v>
      </c>
      <c r="O1424">
        <v>3</v>
      </c>
      <c r="P1424" s="2">
        <v>43769</v>
      </c>
      <c r="Q1424" s="1">
        <v>21</v>
      </c>
      <c r="R1424" t="s">
        <v>3316</v>
      </c>
      <c r="S1424">
        <v>1080245346</v>
      </c>
    </row>
    <row r="1425" spans="1:19" x14ac:dyDescent="0.2">
      <c r="A1425" t="str">
        <f t="shared" si="164"/>
        <v>Adult Nonfiction</v>
      </c>
      <c r="B1425" t="str">
        <f>"NEW 823.08 BES"</f>
        <v>NEW 823.08 BES</v>
      </c>
      <c r="C1425" t="str">
        <f>"The best American short stories 2019"</f>
        <v>The best American short stories 2019</v>
      </c>
      <c r="D1425">
        <v>358856</v>
      </c>
      <c r="F1425" t="str">
        <f>"Best American series"</f>
        <v>Best American series</v>
      </c>
      <c r="G1425" t="str">
        <f>"xxi, 372 pages, 22 cm"</f>
        <v>xxi, 372 pages, 22 cm</v>
      </c>
      <c r="H1425" s="1">
        <v>19</v>
      </c>
      <c r="I1425">
        <v>2019</v>
      </c>
      <c r="J1425" t="str">
        <f>"14: 800 - 899"</f>
        <v>14: 800 - 899</v>
      </c>
      <c r="L1425" t="s">
        <v>2403</v>
      </c>
      <c r="M1425" t="s">
        <v>28</v>
      </c>
      <c r="N1425" t="str">
        <f>"Reserve Cart"</f>
        <v>Reserve Cart</v>
      </c>
      <c r="O1425">
        <v>3</v>
      </c>
      <c r="P1425" s="2">
        <v>43769</v>
      </c>
      <c r="Q1425" s="1">
        <v>21</v>
      </c>
      <c r="R1425" t="s">
        <v>3317</v>
      </c>
      <c r="S1425">
        <v>1080247642</v>
      </c>
    </row>
    <row r="1426" spans="1:19" x14ac:dyDescent="0.2">
      <c r="A1426" t="str">
        <f t="shared" si="164"/>
        <v>Adult Nonfiction</v>
      </c>
      <c r="B1426" t="str">
        <f>"NEW 823.08 BEST"</f>
        <v>NEW 823.08 BEST</v>
      </c>
      <c r="C1426" t="str">
        <f>"The best American mystery stories 2019"</f>
        <v>The best American mystery stories 2019</v>
      </c>
      <c r="D1426">
        <v>358853</v>
      </c>
      <c r="F1426" t="str">
        <f>"Best American series"</f>
        <v>Best American series</v>
      </c>
      <c r="G1426" t="str">
        <f>"xv, 317 p., 21 cm"</f>
        <v>xv, 317 p., 21 cm</v>
      </c>
      <c r="H1426" s="1">
        <v>19</v>
      </c>
      <c r="I1426">
        <v>2019</v>
      </c>
      <c r="J1426" t="str">
        <f>"14: 800 - 899"</f>
        <v>14: 800 - 899</v>
      </c>
      <c r="L1426" t="s">
        <v>2395</v>
      </c>
      <c r="M1426" t="s">
        <v>28</v>
      </c>
      <c r="N1426" t="s">
        <v>2404</v>
      </c>
      <c r="O1426">
        <v>2</v>
      </c>
      <c r="P1426" s="2">
        <v>43769</v>
      </c>
      <c r="Q1426" s="1">
        <v>21</v>
      </c>
      <c r="R1426" t="s">
        <v>3318</v>
      </c>
      <c r="S1426">
        <v>1080247159</v>
      </c>
    </row>
    <row r="1427" spans="1:19" x14ac:dyDescent="0.2">
      <c r="A1427" t="str">
        <f t="shared" si="164"/>
        <v>Adult Nonfiction</v>
      </c>
      <c r="B1427" t="str">
        <f>"NEW 823.92 MAT"</f>
        <v>NEW 823.92 MAT</v>
      </c>
      <c r="C1427" t="str">
        <f>"A month in Siena"</f>
        <v>A month in Siena</v>
      </c>
      <c r="D1427">
        <v>359038</v>
      </c>
      <c r="E1427" t="str">
        <f>"Matar, Hisham,"</f>
        <v>Matar, Hisham,</v>
      </c>
      <c r="G1427" t="str">
        <f>"127 p."</f>
        <v>127 p.</v>
      </c>
      <c r="H1427" s="1">
        <v>19</v>
      </c>
      <c r="I1427">
        <v>2019</v>
      </c>
      <c r="J1427" t="str">
        <f>"14: 800 - 899"</f>
        <v>14: 800 - 899</v>
      </c>
      <c r="L1427" t="s">
        <v>2403</v>
      </c>
      <c r="M1427" t="s">
        <v>28</v>
      </c>
      <c r="N1427" t="s">
        <v>2404</v>
      </c>
      <c r="O1427">
        <v>6</v>
      </c>
      <c r="P1427" s="2">
        <v>43776</v>
      </c>
      <c r="Q1427" s="1">
        <v>32</v>
      </c>
      <c r="R1427" t="s">
        <v>3319</v>
      </c>
      <c r="S1427">
        <v>1102182594</v>
      </c>
    </row>
    <row r="1428" spans="1:19" x14ac:dyDescent="0.2">
      <c r="A1428" t="str">
        <f t="shared" si="164"/>
        <v>Adult Nonfiction</v>
      </c>
      <c r="B1428" t="str">
        <f>"NEW 904 CAR"</f>
        <v>NEW 904 CAR</v>
      </c>
      <c r="C1428" t="str">
        <f>"The end is always near: apocalyptic moments, from the Bronze Age collapse to nuclear near misses"</f>
        <v>The end is always near: apocalyptic moments, from the Bronze Age collapse to nuclear near misses</v>
      </c>
      <c r="D1428">
        <v>358866</v>
      </c>
      <c r="G1428" t="str">
        <f>"xiv, 270 p., 24 cm"</f>
        <v>xiv, 270 p., 24 cm</v>
      </c>
      <c r="H1428" s="1">
        <v>19</v>
      </c>
      <c r="I1428">
        <v>2019</v>
      </c>
      <c r="J1428" t="str">
        <f t="shared" ref="J1428:J1439" si="165">"15: 900 - 919"</f>
        <v>15: 900 - 919</v>
      </c>
      <c r="L1428" t="s">
        <v>2395</v>
      </c>
      <c r="M1428" t="s">
        <v>28</v>
      </c>
      <c r="N1428" t="s">
        <v>2396</v>
      </c>
      <c r="O1428">
        <v>2</v>
      </c>
      <c r="P1428" s="2">
        <v>43769</v>
      </c>
      <c r="Q1428" s="1">
        <v>35</v>
      </c>
      <c r="R1428" t="s">
        <v>3320</v>
      </c>
      <c r="S1428">
        <v>1114275654</v>
      </c>
    </row>
    <row r="1429" spans="1:19" x14ac:dyDescent="0.2">
      <c r="A1429" t="str">
        <f t="shared" si="164"/>
        <v>Adult Nonfiction</v>
      </c>
      <c r="B1429" t="str">
        <f>"NEW 909 MOL"</f>
        <v>NEW 909 MOL</v>
      </c>
      <c r="C1429" t="str">
        <f>"The map of knowledge: how classical ideas were lost and found : a history in seven cities"</f>
        <v>The map of knowledge: how classical ideas were lost and found : a history in seven cities</v>
      </c>
      <c r="D1429">
        <v>354799</v>
      </c>
      <c r="E1429" t="str">
        <f>"Moller, Violet"</f>
        <v>Moller, Violet</v>
      </c>
      <c r="G1429" t="str">
        <f>"312 pages, 8 unnumbered pages of plates, 25 cm, illustrations (some color)"</f>
        <v>312 pages, 8 unnumbered pages of plates, 25 cm, illustrations (some color)</v>
      </c>
      <c r="H1429" s="1">
        <v>19</v>
      </c>
      <c r="I1429">
        <v>2019</v>
      </c>
      <c r="J1429" t="str">
        <f t="shared" si="165"/>
        <v>15: 900 - 919</v>
      </c>
      <c r="L1429" t="s">
        <v>2403</v>
      </c>
      <c r="M1429" t="s">
        <v>28</v>
      </c>
      <c r="N1429" t="s">
        <v>2404</v>
      </c>
      <c r="O1429">
        <v>10</v>
      </c>
      <c r="P1429" s="2">
        <v>43602</v>
      </c>
      <c r="Q1429" s="1">
        <v>35</v>
      </c>
      <c r="R1429" t="s">
        <v>3321</v>
      </c>
      <c r="S1429">
        <v>1089741042</v>
      </c>
    </row>
    <row r="1430" spans="1:19" x14ac:dyDescent="0.2">
      <c r="A1430" t="str">
        <f t="shared" si="164"/>
        <v>Adult Nonfiction</v>
      </c>
      <c r="B1430" t="str">
        <f>"NEW 909.82 SMI"</f>
        <v>NEW 909.82 SMI</v>
      </c>
      <c r="C1430" t="str">
        <f>"Growth: from microorganisms to megacities"</f>
        <v>Growth: from microorganisms to megacities</v>
      </c>
      <c r="D1430">
        <v>358113</v>
      </c>
      <c r="E1430" t="str">
        <f>"Smil, Vaclav."</f>
        <v>Smil, Vaclav.</v>
      </c>
      <c r="G1430" t="str">
        <f>"pages cm"</f>
        <v>pages cm</v>
      </c>
      <c r="H1430" s="1">
        <v>19</v>
      </c>
      <c r="I1430">
        <v>2019</v>
      </c>
      <c r="J1430" t="str">
        <f t="shared" si="165"/>
        <v>15: 900 - 919</v>
      </c>
      <c r="L1430" t="s">
        <v>2403</v>
      </c>
      <c r="M1430" t="s">
        <v>28</v>
      </c>
      <c r="N1430" t="s">
        <v>2396</v>
      </c>
      <c r="O1430">
        <v>2</v>
      </c>
      <c r="P1430" s="2">
        <v>43740</v>
      </c>
      <c r="Q1430" s="1">
        <v>45</v>
      </c>
      <c r="R1430" t="s">
        <v>3322</v>
      </c>
      <c r="S1430">
        <v>1085577162</v>
      </c>
    </row>
    <row r="1431" spans="1:19" x14ac:dyDescent="0.2">
      <c r="A1431" t="str">
        <f t="shared" si="164"/>
        <v>Adult Nonfiction</v>
      </c>
      <c r="B1431" t="str">
        <f>"NEW 909.82 ZEL"</f>
        <v>NEW 909.82 ZEL</v>
      </c>
      <c r="C1431" t="str">
        <f>"To build a better world: choices to end the Cold War and create a global commonwealth"</f>
        <v>To build a better world: choices to end the Cold War and create a global commonwealth</v>
      </c>
      <c r="D1431">
        <v>359223</v>
      </c>
      <c r="E1431" t="str">
        <f>"Zelikow, Philip,"</f>
        <v>Zelikow, Philip,</v>
      </c>
      <c r="G1431" t="str">
        <f>"ix, 510 pages, 16 unnumbered pages of plates, 24 cm, illustrations (some color)"</f>
        <v>ix, 510 pages, 16 unnumbered pages of plates, 24 cm, illustrations (some color)</v>
      </c>
      <c r="H1431" s="1">
        <v>19</v>
      </c>
      <c r="I1431">
        <v>2019</v>
      </c>
      <c r="J1431" t="str">
        <f t="shared" si="165"/>
        <v>15: 900 - 919</v>
      </c>
      <c r="L1431" t="s">
        <v>2403</v>
      </c>
      <c r="M1431" t="s">
        <v>28</v>
      </c>
      <c r="N1431" t="s">
        <v>2404</v>
      </c>
      <c r="O1431">
        <v>1</v>
      </c>
      <c r="P1431" s="2">
        <v>43782</v>
      </c>
      <c r="Q1431" s="1">
        <v>40</v>
      </c>
      <c r="R1431" t="s">
        <v>3323</v>
      </c>
      <c r="S1431">
        <v>1082184901</v>
      </c>
    </row>
    <row r="1432" spans="1:19" x14ac:dyDescent="0.2">
      <c r="A1432" t="str">
        <f t="shared" si="164"/>
        <v>Adult Nonfiction</v>
      </c>
      <c r="B1432" t="str">
        <f>"NEW 910.2 FOE"</f>
        <v>NEW 910.2 FOE</v>
      </c>
      <c r="C1432" t="str">
        <f>"Atlas obscura: an explorer's guide to the world's hidden wonders"</f>
        <v>Atlas obscura: an explorer's guide to the world's hidden wonders</v>
      </c>
      <c r="D1432">
        <v>359000</v>
      </c>
      <c r="E1432" t="str">
        <f>"Foer, Joshua."</f>
        <v>Foer, Joshua.</v>
      </c>
      <c r="G1432" t="str">
        <f>"470 p., 28 cm, color illustrations, color maps"</f>
        <v>470 p., 28 cm, color illustrations, color maps</v>
      </c>
      <c r="H1432" s="1">
        <v>19</v>
      </c>
      <c r="I1432">
        <v>2019</v>
      </c>
      <c r="J1432" t="str">
        <f t="shared" si="165"/>
        <v>15: 900 - 919</v>
      </c>
      <c r="L1432" t="s">
        <v>2395</v>
      </c>
      <c r="M1432" t="s">
        <v>28</v>
      </c>
      <c r="N1432" t="s">
        <v>2404</v>
      </c>
      <c r="O1432">
        <v>2</v>
      </c>
      <c r="P1432" s="2">
        <v>43776</v>
      </c>
      <c r="Q1432" s="1">
        <v>43</v>
      </c>
      <c r="R1432" t="s">
        <v>3324</v>
      </c>
      <c r="S1432">
        <v>1121616409</v>
      </c>
    </row>
    <row r="1433" spans="1:19" x14ac:dyDescent="0.2">
      <c r="A1433" t="str">
        <f t="shared" si="164"/>
        <v>Adult Nonfiction</v>
      </c>
      <c r="B1433" t="str">
        <f>"NEW 910.4 BES"</f>
        <v>NEW 910.4 BES</v>
      </c>
      <c r="C1433" t="str">
        <f>"The best American travel writing 2019"</f>
        <v>The best American travel writing 2019</v>
      </c>
      <c r="D1433">
        <v>358091</v>
      </c>
      <c r="F1433" t="str">
        <f>"Best American series"</f>
        <v>Best American series</v>
      </c>
      <c r="G1433" t="str">
        <f>"xviii, 378 pages, 21 cm"</f>
        <v>xviii, 378 pages, 21 cm</v>
      </c>
      <c r="H1433" s="1">
        <v>19</v>
      </c>
      <c r="I1433">
        <v>2019</v>
      </c>
      <c r="J1433" t="str">
        <f t="shared" si="165"/>
        <v>15: 900 - 919</v>
      </c>
      <c r="L1433" t="s">
        <v>2403</v>
      </c>
      <c r="M1433" t="s">
        <v>28</v>
      </c>
      <c r="N1433" t="s">
        <v>2404</v>
      </c>
      <c r="O1433">
        <v>3</v>
      </c>
      <c r="P1433" s="2">
        <v>43740</v>
      </c>
      <c r="Q1433" s="1">
        <v>14</v>
      </c>
      <c r="R1433" t="s">
        <v>3325</v>
      </c>
      <c r="S1433">
        <v>1080245233</v>
      </c>
    </row>
    <row r="1434" spans="1:19" x14ac:dyDescent="0.2">
      <c r="A1434" t="str">
        <f t="shared" si="164"/>
        <v>Adult Nonfiction</v>
      </c>
      <c r="B1434" t="str">
        <f>"NEW 910.4 BLU"</f>
        <v>NEW 910.4 BLU</v>
      </c>
      <c r="C1434" t="str">
        <f>"Travel with purpose: a field guide to voluntourism"</f>
        <v>Travel with purpose: a field guide to voluntourism</v>
      </c>
      <c r="D1434">
        <v>356185</v>
      </c>
      <c r="E1434" t="str">
        <f>"Blumenfeld, Jeff"</f>
        <v>Blumenfeld, Jeff</v>
      </c>
      <c r="G1434" t="str">
        <f>"198 p., 23 cm, illustrations"</f>
        <v>198 p., 23 cm, illustrations</v>
      </c>
      <c r="H1434" s="1">
        <v>19</v>
      </c>
      <c r="I1434">
        <v>2019</v>
      </c>
      <c r="J1434" t="str">
        <f t="shared" si="165"/>
        <v>15: 900 - 919</v>
      </c>
      <c r="L1434" t="s">
        <v>2403</v>
      </c>
      <c r="M1434" t="s">
        <v>28</v>
      </c>
      <c r="N1434" t="s">
        <v>2396</v>
      </c>
      <c r="O1434">
        <v>5</v>
      </c>
      <c r="P1434" s="2">
        <v>43655</v>
      </c>
      <c r="Q1434" s="1">
        <v>24</v>
      </c>
      <c r="R1434" t="s">
        <v>3326</v>
      </c>
      <c r="S1434">
        <v>1048942067</v>
      </c>
    </row>
    <row r="1435" spans="1:19" x14ac:dyDescent="0.2">
      <c r="A1435" t="str">
        <f t="shared" si="164"/>
        <v>Adult Nonfiction</v>
      </c>
      <c r="B1435" t="str">
        <f>"NEW 910.4 RUS"</f>
        <v>NEW 910.4 RUS</v>
      </c>
      <c r="C1435" t="str">
        <f>"The ship of dreams: the sinking of the Titanic and the end of the Edwardian era"</f>
        <v>The ship of dreams: the sinking of the Titanic and the end of the Edwardian era</v>
      </c>
      <c r="D1435">
        <v>359573</v>
      </c>
      <c r="E1435" t="str">
        <f>"Russell, Gareth"</f>
        <v>Russell, Gareth</v>
      </c>
      <c r="G1435" t="str">
        <f>"xxii, 423 pages, 24 cm, illustrations (some color)"</f>
        <v>xxii, 423 pages, 24 cm, illustrations (some color)</v>
      </c>
      <c r="H1435" s="1">
        <v>19</v>
      </c>
      <c r="I1435">
        <v>2019</v>
      </c>
      <c r="J1435" t="str">
        <f t="shared" si="165"/>
        <v>15: 900 - 919</v>
      </c>
      <c r="L1435" t="s">
        <v>2395</v>
      </c>
      <c r="M1435" t="s">
        <v>28</v>
      </c>
      <c r="N1435" t="s">
        <v>2404</v>
      </c>
      <c r="O1435">
        <v>2</v>
      </c>
      <c r="P1435" s="2">
        <v>43802</v>
      </c>
      <c r="Q1435" s="1">
        <v>35</v>
      </c>
      <c r="R1435" t="s">
        <v>3327</v>
      </c>
      <c r="S1435">
        <v>1085224668</v>
      </c>
    </row>
    <row r="1436" spans="1:19" x14ac:dyDescent="0.2">
      <c r="A1436" t="str">
        <f t="shared" si="164"/>
        <v>Adult Nonfiction</v>
      </c>
      <c r="B1436" t="str">
        <f>"NEW 910.4 THE"</f>
        <v>NEW 910.4 THE</v>
      </c>
      <c r="C1436" t="str">
        <f>"How to travel"</f>
        <v>How to travel</v>
      </c>
      <c r="D1436">
        <v>358701</v>
      </c>
      <c r="E1436" t="str">
        <f>"The School of Life."</f>
        <v>The School of Life.</v>
      </c>
      <c r="F1436" t="str">
        <f>"School of Life series"</f>
        <v>School of Life series</v>
      </c>
      <c r="G1436" t="str">
        <f>"112 p."</f>
        <v>112 p.</v>
      </c>
      <c r="H1436" s="1">
        <v>19</v>
      </c>
      <c r="I1436">
        <v>2019</v>
      </c>
      <c r="J1436" t="str">
        <f t="shared" si="165"/>
        <v>15: 900 - 919</v>
      </c>
      <c r="L1436" t="s">
        <v>2403</v>
      </c>
      <c r="M1436" t="s">
        <v>28</v>
      </c>
      <c r="N1436" t="s">
        <v>2404</v>
      </c>
      <c r="O1436">
        <v>4</v>
      </c>
      <c r="P1436" s="2">
        <v>43762</v>
      </c>
      <c r="Q1436" s="1">
        <v>20</v>
      </c>
      <c r="R1436" t="s">
        <v>3328</v>
      </c>
    </row>
    <row r="1437" spans="1:19" x14ac:dyDescent="0.2">
      <c r="A1437" t="str">
        <f t="shared" si="164"/>
        <v>Adult Nonfiction</v>
      </c>
      <c r="B1437" t="str">
        <f>"NEW 910.9 DAV"</f>
        <v>NEW 910.9 DAV</v>
      </c>
      <c r="C1437" t="str">
        <f>"A polar affair: Antarctica's forgotten hero and the secret lives of penguins"</f>
        <v>A polar affair: Antarctica's forgotten hero and the secret lives of penguins</v>
      </c>
      <c r="D1437">
        <v>358337</v>
      </c>
      <c r="E1437" t="str">
        <f>"Davis, Lloyd Spencer,"</f>
        <v>Davis, Lloyd Spencer,</v>
      </c>
      <c r="G1437" t="str">
        <f>"ix, 358 pages, 24 unnumbered pages of plates, 24 cm, illustrations (chiefly color)"</f>
        <v>ix, 358 pages, 24 unnumbered pages of plates, 24 cm, illustrations (chiefly color)</v>
      </c>
      <c r="H1437" s="1">
        <v>19</v>
      </c>
      <c r="I1437">
        <v>2019</v>
      </c>
      <c r="J1437" t="str">
        <f t="shared" si="165"/>
        <v>15: 900 - 919</v>
      </c>
      <c r="L1437" t="s">
        <v>2395</v>
      </c>
      <c r="M1437" t="s">
        <v>28</v>
      </c>
      <c r="N1437" t="s">
        <v>2396</v>
      </c>
      <c r="O1437">
        <v>1</v>
      </c>
      <c r="P1437" s="2">
        <v>43749</v>
      </c>
      <c r="Q1437" s="1">
        <v>35</v>
      </c>
      <c r="R1437" t="s">
        <v>3329</v>
      </c>
      <c r="S1437">
        <v>1119666313</v>
      </c>
    </row>
    <row r="1438" spans="1:19" x14ac:dyDescent="0.2">
      <c r="A1438" t="str">
        <f t="shared" si="164"/>
        <v>Adult Nonfiction</v>
      </c>
      <c r="B1438" t="str">
        <f>"NEW 912 WRI"</f>
        <v>NEW 912 WRI</v>
      </c>
      <c r="C1438" t="str">
        <f>"Brilliant maps for curious minds: 100 new ways to see the world"</f>
        <v>Brilliant maps for curious minds: 100 new ways to see the world</v>
      </c>
      <c r="D1438">
        <v>359182</v>
      </c>
      <c r="E1438" t="str">
        <f>"Wright, Ian."</f>
        <v>Wright, Ian.</v>
      </c>
      <c r="G1438" t="str">
        <f>"xiii, 192 pages, 24 cm, color maps"</f>
        <v>xiii, 192 pages, 24 cm, color maps</v>
      </c>
      <c r="H1438" s="1">
        <v>19</v>
      </c>
      <c r="I1438">
        <v>2019</v>
      </c>
      <c r="J1438" t="str">
        <f t="shared" si="165"/>
        <v>15: 900 - 919</v>
      </c>
      <c r="L1438" t="s">
        <v>2395</v>
      </c>
      <c r="M1438" t="s">
        <v>28</v>
      </c>
      <c r="N1438" t="s">
        <v>2404</v>
      </c>
      <c r="O1438">
        <v>1</v>
      </c>
      <c r="P1438" s="2">
        <v>43782</v>
      </c>
      <c r="Q1438" s="1">
        <v>25</v>
      </c>
      <c r="R1438" t="s">
        <v>3330</v>
      </c>
      <c r="S1438">
        <v>1121421879</v>
      </c>
    </row>
    <row r="1439" spans="1:19" x14ac:dyDescent="0.2">
      <c r="A1439" t="str">
        <f t="shared" si="164"/>
        <v>Adult Nonfiction</v>
      </c>
      <c r="B1439" t="str">
        <f>"NEW 915.2 IYE"</f>
        <v>NEW 915.2 IYE</v>
      </c>
      <c r="C1439" t="str">
        <f>"A beginner's guide to Japan: observations and provocations"</f>
        <v>A beginner's guide to Japan: observations and provocations</v>
      </c>
      <c r="D1439">
        <v>358097</v>
      </c>
      <c r="E1439" t="str">
        <f>"Iyer, Pico."</f>
        <v>Iyer, Pico.</v>
      </c>
      <c r="G1439" t="str">
        <f>"ix, 219 pages, 19 cm"</f>
        <v>ix, 219 pages, 19 cm</v>
      </c>
      <c r="H1439" s="1">
        <v>19</v>
      </c>
      <c r="I1439">
        <v>2019</v>
      </c>
      <c r="J1439" t="str">
        <f t="shared" si="165"/>
        <v>15: 900 - 919</v>
      </c>
      <c r="L1439" t="s">
        <v>2395</v>
      </c>
      <c r="M1439" t="s">
        <v>28</v>
      </c>
      <c r="N1439" t="s">
        <v>2396</v>
      </c>
      <c r="O1439">
        <v>5</v>
      </c>
      <c r="P1439" s="2">
        <v>43740</v>
      </c>
      <c r="Q1439" s="1">
        <v>30</v>
      </c>
      <c r="R1439" t="s">
        <v>3331</v>
      </c>
      <c r="S1439">
        <v>1049576033</v>
      </c>
    </row>
    <row r="1440" spans="1:19" x14ac:dyDescent="0.2">
      <c r="A1440" t="str">
        <f t="shared" si="164"/>
        <v>Adult Nonfiction</v>
      </c>
      <c r="B1440" t="str">
        <f>"NEW 920 BRI"</f>
        <v>NEW 920 BRI</v>
      </c>
      <c r="C1440" t="str">
        <f>"The Cartiers: the untold story of the family behind the jewelry empire"</f>
        <v>The Cartiers: the untold story of the family behind the jewelry empire</v>
      </c>
      <c r="D1440">
        <v>359546</v>
      </c>
      <c r="E1440" t="str">
        <f>"Brickell, Francesca Cartier"</f>
        <v>Brickell, Francesca Cartier</v>
      </c>
      <c r="G1440" t="str">
        <f>"xxiv, 625 pages, 16 unnumbered pages of plates, 25 cm, illustrations (some color), genealogical table"</f>
        <v>xxiv, 625 pages, 16 unnumbered pages of plates, 25 cm, illustrations (some color), genealogical table</v>
      </c>
      <c r="H1440" s="1">
        <v>19</v>
      </c>
      <c r="I1440">
        <v>2019</v>
      </c>
      <c r="J1440" t="str">
        <f t="shared" ref="J1440:J1473" si="166">"16: 920 - 929"</f>
        <v>16: 920 - 929</v>
      </c>
      <c r="L1440" t="s">
        <v>2395</v>
      </c>
      <c r="M1440" t="s">
        <v>28</v>
      </c>
      <c r="N1440" t="s">
        <v>2404</v>
      </c>
      <c r="O1440">
        <v>3</v>
      </c>
      <c r="P1440" s="2">
        <v>43802</v>
      </c>
      <c r="Q1440" s="1">
        <v>40</v>
      </c>
      <c r="R1440" t="s">
        <v>3332</v>
      </c>
      <c r="S1440">
        <v>1127567142</v>
      </c>
    </row>
    <row r="1441" spans="1:19" x14ac:dyDescent="0.2">
      <c r="A1441" t="str">
        <f t="shared" si="164"/>
        <v>Adult Nonfiction</v>
      </c>
      <c r="B1441" t="str">
        <f>"NEW 920 BRO"</f>
        <v>NEW 920 BRO</v>
      </c>
      <c r="C1441" t="str">
        <f>"The yellow house"</f>
        <v>The yellow house</v>
      </c>
      <c r="D1441">
        <v>356868</v>
      </c>
      <c r="E1441" t="str">
        <f>"Broom, Sarah M"</f>
        <v>Broom, Sarah M</v>
      </c>
      <c r="G1441" t="str">
        <f>"376 pages, 24 cm, illustrations"</f>
        <v>376 pages, 24 cm, illustrations</v>
      </c>
      <c r="H1441" s="1">
        <v>19</v>
      </c>
      <c r="I1441">
        <v>2019</v>
      </c>
      <c r="J1441" t="str">
        <f t="shared" si="166"/>
        <v>16: 920 - 929</v>
      </c>
      <c r="L1441" t="s">
        <v>2395</v>
      </c>
      <c r="M1441" t="s">
        <v>28</v>
      </c>
      <c r="N1441" t="str">
        <f>"Reserve Cart"</f>
        <v>Reserve Cart</v>
      </c>
      <c r="O1441">
        <v>12</v>
      </c>
      <c r="P1441" s="2">
        <v>43691</v>
      </c>
      <c r="Q1441" s="1">
        <v>31</v>
      </c>
      <c r="R1441" t="s">
        <v>3333</v>
      </c>
      <c r="S1441">
        <v>1057862027</v>
      </c>
    </row>
    <row r="1442" spans="1:19" x14ac:dyDescent="0.2">
      <c r="A1442" t="str">
        <f t="shared" si="164"/>
        <v>Adult Nonfiction</v>
      </c>
      <c r="B1442" t="str">
        <f>"NEW 920 BRO"</f>
        <v>NEW 920 BRO</v>
      </c>
      <c r="C1442" t="str">
        <f>"The yellow house"</f>
        <v>The yellow house</v>
      </c>
      <c r="D1442">
        <v>360259</v>
      </c>
      <c r="E1442" t="str">
        <f>"Broom, Sarah M"</f>
        <v>Broom, Sarah M</v>
      </c>
      <c r="G1442" t="str">
        <f>"376 pages, 24 cm, illustrations"</f>
        <v>376 pages, 24 cm, illustrations</v>
      </c>
      <c r="H1442" s="1">
        <v>19</v>
      </c>
      <c r="I1442">
        <v>2019</v>
      </c>
      <c r="J1442" t="str">
        <f t="shared" si="166"/>
        <v>16: 920 - 929</v>
      </c>
      <c r="L1442" t="s">
        <v>2395</v>
      </c>
      <c r="M1442" t="s">
        <v>28</v>
      </c>
      <c r="N1442" t="s">
        <v>2404</v>
      </c>
      <c r="O1442">
        <v>1</v>
      </c>
      <c r="P1442" s="2">
        <v>43844</v>
      </c>
      <c r="Q1442" s="1">
        <v>31</v>
      </c>
      <c r="R1442" t="s">
        <v>3333</v>
      </c>
      <c r="S1442">
        <v>1057862027</v>
      </c>
    </row>
    <row r="1443" spans="1:19" x14ac:dyDescent="0.2">
      <c r="A1443" t="str">
        <f t="shared" si="164"/>
        <v>Adult Nonfiction</v>
      </c>
      <c r="B1443" t="str">
        <f>"NEW 920 BRO"</f>
        <v>NEW 920 BRO</v>
      </c>
      <c r="C1443" t="str">
        <f>"The yellow house"</f>
        <v>The yellow house</v>
      </c>
      <c r="D1443">
        <v>360663</v>
      </c>
      <c r="E1443" t="str">
        <f>"Broom, Sarah M"</f>
        <v>Broom, Sarah M</v>
      </c>
      <c r="G1443" t="str">
        <f>"376 pages, 24 cm, illustrations"</f>
        <v>376 pages, 24 cm, illustrations</v>
      </c>
      <c r="H1443" s="1">
        <v>20</v>
      </c>
      <c r="I1443">
        <v>2019</v>
      </c>
      <c r="J1443" t="str">
        <f t="shared" si="166"/>
        <v>16: 920 - 929</v>
      </c>
      <c r="L1443" t="s">
        <v>2395</v>
      </c>
      <c r="M1443" t="s">
        <v>28</v>
      </c>
      <c r="N1443" t="str">
        <f>"Reserve Cart"</f>
        <v>Reserve Cart</v>
      </c>
      <c r="O1443">
        <v>0</v>
      </c>
      <c r="P1443" s="2">
        <v>43858</v>
      </c>
      <c r="Q1443" s="1">
        <v>31</v>
      </c>
      <c r="R1443" t="s">
        <v>3333</v>
      </c>
      <c r="S1443">
        <v>1057862027</v>
      </c>
    </row>
    <row r="1444" spans="1:19" x14ac:dyDescent="0.2">
      <c r="A1444" t="str">
        <f t="shared" si="164"/>
        <v>Adult Nonfiction</v>
      </c>
      <c r="B1444" t="str">
        <f>"NEW 920 BRU"</f>
        <v>NEW 920 BRU</v>
      </c>
      <c r="C1444" t="str">
        <f>"Race of aces: WWII's elite airmen and the epic battle to become the masters of the sky"</f>
        <v>Race of aces: WWII's elite airmen and the epic battle to become the masters of the sky</v>
      </c>
      <c r="D1444">
        <v>360447</v>
      </c>
      <c r="E1444" t="str">
        <f>"Bruning, John R."</f>
        <v>Bruning, John R.</v>
      </c>
      <c r="G1444" t="str">
        <f>"xxii, 522 pages, 8 unnumbered pages of plates, 24 cm, illustrations"</f>
        <v>xxii, 522 pages, 8 unnumbered pages of plates, 24 cm, illustrations</v>
      </c>
      <c r="H1444" s="1">
        <v>20</v>
      </c>
      <c r="I1444">
        <v>2020</v>
      </c>
      <c r="J1444" t="str">
        <f t="shared" si="166"/>
        <v>16: 920 - 929</v>
      </c>
      <c r="L1444" t="s">
        <v>2395</v>
      </c>
      <c r="M1444" t="s">
        <v>28</v>
      </c>
      <c r="N1444" t="str">
        <f>"Reserve Cart"</f>
        <v>Reserve Cart</v>
      </c>
      <c r="O1444">
        <v>0</v>
      </c>
      <c r="P1444" s="2">
        <v>43851</v>
      </c>
      <c r="Q1444" s="1">
        <v>35</v>
      </c>
      <c r="R1444" t="s">
        <v>3334</v>
      </c>
      <c r="S1444">
        <v>1134577484</v>
      </c>
    </row>
    <row r="1445" spans="1:19" x14ac:dyDescent="0.2">
      <c r="A1445" t="str">
        <f t="shared" si="164"/>
        <v>Adult Nonfiction</v>
      </c>
      <c r="B1445" t="str">
        <f>"NEW 920 CHA"</f>
        <v>NEW 920 CHA</v>
      </c>
      <c r="C1445" t="str">
        <f>"Big sister, little sister, red sister: three women at the heart of twentieth-century China"</f>
        <v>Big sister, little sister, red sister: three women at the heart of twentieth-century China</v>
      </c>
      <c r="D1445">
        <v>358857</v>
      </c>
      <c r="E1445" t="str">
        <f>"Chang, Jung"</f>
        <v>Chang, Jung</v>
      </c>
      <c r="G1445" t="str">
        <f>"xx, 374 pages, 25 cm, illustrations (some color), map"</f>
        <v>xx, 374 pages, 25 cm, illustrations (some color), map</v>
      </c>
      <c r="H1445" s="1">
        <v>19</v>
      </c>
      <c r="I1445">
        <v>2019</v>
      </c>
      <c r="J1445" t="str">
        <f t="shared" si="166"/>
        <v>16: 920 - 929</v>
      </c>
      <c r="L1445" t="s">
        <v>2403</v>
      </c>
      <c r="M1445" t="s">
        <v>28</v>
      </c>
      <c r="N1445" t="s">
        <v>2396</v>
      </c>
      <c r="O1445">
        <v>2</v>
      </c>
      <c r="P1445" s="2">
        <v>43769</v>
      </c>
      <c r="Q1445" s="1">
        <v>35</v>
      </c>
      <c r="R1445" t="s">
        <v>3335</v>
      </c>
      <c r="S1445">
        <v>1123192741</v>
      </c>
    </row>
    <row r="1446" spans="1:19" x14ac:dyDescent="0.2">
      <c r="A1446" t="str">
        <f t="shared" si="164"/>
        <v>Adult Nonfiction</v>
      </c>
      <c r="B1446" t="str">
        <f>"NEW 920 CLI"</f>
        <v>NEW 920 CLI</v>
      </c>
      <c r="C1446" t="str">
        <f>"The book of gutsy women: favorite stories of courage and resilience"</f>
        <v>The book of gutsy women: favorite stories of courage and resilience</v>
      </c>
      <c r="D1446">
        <v>358467</v>
      </c>
      <c r="E1446" t="str">
        <f>"Clinton, Hillary Rodham"</f>
        <v>Clinton, Hillary Rodham</v>
      </c>
      <c r="G1446" t="str">
        <f>"xii, 450 pages, 24 cm, illustrations (some color)"</f>
        <v>xii, 450 pages, 24 cm, illustrations (some color)</v>
      </c>
      <c r="H1446" s="1">
        <v>19</v>
      </c>
      <c r="I1446">
        <v>2019</v>
      </c>
      <c r="J1446" t="str">
        <f t="shared" si="166"/>
        <v>16: 920 - 929</v>
      </c>
      <c r="L1446" t="s">
        <v>2395</v>
      </c>
      <c r="M1446" t="s">
        <v>28</v>
      </c>
      <c r="N1446" t="s">
        <v>2404</v>
      </c>
      <c r="O1446">
        <v>5</v>
      </c>
      <c r="P1446" s="2">
        <v>43753</v>
      </c>
      <c r="Q1446" s="1">
        <v>40</v>
      </c>
      <c r="R1446" t="s">
        <v>3336</v>
      </c>
      <c r="S1446">
        <v>1117451387</v>
      </c>
    </row>
    <row r="1447" spans="1:19" x14ac:dyDescent="0.2">
      <c r="A1447" t="str">
        <f t="shared" si="164"/>
        <v>Adult Nonfiction</v>
      </c>
      <c r="B1447" t="str">
        <f>"NEW 920 DKL"</f>
        <v>NEW 920 DKL</v>
      </c>
      <c r="C1447" t="str">
        <f>"Scientists who changed history"</f>
        <v>Scientists who changed history</v>
      </c>
      <c r="D1447">
        <v>357860</v>
      </c>
      <c r="E1447" t="str">
        <f>"Dorling Kindersley Publishing, Inc"</f>
        <v>Dorling Kindersley Publishing, Inc</v>
      </c>
      <c r="G1447" t="str">
        <f>"320 p., 24 cm, illustrations"</f>
        <v>320 p., 24 cm, illustrations</v>
      </c>
      <c r="H1447" s="1">
        <v>19</v>
      </c>
      <c r="I1447">
        <v>2019</v>
      </c>
      <c r="J1447" t="str">
        <f t="shared" si="166"/>
        <v>16: 920 - 929</v>
      </c>
      <c r="L1447" t="s">
        <v>2395</v>
      </c>
      <c r="M1447" t="s">
        <v>28</v>
      </c>
      <c r="N1447" t="s">
        <v>2404</v>
      </c>
      <c r="O1447">
        <v>2</v>
      </c>
      <c r="P1447" s="2">
        <v>43731</v>
      </c>
      <c r="Q1447" s="1">
        <v>30</v>
      </c>
      <c r="R1447" t="s">
        <v>3337</v>
      </c>
      <c r="S1447">
        <v>1119537656</v>
      </c>
    </row>
    <row r="1448" spans="1:19" x14ac:dyDescent="0.2">
      <c r="A1448" t="str">
        <f t="shared" si="164"/>
        <v>Adult Nonfiction</v>
      </c>
      <c r="B1448" t="str">
        <f>"NEW 920 GUI"</f>
        <v>NEW 920 GUI</v>
      </c>
      <c r="C1448" t="str">
        <f>"The vagabonds: the story of Henry Ford and Thomas Edison's ten-year road trip"</f>
        <v>The vagabonds: the story of Henry Ford and Thomas Edison's ten-year road trip</v>
      </c>
      <c r="D1448">
        <v>356083</v>
      </c>
      <c r="E1448" t="str">
        <f>"Guinn, Jeff"</f>
        <v>Guinn, Jeff</v>
      </c>
      <c r="G1448" t="str">
        <f>"306 pages, 16 unnumbered pages of plates, 24 cm, illustrations"</f>
        <v>306 pages, 16 unnumbered pages of plates, 24 cm, illustrations</v>
      </c>
      <c r="H1448" s="1">
        <v>19</v>
      </c>
      <c r="I1448">
        <v>2019</v>
      </c>
      <c r="J1448" t="str">
        <f t="shared" si="166"/>
        <v>16: 920 - 929</v>
      </c>
      <c r="L1448" t="s">
        <v>2395</v>
      </c>
      <c r="M1448" t="s">
        <v>28</v>
      </c>
      <c r="N1448" t="s">
        <v>2401</v>
      </c>
      <c r="O1448">
        <v>7</v>
      </c>
      <c r="P1448" s="2">
        <v>43655</v>
      </c>
      <c r="Q1448" s="1">
        <v>33</v>
      </c>
      <c r="R1448" t="s">
        <v>3338</v>
      </c>
      <c r="S1448">
        <v>1056741043</v>
      </c>
    </row>
    <row r="1449" spans="1:19" x14ac:dyDescent="0.2">
      <c r="A1449" t="str">
        <f t="shared" si="164"/>
        <v>Adult Nonfiction</v>
      </c>
      <c r="B1449" t="str">
        <f>"NEW 920 GUT"</f>
        <v>NEW 920 GUT</v>
      </c>
      <c r="C1449" t="str">
        <f>"Alpha girls: the women upstarts who took on Silicon Valley's male culture and made the deals of a lifetime"</f>
        <v>Alpha girls: the women upstarts who took on Silicon Valley's male culture and made the deals of a lifetime</v>
      </c>
      <c r="D1449">
        <v>357546</v>
      </c>
      <c r="E1449" t="str">
        <f>"Guthrie, Julian"</f>
        <v>Guthrie, Julian</v>
      </c>
      <c r="G1449" t="str">
        <f>"289 pages, 8 unnumbered pages of plates, 25 cm, illustrations (some color)"</f>
        <v>289 pages, 8 unnumbered pages of plates, 25 cm, illustrations (some color)</v>
      </c>
      <c r="H1449" s="1">
        <v>19</v>
      </c>
      <c r="I1449">
        <v>2019</v>
      </c>
      <c r="J1449" t="str">
        <f t="shared" si="166"/>
        <v>16: 920 - 929</v>
      </c>
      <c r="L1449" t="s">
        <v>2395</v>
      </c>
      <c r="M1449" t="s">
        <v>28</v>
      </c>
      <c r="N1449" t="s">
        <v>2396</v>
      </c>
      <c r="O1449">
        <v>0</v>
      </c>
      <c r="P1449" s="2">
        <v>43719</v>
      </c>
      <c r="Q1449" s="1">
        <v>33</v>
      </c>
      <c r="R1449" t="s">
        <v>3339</v>
      </c>
      <c r="S1449">
        <v>1080554780</v>
      </c>
    </row>
    <row r="1450" spans="1:19" x14ac:dyDescent="0.2">
      <c r="A1450" t="str">
        <f t="shared" si="164"/>
        <v>Adult Nonfiction</v>
      </c>
      <c r="B1450" t="str">
        <f>"NEW 920 HOL"</f>
        <v>NEW 920 HOL</v>
      </c>
      <c r="C1450" t="str">
        <f>"The queens of animation: the untold story of the women who transformed the world of Disney and made cinematic history"</f>
        <v>The queens of animation: the untold story of the women who transformed the world of Disney and made cinematic history</v>
      </c>
      <c r="D1450">
        <v>359048</v>
      </c>
      <c r="E1450" t="str">
        <f>"Holt, Nathalia,"</f>
        <v>Holt, Nathalia,</v>
      </c>
      <c r="G1450" t="str">
        <f>"xiv, 379 pages, 25 cm, illustrations (some color)"</f>
        <v>xiv, 379 pages, 25 cm, illustrations (some color)</v>
      </c>
      <c r="H1450" s="1">
        <v>19</v>
      </c>
      <c r="I1450">
        <v>2019</v>
      </c>
      <c r="J1450" t="str">
        <f t="shared" si="166"/>
        <v>16: 920 - 929</v>
      </c>
      <c r="L1450" t="s">
        <v>2403</v>
      </c>
      <c r="M1450" t="s">
        <v>28</v>
      </c>
      <c r="N1450" t="s">
        <v>2404</v>
      </c>
      <c r="O1450">
        <v>2</v>
      </c>
      <c r="P1450" s="2">
        <v>43776</v>
      </c>
      <c r="Q1450" s="1">
        <v>34</v>
      </c>
      <c r="R1450" t="s">
        <v>3340</v>
      </c>
      <c r="S1450">
        <v>1082221954</v>
      </c>
    </row>
    <row r="1451" spans="1:19" x14ac:dyDescent="0.2">
      <c r="A1451" t="str">
        <f t="shared" si="164"/>
        <v>Adult Nonfiction</v>
      </c>
      <c r="B1451" t="str">
        <f>"NEW 920 KIN"</f>
        <v>NEW 920 KIN</v>
      </c>
      <c r="C1451" t="str">
        <f>"Gods of the upper air: how a circle of renegade anthropologists reinvented race, sex, and gender in the twentieth century"</f>
        <v>Gods of the upper air: how a circle of renegade anthropologists reinvented race, sex, and gender in the twentieth century</v>
      </c>
      <c r="D1451">
        <v>356823</v>
      </c>
      <c r="E1451" t="str">
        <f>"King, Charles,"</f>
        <v>King, Charles,</v>
      </c>
      <c r="G1451" t="str">
        <f>"xii, 431 pages, 25 cm, illustrations"</f>
        <v>xii, 431 pages, 25 cm, illustrations</v>
      </c>
      <c r="H1451" s="1">
        <v>19</v>
      </c>
      <c r="I1451">
        <v>2019</v>
      </c>
      <c r="J1451" t="str">
        <f t="shared" si="166"/>
        <v>16: 920 - 929</v>
      </c>
      <c r="L1451" t="s">
        <v>2403</v>
      </c>
      <c r="M1451" t="s">
        <v>28</v>
      </c>
      <c r="N1451" t="s">
        <v>2404</v>
      </c>
      <c r="O1451">
        <v>7</v>
      </c>
      <c r="P1451" s="2">
        <v>43691</v>
      </c>
      <c r="Q1451" s="1">
        <v>35</v>
      </c>
      <c r="R1451" t="s">
        <v>3341</v>
      </c>
      <c r="S1451">
        <v>1109765676</v>
      </c>
    </row>
    <row r="1452" spans="1:19" x14ac:dyDescent="0.2">
      <c r="A1452" t="str">
        <f t="shared" si="164"/>
        <v>Adult Nonfiction</v>
      </c>
      <c r="B1452" t="str">
        <f>"NEW 920 LEB"</f>
        <v>NEW 920 LEB</v>
      </c>
      <c r="C1452" t="str">
        <f>"Genius &amp; anxiety: how Jews changed the world, 1847-1947"</f>
        <v>Genius &amp; anxiety: how Jews changed the world, 1847-1947</v>
      </c>
      <c r="D1452">
        <v>360204</v>
      </c>
      <c r="E1452" t="str">
        <f>"Lebrecht, Norman,"</f>
        <v>Lebrecht, Norman,</v>
      </c>
      <c r="G1452" t="str">
        <f>"xix, 438 pages, 24 cm, illustrations"</f>
        <v>xix, 438 pages, 24 cm, illustrations</v>
      </c>
      <c r="H1452" s="1">
        <v>19</v>
      </c>
      <c r="I1452">
        <v>2019</v>
      </c>
      <c r="J1452" t="str">
        <f t="shared" si="166"/>
        <v>16: 920 - 929</v>
      </c>
      <c r="L1452" t="s">
        <v>2395</v>
      </c>
      <c r="M1452" t="s">
        <v>28</v>
      </c>
      <c r="N1452" t="s">
        <v>2396</v>
      </c>
      <c r="O1452">
        <v>0</v>
      </c>
      <c r="P1452" s="2">
        <v>43844</v>
      </c>
      <c r="Q1452" s="1">
        <v>35</v>
      </c>
      <c r="R1452" t="s">
        <v>3342</v>
      </c>
      <c r="S1452">
        <v>1082542106</v>
      </c>
    </row>
    <row r="1453" spans="1:19" x14ac:dyDescent="0.2">
      <c r="A1453" t="str">
        <f t="shared" si="164"/>
        <v>Adult Nonfiction</v>
      </c>
      <c r="B1453" t="str">
        <f>"NEW 920 OLS"</f>
        <v>NEW 920 OLS</v>
      </c>
      <c r="C1453" t="str">
        <f>"The Weil conjectures: on math and the pursuit of the unknown"</f>
        <v>The Weil conjectures: on math and the pursuit of the unknown</v>
      </c>
      <c r="D1453">
        <v>356689</v>
      </c>
      <c r="E1453" t="str">
        <f>"Olsson, Karen"</f>
        <v>Olsson, Karen</v>
      </c>
      <c r="G1453" t="str">
        <f>"214 p., 22 cm"</f>
        <v>214 p., 22 cm</v>
      </c>
      <c r="H1453" s="1">
        <v>19</v>
      </c>
      <c r="I1453">
        <v>2019</v>
      </c>
      <c r="J1453" t="str">
        <f t="shared" si="166"/>
        <v>16: 920 - 929</v>
      </c>
      <c r="L1453" t="s">
        <v>2403</v>
      </c>
      <c r="M1453" t="s">
        <v>28</v>
      </c>
      <c r="N1453" t="s">
        <v>2404</v>
      </c>
      <c r="O1453">
        <v>3</v>
      </c>
      <c r="P1453" s="2">
        <v>43689</v>
      </c>
      <c r="Q1453" s="1">
        <v>31</v>
      </c>
      <c r="R1453" t="s">
        <v>3343</v>
      </c>
      <c r="S1453">
        <v>1107699403</v>
      </c>
    </row>
    <row r="1454" spans="1:19" x14ac:dyDescent="0.2">
      <c r="A1454" t="str">
        <f t="shared" si="164"/>
        <v>Adult Nonfiction</v>
      </c>
      <c r="B1454" t="str">
        <f>"NEW 920 QUI"</f>
        <v>NEW 920 QUI</v>
      </c>
      <c r="C1454" t="str">
        <f>"High school"</f>
        <v>High school</v>
      </c>
      <c r="D1454">
        <v>357897</v>
      </c>
      <c r="E1454" t="str">
        <f>"Quin, Sara"</f>
        <v>Quin, Sara</v>
      </c>
      <c r="G1454" t="str">
        <f>"ix, 369 pages, 22 cm, illustrations"</f>
        <v>ix, 369 pages, 22 cm, illustrations</v>
      </c>
      <c r="H1454" s="1">
        <v>19</v>
      </c>
      <c r="I1454">
        <v>2019</v>
      </c>
      <c r="J1454" t="str">
        <f t="shared" si="166"/>
        <v>16: 920 - 929</v>
      </c>
      <c r="L1454" t="s">
        <v>2403</v>
      </c>
      <c r="M1454" t="s">
        <v>28</v>
      </c>
      <c r="N1454" t="s">
        <v>2396</v>
      </c>
      <c r="O1454">
        <v>0</v>
      </c>
      <c r="P1454" s="2">
        <v>43733</v>
      </c>
      <c r="Q1454" s="1">
        <v>32</v>
      </c>
      <c r="R1454" t="s">
        <v>3344</v>
      </c>
      <c r="S1454">
        <v>1091235845</v>
      </c>
    </row>
    <row r="1455" spans="1:19" x14ac:dyDescent="0.2">
      <c r="A1455" t="str">
        <f t="shared" si="164"/>
        <v>Adult Nonfiction</v>
      </c>
      <c r="B1455" t="str">
        <f>"NEW 920 ROC"</f>
        <v>NEW 920 ROC</v>
      </c>
      <c r="C1455" t="str">
        <f>"Mobituaries: great lives worth reliving"</f>
        <v>Mobituaries: great lives worth reliving</v>
      </c>
      <c r="D1455">
        <v>359037</v>
      </c>
      <c r="E1455" t="str">
        <f>"Rocca, Mo"</f>
        <v>Rocca, Mo</v>
      </c>
      <c r="G1455" t="str">
        <f>"375 pages, 24 cm, illustrations"</f>
        <v>375 pages, 24 cm, illustrations</v>
      </c>
      <c r="H1455" s="1">
        <v>19</v>
      </c>
      <c r="I1455">
        <v>2019</v>
      </c>
      <c r="J1455" t="str">
        <f t="shared" si="166"/>
        <v>16: 920 - 929</v>
      </c>
      <c r="L1455" t="s">
        <v>2395</v>
      </c>
      <c r="M1455" t="s">
        <v>28</v>
      </c>
      <c r="N1455" t="s">
        <v>2404</v>
      </c>
      <c r="O1455">
        <v>4</v>
      </c>
      <c r="P1455" s="2">
        <v>43776</v>
      </c>
      <c r="Q1455" s="1">
        <v>35</v>
      </c>
      <c r="R1455" t="s">
        <v>3345</v>
      </c>
      <c r="S1455">
        <v>1085151822</v>
      </c>
    </row>
    <row r="1456" spans="1:19" x14ac:dyDescent="0.2">
      <c r="A1456" t="str">
        <f t="shared" si="164"/>
        <v>Adult Nonfiction</v>
      </c>
      <c r="B1456" t="str">
        <f>"NEW 921 ABB"</f>
        <v>NEW 921 ABB</v>
      </c>
      <c r="C1456" t="str">
        <f>"The astronaut maker: how one mysterious engineer ran human spaceflight for a generation"</f>
        <v>The astronaut maker: how one mysterious engineer ran human spaceflight for a generation</v>
      </c>
      <c r="D1456">
        <v>357493</v>
      </c>
      <c r="E1456" t="str">
        <f>"Cassutt, Michael"</f>
        <v>Cassutt, Michael</v>
      </c>
      <c r="G1456" t="str">
        <f>"xix, 460 pages, 24 cm"</f>
        <v>xix, 460 pages, 24 cm</v>
      </c>
      <c r="H1456" s="1">
        <v>19</v>
      </c>
      <c r="I1456">
        <v>2018</v>
      </c>
      <c r="J1456" t="str">
        <f t="shared" si="166"/>
        <v>16: 920 - 929</v>
      </c>
      <c r="L1456" t="s">
        <v>2395</v>
      </c>
      <c r="M1456" t="s">
        <v>28</v>
      </c>
      <c r="N1456" t="s">
        <v>2404</v>
      </c>
      <c r="O1456">
        <v>3</v>
      </c>
      <c r="P1456" s="2">
        <v>43719</v>
      </c>
      <c r="Q1456" s="1">
        <v>35</v>
      </c>
      <c r="R1456" t="s">
        <v>3346</v>
      </c>
      <c r="S1456">
        <v>1005188277</v>
      </c>
    </row>
    <row r="1457" spans="1:19" x14ac:dyDescent="0.2">
      <c r="A1457" t="str">
        <f t="shared" si="164"/>
        <v>Adult Nonfiction</v>
      </c>
      <c r="B1457" t="str">
        <f>"NEW 921 ADA"</f>
        <v>NEW 921 ADA</v>
      </c>
      <c r="C1457" t="str">
        <f>"My life, my fight: rising up from New Zealand to the OKC Thunder"</f>
        <v>My life, my fight: rising up from New Zealand to the OKC Thunder</v>
      </c>
      <c r="D1457">
        <v>360666</v>
      </c>
      <c r="E1457" t="str">
        <f>"Adams, Steven,"</f>
        <v>Adams, Steven,</v>
      </c>
      <c r="G1457" t="str">
        <f>"272 pages, 23 cm, illustrations"</f>
        <v>272 pages, 23 cm, illustrations</v>
      </c>
      <c r="H1457" s="1">
        <v>20</v>
      </c>
      <c r="I1457">
        <v>2018</v>
      </c>
      <c r="J1457" t="str">
        <f t="shared" si="166"/>
        <v>16: 920 - 929</v>
      </c>
      <c r="L1457" t="s">
        <v>2395</v>
      </c>
      <c r="M1457" t="s">
        <v>28</v>
      </c>
      <c r="N1457" t="s">
        <v>2495</v>
      </c>
      <c r="O1457">
        <v>0</v>
      </c>
      <c r="P1457" s="2">
        <v>43858</v>
      </c>
      <c r="Q1457" s="1">
        <v>32</v>
      </c>
      <c r="R1457" t="s">
        <v>3347</v>
      </c>
      <c r="S1457">
        <v>1048943143</v>
      </c>
    </row>
    <row r="1458" spans="1:19" x14ac:dyDescent="0.2">
      <c r="A1458" t="str">
        <f t="shared" si="164"/>
        <v>Adult Nonfiction</v>
      </c>
      <c r="B1458" t="str">
        <f>"NEW 921 ALB"</f>
        <v>NEW 921 ALB</v>
      </c>
      <c r="C1458" t="str">
        <f>"Finding Chika: a little girl, an earthquake, and the making of a family"</f>
        <v>Finding Chika: a little girl, an earthquake, and the making of a family</v>
      </c>
      <c r="D1458">
        <v>359189</v>
      </c>
      <c r="E1458" t="str">
        <f>"Albom, Mitch"</f>
        <v>Albom, Mitch</v>
      </c>
      <c r="G1458" t="str">
        <f>"243 p., 19 cm, illustrations"</f>
        <v>243 p., 19 cm, illustrations</v>
      </c>
      <c r="H1458" s="1">
        <v>19</v>
      </c>
      <c r="I1458">
        <v>2019</v>
      </c>
      <c r="J1458" t="str">
        <f t="shared" si="166"/>
        <v>16: 920 - 929</v>
      </c>
      <c r="L1458" t="s">
        <v>2395</v>
      </c>
      <c r="M1458" t="s">
        <v>28</v>
      </c>
      <c r="N1458" t="s">
        <v>2404</v>
      </c>
      <c r="O1458">
        <v>4</v>
      </c>
      <c r="P1458" s="2">
        <v>43782</v>
      </c>
      <c r="Q1458" s="1">
        <v>30</v>
      </c>
      <c r="R1458" t="s">
        <v>3348</v>
      </c>
      <c r="S1458">
        <v>1088521633</v>
      </c>
    </row>
    <row r="1459" spans="1:19" x14ac:dyDescent="0.2">
      <c r="A1459" t="str">
        <f t="shared" si="164"/>
        <v>Adult Nonfiction</v>
      </c>
      <c r="B1459" t="str">
        <f>"NEW 921 ALB"</f>
        <v>NEW 921 ALB</v>
      </c>
      <c r="C1459" t="str">
        <f>"Prince Albert: the man who saved the monarchy"</f>
        <v>Prince Albert: the man who saved the monarchy</v>
      </c>
      <c r="D1459">
        <v>357422</v>
      </c>
      <c r="E1459" t="str">
        <f>"Wilson, A N."</f>
        <v>Wilson, A N.</v>
      </c>
      <c r="G1459" t="str">
        <f>"390 p."</f>
        <v>390 p.</v>
      </c>
      <c r="H1459" s="1">
        <v>19</v>
      </c>
      <c r="I1459">
        <v>2019</v>
      </c>
      <c r="J1459" t="str">
        <f t="shared" si="166"/>
        <v>16: 920 - 929</v>
      </c>
      <c r="L1459" t="s">
        <v>2403</v>
      </c>
      <c r="M1459" t="s">
        <v>28</v>
      </c>
      <c r="N1459" t="s">
        <v>2396</v>
      </c>
      <c r="O1459">
        <v>1</v>
      </c>
      <c r="P1459" s="2">
        <v>43718</v>
      </c>
      <c r="Q1459" s="1">
        <v>40</v>
      </c>
      <c r="R1459" t="s">
        <v>3349</v>
      </c>
      <c r="S1459">
        <v>1063759335</v>
      </c>
    </row>
    <row r="1460" spans="1:19" x14ac:dyDescent="0.2">
      <c r="A1460" t="str">
        <f t="shared" si="164"/>
        <v>Adult Nonfiction</v>
      </c>
      <c r="B1460" t="str">
        <f>"NEW 921 ALT"</f>
        <v>NEW 921 ALT</v>
      </c>
      <c r="C1460" t="str">
        <f>"I will never see the world again: the memoir of an imprisoned writer"</f>
        <v>I will never see the world again: the memoir of an imprisoned writer</v>
      </c>
      <c r="D1460">
        <v>358702</v>
      </c>
      <c r="E1460" t="str">
        <f>"Altan, Ahmet"</f>
        <v>Altan, Ahmet</v>
      </c>
      <c r="G1460" t="str">
        <f>"xi, 211 pages, 21 cm"</f>
        <v>xi, 211 pages, 21 cm</v>
      </c>
      <c r="H1460" s="1">
        <v>19</v>
      </c>
      <c r="I1460">
        <v>2019</v>
      </c>
      <c r="J1460" t="str">
        <f t="shared" si="166"/>
        <v>16: 920 - 929</v>
      </c>
      <c r="L1460" t="s">
        <v>2395</v>
      </c>
      <c r="M1460" t="s">
        <v>28</v>
      </c>
      <c r="N1460" t="s">
        <v>2396</v>
      </c>
      <c r="O1460">
        <v>0</v>
      </c>
      <c r="P1460" s="2">
        <v>43762</v>
      </c>
      <c r="Q1460" s="1">
        <v>21</v>
      </c>
      <c r="R1460" t="s">
        <v>3350</v>
      </c>
      <c r="S1460">
        <v>1099540847</v>
      </c>
    </row>
    <row r="1461" spans="1:19" x14ac:dyDescent="0.2">
      <c r="A1461" t="str">
        <f t="shared" si="164"/>
        <v>Adult Nonfiction</v>
      </c>
      <c r="B1461" t="str">
        <f>"NEW 921 AND"</f>
        <v>NEW 921 AND</v>
      </c>
      <c r="C1461" t="str">
        <f>"Home work: a memoir of my Hollywood years"</f>
        <v>Home work: a memoir of my Hollywood years</v>
      </c>
      <c r="D1461">
        <v>358314</v>
      </c>
      <c r="E1461" t="str">
        <f>"Andrews, Julie"</f>
        <v>Andrews, Julie</v>
      </c>
      <c r="G1461" t="str">
        <f>"316 p."</f>
        <v>316 p.</v>
      </c>
      <c r="H1461" s="1">
        <v>19</v>
      </c>
      <c r="I1461">
        <v>2019</v>
      </c>
      <c r="J1461" t="str">
        <f t="shared" si="166"/>
        <v>16: 920 - 929</v>
      </c>
      <c r="L1461" t="s">
        <v>2395</v>
      </c>
      <c r="M1461" t="s">
        <v>28</v>
      </c>
      <c r="N1461" t="str">
        <f>"Reserve Cart"</f>
        <v>Reserve Cart</v>
      </c>
      <c r="O1461">
        <v>6</v>
      </c>
      <c r="P1461" s="2">
        <v>43749</v>
      </c>
      <c r="Q1461" s="1">
        <v>35</v>
      </c>
      <c r="R1461" t="s">
        <v>3351</v>
      </c>
      <c r="S1461">
        <v>1121191115</v>
      </c>
    </row>
    <row r="1462" spans="1:19" x14ac:dyDescent="0.2">
      <c r="A1462" t="str">
        <f t="shared" si="164"/>
        <v>Adult Nonfiction</v>
      </c>
      <c r="B1462" t="str">
        <f>"NEW 921 AND"</f>
        <v>NEW 921 AND</v>
      </c>
      <c r="C1462" t="str">
        <f>"Home work: a memoir of my Hollywood years"</f>
        <v>Home work: a memoir of my Hollywood years</v>
      </c>
      <c r="D1462">
        <v>360607</v>
      </c>
      <c r="E1462" t="str">
        <f>"Andrews, Julie"</f>
        <v>Andrews, Julie</v>
      </c>
      <c r="G1462" t="str">
        <f>"316 p."</f>
        <v>316 p.</v>
      </c>
      <c r="H1462" s="1">
        <v>20</v>
      </c>
      <c r="I1462">
        <v>2019</v>
      </c>
      <c r="J1462" t="str">
        <f t="shared" si="166"/>
        <v>16: 920 - 929</v>
      </c>
      <c r="L1462" t="s">
        <v>2395</v>
      </c>
      <c r="M1462" t="s">
        <v>28</v>
      </c>
      <c r="N1462" t="s">
        <v>2396</v>
      </c>
      <c r="O1462">
        <v>0</v>
      </c>
      <c r="P1462" s="2">
        <v>43859</v>
      </c>
      <c r="Q1462" s="1">
        <v>35</v>
      </c>
      <c r="R1462" t="s">
        <v>3351</v>
      </c>
      <c r="S1462">
        <v>1121191115</v>
      </c>
    </row>
    <row r="1463" spans="1:19" x14ac:dyDescent="0.2">
      <c r="A1463" t="str">
        <f t="shared" si="164"/>
        <v>Adult Nonfiction</v>
      </c>
      <c r="B1463" t="str">
        <f>"NEW 921 BAI"</f>
        <v>NEW 921 BAI</v>
      </c>
      <c r="C1463" t="str">
        <f>"Parisian lives: Samuel Beckett, Simone de Beauvoir, and me : a memoir"</f>
        <v>Parisian lives: Samuel Beckett, Simone de Beauvoir, and me : a memoir</v>
      </c>
      <c r="D1463">
        <v>359503</v>
      </c>
      <c r="E1463" t="str">
        <f>"Bair, Deirdre,"</f>
        <v>Bair, Deirdre,</v>
      </c>
      <c r="G1463" t="str">
        <f>"xiv, 347 p., 25 cm"</f>
        <v>xiv, 347 p., 25 cm</v>
      </c>
      <c r="H1463" s="1">
        <v>19</v>
      </c>
      <c r="I1463">
        <v>2019</v>
      </c>
      <c r="J1463" t="str">
        <f t="shared" si="166"/>
        <v>16: 920 - 929</v>
      </c>
      <c r="L1463" t="s">
        <v>2395</v>
      </c>
      <c r="M1463" t="s">
        <v>28</v>
      </c>
      <c r="N1463" t="s">
        <v>2404</v>
      </c>
      <c r="O1463">
        <v>2</v>
      </c>
      <c r="P1463" s="2">
        <v>43802</v>
      </c>
      <c r="Q1463" s="1">
        <v>35</v>
      </c>
      <c r="R1463" t="s">
        <v>3352</v>
      </c>
      <c r="S1463">
        <v>1086566104</v>
      </c>
    </row>
    <row r="1464" spans="1:19" x14ac:dyDescent="0.2">
      <c r="A1464" t="str">
        <f t="shared" si="164"/>
        <v>Adult Nonfiction</v>
      </c>
      <c r="B1464" t="str">
        <f>"NEW 921 BAL"</f>
        <v>NEW 921 BAL</v>
      </c>
      <c r="C1464" t="str">
        <f>"James Baldwin: living in fire"</f>
        <v>James Baldwin: living in fire</v>
      </c>
      <c r="D1464">
        <v>358544</v>
      </c>
      <c r="E1464" t="str">
        <f>"Mullen, Bill,"</f>
        <v>Mullen, Bill,</v>
      </c>
      <c r="G1464" t="str">
        <f>"xxi, 230 pages, 16 unnumbered pages of plates, 24 cm, illustrations"</f>
        <v>xxi, 230 pages, 16 unnumbered pages of plates, 24 cm, illustrations</v>
      </c>
      <c r="H1464" s="1">
        <v>19</v>
      </c>
      <c r="I1464">
        <v>2019</v>
      </c>
      <c r="J1464" t="str">
        <f t="shared" si="166"/>
        <v>16: 920 - 929</v>
      </c>
      <c r="L1464" t="s">
        <v>2403</v>
      </c>
      <c r="M1464" t="s">
        <v>28</v>
      </c>
      <c r="N1464" t="s">
        <v>2404</v>
      </c>
      <c r="O1464">
        <v>1</v>
      </c>
      <c r="P1464" s="2">
        <v>43756</v>
      </c>
      <c r="Q1464" s="1">
        <v>32</v>
      </c>
      <c r="R1464" t="s">
        <v>3353</v>
      </c>
      <c r="S1464">
        <v>1090688742</v>
      </c>
    </row>
    <row r="1465" spans="1:19" x14ac:dyDescent="0.2">
      <c r="A1465" t="str">
        <f t="shared" si="164"/>
        <v>Adult Nonfiction</v>
      </c>
      <c r="B1465" t="str">
        <f>"NEW 921 BAR"</f>
        <v>NEW 921 BAR</v>
      </c>
      <c r="C1465" t="str">
        <f>"Eyes to the wind: a memoir of love and death, hope, and resistance"</f>
        <v>Eyes to the wind: a memoir of love and death, hope, and resistance</v>
      </c>
      <c r="D1465">
        <v>358108</v>
      </c>
      <c r="E1465" t="str">
        <f>"Barkan, Ady."</f>
        <v>Barkan, Ady.</v>
      </c>
      <c r="G1465" t="str">
        <f>"xiii, 281 pages, 16 pages of plates, illustrations (chiefly color) ;|c24 cm"</f>
        <v>xiii, 281 pages, 16 pages of plates, illustrations (chiefly color) ;|c24 cm</v>
      </c>
      <c r="H1465" s="1">
        <v>19</v>
      </c>
      <c r="I1465">
        <v>2019</v>
      </c>
      <c r="J1465" t="str">
        <f t="shared" si="166"/>
        <v>16: 920 - 929</v>
      </c>
      <c r="L1465" t="s">
        <v>2403</v>
      </c>
      <c r="M1465" t="s">
        <v>28</v>
      </c>
      <c r="N1465" t="s">
        <v>2404</v>
      </c>
      <c r="O1465">
        <v>1</v>
      </c>
      <c r="P1465" s="2">
        <v>43740</v>
      </c>
      <c r="Q1465" s="1">
        <v>32</v>
      </c>
      <c r="R1465" t="s">
        <v>3354</v>
      </c>
      <c r="S1465">
        <v>1085148252</v>
      </c>
    </row>
    <row r="1466" spans="1:19" x14ac:dyDescent="0.2">
      <c r="A1466" t="str">
        <f t="shared" si="164"/>
        <v>Adult Nonfiction</v>
      </c>
      <c r="B1466" t="str">
        <f>"NEW 921 BEN"</f>
        <v>NEW 921 BEN</v>
      </c>
      <c r="C1466" t="str">
        <f>"Things that make white people uncomfortable"</f>
        <v>Things that make white people uncomfortable</v>
      </c>
      <c r="D1466">
        <v>357668</v>
      </c>
      <c r="E1466" t="str">
        <f>"Bennett, Michael"</f>
        <v>Bennett, Michael</v>
      </c>
      <c r="H1466" s="1">
        <v>19</v>
      </c>
      <c r="I1466">
        <v>2019</v>
      </c>
      <c r="J1466" t="str">
        <f t="shared" si="166"/>
        <v>16: 920 - 929</v>
      </c>
      <c r="L1466" t="s">
        <v>2403</v>
      </c>
      <c r="M1466" t="s">
        <v>28</v>
      </c>
      <c r="N1466" t="s">
        <v>2404</v>
      </c>
      <c r="O1466">
        <v>4</v>
      </c>
      <c r="P1466" s="2">
        <v>43725</v>
      </c>
      <c r="Q1466" s="1">
        <v>23</v>
      </c>
      <c r="R1466" t="s">
        <v>3355</v>
      </c>
      <c r="S1466">
        <v>1085967333</v>
      </c>
    </row>
    <row r="1467" spans="1:19" x14ac:dyDescent="0.2">
      <c r="A1467" t="str">
        <f t="shared" si="164"/>
        <v>Adult Nonfiction</v>
      </c>
      <c r="B1467" t="str">
        <f>"NEW 921 BES"</f>
        <v>NEW 921 BES</v>
      </c>
      <c r="C1467" t="str">
        <f>"Miracles and other reasonable things: a story of unlearning and relearning God"</f>
        <v>Miracles and other reasonable things: a story of unlearning and relearning God</v>
      </c>
      <c r="D1467">
        <v>358547</v>
      </c>
      <c r="E1467" t="str">
        <f>"Bessey, Sarah."</f>
        <v>Bessey, Sarah.</v>
      </c>
      <c r="G1467" t="str">
        <f>"219 p."</f>
        <v>219 p.</v>
      </c>
      <c r="H1467" s="1">
        <v>19</v>
      </c>
      <c r="I1467">
        <v>2019</v>
      </c>
      <c r="J1467" t="str">
        <f t="shared" si="166"/>
        <v>16: 920 - 929</v>
      </c>
      <c r="L1467" t="s">
        <v>2403</v>
      </c>
      <c r="M1467" t="s">
        <v>28</v>
      </c>
      <c r="N1467" t="s">
        <v>2396</v>
      </c>
      <c r="O1467">
        <v>4</v>
      </c>
      <c r="P1467" s="2">
        <v>43756</v>
      </c>
      <c r="Q1467" s="1">
        <v>31</v>
      </c>
      <c r="R1467" t="s">
        <v>3356</v>
      </c>
    </row>
    <row r="1468" spans="1:19" x14ac:dyDescent="0.2">
      <c r="A1468" t="str">
        <f t="shared" si="164"/>
        <v>Adult Nonfiction</v>
      </c>
      <c r="B1468" t="str">
        <f>"NEW 921 BES"</f>
        <v>NEW 921 BES</v>
      </c>
      <c r="C1468" t="str">
        <f>"Thank you for my service"</f>
        <v>Thank you for my service</v>
      </c>
      <c r="D1468">
        <v>357932</v>
      </c>
      <c r="E1468" t="str">
        <f>"Best, Mat"</f>
        <v>Best, Mat</v>
      </c>
      <c r="G1468" t="str">
        <f>"210 pages, 16 unnumbered pages of plates, 25 cm, color illustrations"</f>
        <v>210 pages, 16 unnumbered pages of plates, 25 cm, color illustrations</v>
      </c>
      <c r="H1468" s="1">
        <v>19</v>
      </c>
      <c r="I1468">
        <v>2019</v>
      </c>
      <c r="J1468" t="str">
        <f t="shared" si="166"/>
        <v>16: 920 - 929</v>
      </c>
      <c r="L1468" t="s">
        <v>2395</v>
      </c>
      <c r="M1468" t="s">
        <v>28</v>
      </c>
      <c r="N1468" t="s">
        <v>2396</v>
      </c>
      <c r="O1468">
        <v>3</v>
      </c>
      <c r="P1468" s="2">
        <v>43733</v>
      </c>
      <c r="Q1468" s="1">
        <v>33</v>
      </c>
      <c r="R1468" t="s">
        <v>3357</v>
      </c>
      <c r="S1468">
        <v>1099541302</v>
      </c>
    </row>
    <row r="1469" spans="1:19" x14ac:dyDescent="0.2">
      <c r="A1469" t="str">
        <f t="shared" si="164"/>
        <v>Adult Nonfiction</v>
      </c>
      <c r="B1469" t="str">
        <f>"NEW 921 BOY"</f>
        <v>NEW 921 BOY</v>
      </c>
      <c r="C1469" t="str">
        <f>"The undying: pain, vulnerability, mortality, medicine, art, time, dreams, data, exhaustion, cancer, and care"</f>
        <v>The undying: pain, vulnerability, mortality, medicine, art, time, dreams, data, exhaustion, cancer, and care</v>
      </c>
      <c r="D1469">
        <v>357646</v>
      </c>
      <c r="E1469" t="str">
        <f>"Boyer, Anne,"</f>
        <v>Boyer, Anne,</v>
      </c>
      <c r="G1469" t="str">
        <f>"pages cm"</f>
        <v>pages cm</v>
      </c>
      <c r="H1469" s="1">
        <v>19</v>
      </c>
      <c r="I1469">
        <v>2019</v>
      </c>
      <c r="J1469" t="str">
        <f t="shared" si="166"/>
        <v>16: 920 - 929</v>
      </c>
      <c r="L1469" t="s">
        <v>2403</v>
      </c>
      <c r="M1469" t="s">
        <v>28</v>
      </c>
      <c r="N1469" t="s">
        <v>2404</v>
      </c>
      <c r="O1469">
        <v>1</v>
      </c>
      <c r="P1469" s="2">
        <v>43725</v>
      </c>
      <c r="Q1469" s="1">
        <v>31</v>
      </c>
      <c r="R1469" t="s">
        <v>3358</v>
      </c>
      <c r="S1469">
        <v>1089841413</v>
      </c>
    </row>
    <row r="1470" spans="1:19" x14ac:dyDescent="0.2">
      <c r="A1470" t="str">
        <f t="shared" si="164"/>
        <v>Adult Nonfiction</v>
      </c>
      <c r="B1470" t="str">
        <f>"NEW 921 BRA"</f>
        <v>NEW 921 BRA</v>
      </c>
      <c r="C1470" t="str">
        <f>"The contender: the story of Marlon Brando"</f>
        <v>The contender: the story of Marlon Brando</v>
      </c>
      <c r="D1470">
        <v>358583</v>
      </c>
      <c r="E1470" t="str">
        <f>"Mann, William J."</f>
        <v>Mann, William J.</v>
      </c>
      <c r="H1470" s="1">
        <v>19</v>
      </c>
      <c r="I1470">
        <v>2019</v>
      </c>
      <c r="J1470" t="str">
        <f t="shared" si="166"/>
        <v>16: 920 - 929</v>
      </c>
      <c r="L1470" t="s">
        <v>2403</v>
      </c>
      <c r="M1470" t="s">
        <v>28</v>
      </c>
      <c r="N1470" t="s">
        <v>2396</v>
      </c>
      <c r="O1470">
        <v>1</v>
      </c>
      <c r="P1470" s="2">
        <v>43756</v>
      </c>
      <c r="Q1470" s="1">
        <v>40</v>
      </c>
      <c r="R1470" t="s">
        <v>3359</v>
      </c>
      <c r="S1470">
        <v>1122615542</v>
      </c>
    </row>
    <row r="1471" spans="1:19" x14ac:dyDescent="0.2">
      <c r="A1471" t="str">
        <f t="shared" si="164"/>
        <v>Adult Nonfiction</v>
      </c>
      <c r="B1471" t="str">
        <f>"NEW 921 BRO"</f>
        <v>NEW 921 BRO</v>
      </c>
      <c r="C1471" t="str">
        <f>"Wild game: my mother, her lover, and me"</f>
        <v>Wild game: my mother, her lover, and me</v>
      </c>
      <c r="D1471">
        <v>358366</v>
      </c>
      <c r="E1471" t="str">
        <f>"Brodeur, Adrienne"</f>
        <v>Brodeur, Adrienne</v>
      </c>
      <c r="G1471" t="str">
        <f>"232 p."</f>
        <v>232 p.</v>
      </c>
      <c r="H1471" s="1">
        <v>19</v>
      </c>
      <c r="I1471">
        <v>2019</v>
      </c>
      <c r="J1471" t="str">
        <f t="shared" si="166"/>
        <v>16: 920 - 929</v>
      </c>
      <c r="L1471" t="s">
        <v>2395</v>
      </c>
      <c r="M1471" t="s">
        <v>28</v>
      </c>
      <c r="N1471" t="s">
        <v>2404</v>
      </c>
      <c r="O1471">
        <v>5</v>
      </c>
      <c r="P1471" s="2">
        <v>43749</v>
      </c>
      <c r="Q1471" s="1">
        <v>32</v>
      </c>
      <c r="R1471" t="s">
        <v>3360</v>
      </c>
      <c r="S1471">
        <v>1080247612</v>
      </c>
    </row>
    <row r="1472" spans="1:19" x14ac:dyDescent="0.2">
      <c r="A1472" t="str">
        <f t="shared" si="164"/>
        <v>Adult Nonfiction</v>
      </c>
      <c r="B1472" t="str">
        <f>"NEW 921 BUR"</f>
        <v>NEW 921 BUR</v>
      </c>
      <c r="C1472" t="str">
        <f>"Toil &amp; trouble: a memoir"</f>
        <v>Toil &amp; trouble: a memoir</v>
      </c>
      <c r="D1472">
        <v>358138</v>
      </c>
      <c r="E1472" t="str">
        <f>"Burroughs, Augusten"</f>
        <v>Burroughs, Augusten</v>
      </c>
      <c r="G1472" t="str">
        <f>"336 p."</f>
        <v>336 p.</v>
      </c>
      <c r="H1472" s="1">
        <v>19</v>
      </c>
      <c r="I1472">
        <v>2019</v>
      </c>
      <c r="J1472" t="str">
        <f t="shared" si="166"/>
        <v>16: 920 - 929</v>
      </c>
      <c r="L1472" t="s">
        <v>2395</v>
      </c>
      <c r="M1472" t="s">
        <v>28</v>
      </c>
      <c r="N1472" t="s">
        <v>2396</v>
      </c>
      <c r="O1472">
        <v>4</v>
      </c>
      <c r="P1472" s="2">
        <v>43740</v>
      </c>
      <c r="Q1472" s="1">
        <v>33</v>
      </c>
      <c r="R1472" t="s">
        <v>3361</v>
      </c>
      <c r="S1472">
        <v>1121653404</v>
      </c>
    </row>
    <row r="1473" spans="1:19" x14ac:dyDescent="0.2">
      <c r="A1473" t="str">
        <f t="shared" si="164"/>
        <v>Adult Nonfiction</v>
      </c>
      <c r="B1473" t="str">
        <f>"NEW 921 BUR"</f>
        <v>NEW 921 BUR</v>
      </c>
      <c r="C1473" t="str">
        <f>"William S. Burroughs &amp; the cult of rock 'n' roll"</f>
        <v>William S. Burroughs &amp; the cult of rock 'n' roll</v>
      </c>
      <c r="D1473">
        <v>355801</v>
      </c>
      <c r="E1473" t="str">
        <f>"Rae, Casey"</f>
        <v>Rae, Casey</v>
      </c>
      <c r="G1473" t="str">
        <f>"304 pages, 24 cm"</f>
        <v>304 pages, 24 cm</v>
      </c>
      <c r="H1473" s="1">
        <v>19</v>
      </c>
      <c r="I1473">
        <v>2019</v>
      </c>
      <c r="J1473" t="str">
        <f t="shared" si="166"/>
        <v>16: 920 - 929</v>
      </c>
      <c r="L1473" t="s">
        <v>2403</v>
      </c>
      <c r="M1473" t="s">
        <v>28</v>
      </c>
      <c r="N1473" t="s">
        <v>2401</v>
      </c>
      <c r="O1473">
        <v>7</v>
      </c>
      <c r="P1473" s="2">
        <v>43640</v>
      </c>
      <c r="Q1473" s="1">
        <v>33</v>
      </c>
      <c r="R1473" t="s">
        <v>3362</v>
      </c>
      <c r="S1473">
        <v>1050142933</v>
      </c>
    </row>
    <row r="1474" spans="1:19" x14ac:dyDescent="0.2">
      <c r="A1474" t="str">
        <f t="shared" si="164"/>
        <v>Adult Nonfiction</v>
      </c>
      <c r="B1474" t="str">
        <f>"NEW 921 BUT"</f>
        <v>NEW 921 BUT</v>
      </c>
      <c r="C1474" t="str">
        <f>"Walking to Jerusalem: endurance and hope on a pilgrimage from London to the Holy Land"</f>
        <v>Walking to Jerusalem: endurance and hope on a pilgrimage from London to the Holy Land</v>
      </c>
      <c r="D1474">
        <v>357938</v>
      </c>
      <c r="E1474" t="str">
        <f>"Butcher, Justin"</f>
        <v>Butcher, Justin</v>
      </c>
      <c r="G1474" t="str">
        <f>"xvii, 302 pages, 24 cm, maps"</f>
        <v>xvii, 302 pages, 24 cm, maps</v>
      </c>
      <c r="H1474" s="1">
        <v>19</v>
      </c>
      <c r="I1474">
        <v>2019</v>
      </c>
      <c r="J1474" t="str">
        <f>"8: 200 - 299"</f>
        <v>8: 200 - 299</v>
      </c>
      <c r="L1474" t="s">
        <v>2403</v>
      </c>
      <c r="M1474" t="s">
        <v>28</v>
      </c>
      <c r="N1474" t="s">
        <v>2404</v>
      </c>
      <c r="O1474">
        <v>4</v>
      </c>
      <c r="P1474" s="2">
        <v>43732</v>
      </c>
      <c r="Q1474" s="1">
        <v>33</v>
      </c>
      <c r="R1474" t="s">
        <v>3363</v>
      </c>
      <c r="S1474">
        <v>1085176699</v>
      </c>
    </row>
    <row r="1475" spans="1:19" x14ac:dyDescent="0.2">
      <c r="A1475" t="str">
        <f t="shared" si="164"/>
        <v>Adult Nonfiction</v>
      </c>
      <c r="B1475" t="str">
        <f>"NEW 921 CAM"</f>
        <v>NEW 921 CAM</v>
      </c>
      <c r="C1475" t="str">
        <f>"Earl Campbell: yards after contact"</f>
        <v>Earl Campbell: yards after contact</v>
      </c>
      <c r="D1475">
        <v>357695</v>
      </c>
      <c r="E1475" t="str">
        <f>"Price, Asher"</f>
        <v>Price, Asher</v>
      </c>
      <c r="G1475" t="str">
        <f>"pages cm"</f>
        <v>pages cm</v>
      </c>
      <c r="H1475" s="1">
        <v>19</v>
      </c>
      <c r="I1475">
        <v>2019</v>
      </c>
      <c r="J1475" t="str">
        <f t="shared" ref="J1475:J1538" si="167">"16: 920 - 929"</f>
        <v>16: 920 - 929</v>
      </c>
      <c r="L1475" t="s">
        <v>2395</v>
      </c>
      <c r="M1475" t="s">
        <v>28</v>
      </c>
      <c r="N1475" t="s">
        <v>2404</v>
      </c>
      <c r="O1475">
        <v>6</v>
      </c>
      <c r="P1475" s="2">
        <v>43725</v>
      </c>
      <c r="Q1475" s="1">
        <v>33</v>
      </c>
      <c r="R1475" t="s">
        <v>3364</v>
      </c>
      <c r="S1475">
        <v>1080248950</v>
      </c>
    </row>
    <row r="1476" spans="1:19" x14ac:dyDescent="0.2">
      <c r="A1476" t="str">
        <f t="shared" si="164"/>
        <v>Adult Nonfiction</v>
      </c>
      <c r="B1476" t="str">
        <f>"NEW 921 CAR"</f>
        <v>NEW 921 CAR</v>
      </c>
      <c r="C1476" t="str">
        <f>"You are worth it: building a life worth fighting for"</f>
        <v>You are worth it: building a life worth fighting for</v>
      </c>
      <c r="D1476">
        <v>358905</v>
      </c>
      <c r="E1476" t="str">
        <f>"Carpenter, Kyle,"</f>
        <v>Carpenter, Kyle,</v>
      </c>
      <c r="G1476" t="str">
        <f>"308 p., 16 unnumbered pages of plates, 24 cm, color illustrations, map"</f>
        <v>308 p., 16 unnumbered pages of plates, 24 cm, color illustrations, map</v>
      </c>
      <c r="H1476" s="1">
        <v>19</v>
      </c>
      <c r="I1476">
        <v>2019</v>
      </c>
      <c r="J1476" t="str">
        <f t="shared" si="167"/>
        <v>16: 920 - 929</v>
      </c>
      <c r="L1476" t="s">
        <v>2395</v>
      </c>
      <c r="M1476" t="s">
        <v>28</v>
      </c>
      <c r="N1476" t="s">
        <v>2396</v>
      </c>
      <c r="O1476">
        <v>3</v>
      </c>
      <c r="P1476" s="2">
        <v>43769</v>
      </c>
      <c r="Q1476" s="1">
        <v>33</v>
      </c>
      <c r="R1476" t="s">
        <v>3365</v>
      </c>
      <c r="S1476">
        <v>1082447826</v>
      </c>
    </row>
    <row r="1477" spans="1:19" x14ac:dyDescent="0.2">
      <c r="A1477" t="str">
        <f t="shared" si="164"/>
        <v>Adult Nonfiction</v>
      </c>
      <c r="B1477" t="str">
        <f>"NEW 921 COT"</f>
        <v>NEW 921 COT</v>
      </c>
      <c r="C1477" t="str">
        <f>"Thick: and other essays"</f>
        <v>Thick: and other essays</v>
      </c>
      <c r="D1477">
        <v>358137</v>
      </c>
      <c r="E1477" t="str">
        <f>"Cottom, Tressie McMillan"</f>
        <v>Cottom, Tressie McMillan</v>
      </c>
      <c r="G1477" t="str">
        <f>"xi, 244 pages, 23 cm"</f>
        <v>xi, 244 pages, 23 cm</v>
      </c>
      <c r="H1477" s="1">
        <v>19</v>
      </c>
      <c r="I1477">
        <v>2019</v>
      </c>
      <c r="J1477" t="str">
        <f t="shared" si="167"/>
        <v>16: 920 - 929</v>
      </c>
      <c r="L1477" t="s">
        <v>2395</v>
      </c>
      <c r="M1477" t="s">
        <v>28</v>
      </c>
      <c r="N1477" t="s">
        <v>2396</v>
      </c>
      <c r="O1477">
        <v>1</v>
      </c>
      <c r="P1477" s="2">
        <v>43740</v>
      </c>
      <c r="Q1477" s="1">
        <v>30</v>
      </c>
      <c r="R1477" t="s">
        <v>3366</v>
      </c>
      <c r="S1477">
        <v>1097593514</v>
      </c>
    </row>
    <row r="1478" spans="1:19" x14ac:dyDescent="0.2">
      <c r="A1478" t="str">
        <f t="shared" si="164"/>
        <v>Adult Nonfiction</v>
      </c>
      <c r="B1478" t="str">
        <f>"NEW 921 CRO"</f>
        <v>NEW 921 CRO</v>
      </c>
      <c r="C1478" t="str">
        <f>"Homesick: a memoir"</f>
        <v>Homesick: a memoir</v>
      </c>
      <c r="D1478">
        <v>358542</v>
      </c>
      <c r="E1478" t="str">
        <f>"Croft, Jennifer"</f>
        <v>Croft, Jennifer</v>
      </c>
      <c r="G1478" t="str">
        <f>"256 pages, 21 cm, illustrations (chiefly color)"</f>
        <v>256 pages, 21 cm, illustrations (chiefly color)</v>
      </c>
      <c r="H1478" s="1">
        <v>19</v>
      </c>
      <c r="I1478">
        <v>2019</v>
      </c>
      <c r="J1478" t="str">
        <f t="shared" si="167"/>
        <v>16: 920 - 929</v>
      </c>
      <c r="L1478" t="s">
        <v>2395</v>
      </c>
      <c r="M1478" t="s">
        <v>28</v>
      </c>
      <c r="N1478" t="s">
        <v>2404</v>
      </c>
      <c r="O1478">
        <v>2</v>
      </c>
      <c r="P1478" s="2">
        <v>43756</v>
      </c>
      <c r="Q1478" s="1">
        <v>33</v>
      </c>
      <c r="R1478" t="s">
        <v>3367</v>
      </c>
      <c r="S1478">
        <v>1111020629</v>
      </c>
    </row>
    <row r="1479" spans="1:19" x14ac:dyDescent="0.2">
      <c r="A1479" t="str">
        <f t="shared" si="164"/>
        <v>Adult Nonfiction</v>
      </c>
      <c r="B1479" t="str">
        <f>"NEW 921 CRU"</f>
        <v>NEW 921 CRU</v>
      </c>
      <c r="C1479" t="str">
        <f>"My time among the whites: notes from an unfinished education"</f>
        <v>My time among the whites: notes from an unfinished education</v>
      </c>
      <c r="D1479">
        <v>358713</v>
      </c>
      <c r="E1479" t="str">
        <f>"Crucet, Jennine Cap�,"</f>
        <v>Crucet, Jennine Cap�,</v>
      </c>
      <c r="G1479" t="str">
        <f>"198 pages, 21 cm"</f>
        <v>198 pages, 21 cm</v>
      </c>
      <c r="H1479" s="1">
        <v>19</v>
      </c>
      <c r="I1479">
        <v>2019</v>
      </c>
      <c r="J1479" t="str">
        <f t="shared" si="167"/>
        <v>16: 920 - 929</v>
      </c>
      <c r="L1479" t="s">
        <v>2395</v>
      </c>
      <c r="M1479" t="s">
        <v>28</v>
      </c>
      <c r="N1479" t="s">
        <v>2404</v>
      </c>
      <c r="O1479">
        <v>1</v>
      </c>
      <c r="P1479" s="2">
        <v>43762</v>
      </c>
      <c r="Q1479" s="1">
        <v>22</v>
      </c>
      <c r="R1479" t="s">
        <v>3368</v>
      </c>
      <c r="S1479">
        <v>1076510885</v>
      </c>
    </row>
    <row r="1480" spans="1:19" x14ac:dyDescent="0.2">
      <c r="A1480" t="str">
        <f t="shared" si="164"/>
        <v>Adult Nonfiction</v>
      </c>
      <c r="B1480" t="str">
        <f>"NEW 921 DAN"</f>
        <v>NEW 921 DAN</v>
      </c>
      <c r="C1480" t="str">
        <f>"I am C-3PO: the inside story"</f>
        <v>I am C-3PO: the inside story</v>
      </c>
      <c r="D1480">
        <v>359026</v>
      </c>
      <c r="E1480" t="str">
        <f>"Daniels, Anthony"</f>
        <v>Daniels, Anthony</v>
      </c>
      <c r="G1480" t="str">
        <f>"271 p., 24 unnumbered pages of plates, 25 cm, illustrations (some color)"</f>
        <v>271 p., 24 unnumbered pages of plates, 25 cm, illustrations (some color)</v>
      </c>
      <c r="H1480" s="1">
        <v>19</v>
      </c>
      <c r="I1480">
        <v>2019</v>
      </c>
      <c r="J1480" t="str">
        <f t="shared" si="167"/>
        <v>16: 920 - 929</v>
      </c>
      <c r="L1480" t="s">
        <v>2403</v>
      </c>
      <c r="M1480" t="s">
        <v>28</v>
      </c>
      <c r="N1480" t="s">
        <v>2396</v>
      </c>
      <c r="O1480">
        <v>2</v>
      </c>
      <c r="P1480" s="2">
        <v>43776</v>
      </c>
      <c r="Q1480" s="1">
        <v>30</v>
      </c>
      <c r="R1480" t="s">
        <v>3369</v>
      </c>
      <c r="S1480">
        <v>1109805553</v>
      </c>
    </row>
    <row r="1481" spans="1:19" x14ac:dyDescent="0.2">
      <c r="A1481" t="str">
        <f t="shared" si="164"/>
        <v>Adult Nonfiction</v>
      </c>
      <c r="B1481" t="str">
        <f>"NEW 921 DAV"</f>
        <v>NEW 921 DAV</v>
      </c>
      <c r="C1481" t="str">
        <f>"Dottir: my journey to becoming a two-time CrossFit Games champion"</f>
        <v>Dottir: my journey to becoming a two-time CrossFit Games champion</v>
      </c>
      <c r="D1481">
        <v>360002</v>
      </c>
      <c r="E1481" t="str">
        <f>"Davidsdottir, Katrin"</f>
        <v>Davidsdottir, Katrin</v>
      </c>
      <c r="G1481" t="str">
        <f>"xviii, 282 pages, 24 cm, color illustrations"</f>
        <v>xviii, 282 pages, 24 cm, color illustrations</v>
      </c>
      <c r="H1481" s="1">
        <v>19</v>
      </c>
      <c r="I1481">
        <v>2019</v>
      </c>
      <c r="J1481" t="str">
        <f t="shared" si="167"/>
        <v>16: 920 - 929</v>
      </c>
      <c r="L1481" t="s">
        <v>2395</v>
      </c>
      <c r="M1481" t="s">
        <v>28</v>
      </c>
      <c r="N1481" t="s">
        <v>2396</v>
      </c>
      <c r="O1481">
        <v>1</v>
      </c>
      <c r="P1481" s="2">
        <v>43826</v>
      </c>
      <c r="Q1481" s="1">
        <v>35</v>
      </c>
      <c r="R1481" t="s">
        <v>3370</v>
      </c>
      <c r="S1481">
        <v>1107103442</v>
      </c>
    </row>
    <row r="1482" spans="1:19" x14ac:dyDescent="0.2">
      <c r="A1482" t="str">
        <f t="shared" si="164"/>
        <v>Adult Nonfiction</v>
      </c>
      <c r="B1482" t="str">
        <f>"NEW 921 DEN"</f>
        <v>NEW 921 DEN</v>
      </c>
      <c r="C1482" t="str">
        <f>"What is a girl worth?: my story of breaking the silence and exposing the truth about Larry Nassar and USA gymnastics"</f>
        <v>What is a girl worth?: my story of breaking the silence and exposing the truth about Larry Nassar and USA gymnastics</v>
      </c>
      <c r="D1482">
        <v>357540</v>
      </c>
      <c r="E1482" t="str">
        <f>"Denhollander, Rachael,"</f>
        <v>Denhollander, Rachael,</v>
      </c>
      <c r="G1482" t="str">
        <f>"xii, 334 p., 24 cm"</f>
        <v>xii, 334 p., 24 cm</v>
      </c>
      <c r="H1482" s="1">
        <v>19</v>
      </c>
      <c r="I1482">
        <v>2019</v>
      </c>
      <c r="J1482" t="str">
        <f t="shared" si="167"/>
        <v>16: 920 - 929</v>
      </c>
      <c r="L1482" t="s">
        <v>2403</v>
      </c>
      <c r="M1482" t="s">
        <v>28</v>
      </c>
      <c r="N1482" t="s">
        <v>2396</v>
      </c>
      <c r="O1482">
        <v>2</v>
      </c>
      <c r="P1482" s="2">
        <v>43719</v>
      </c>
      <c r="Q1482" s="1">
        <v>32</v>
      </c>
      <c r="R1482" t="s">
        <v>3371</v>
      </c>
      <c r="S1482">
        <v>1089495260</v>
      </c>
    </row>
    <row r="1483" spans="1:19" x14ac:dyDescent="0.2">
      <c r="A1483" t="str">
        <f t="shared" si="164"/>
        <v>Adult Nonfiction</v>
      </c>
      <c r="B1483" t="str">
        <f>"NEW 921 DIE"</f>
        <v>NEW 921 DIE</v>
      </c>
      <c r="C1483" t="str">
        <f>"Stealing Cinderella: how I became an international fugitive for love"</f>
        <v>Stealing Cinderella: how I became an international fugitive for love</v>
      </c>
      <c r="D1483">
        <v>359092</v>
      </c>
      <c r="E1483" t="str">
        <f>"Diehl, Mark D."</f>
        <v>Diehl, Mark D.</v>
      </c>
      <c r="G1483" t="str">
        <f>"337 pages"</f>
        <v>337 pages</v>
      </c>
      <c r="H1483" s="1">
        <v>19</v>
      </c>
      <c r="I1483">
        <v>2019</v>
      </c>
      <c r="J1483" t="str">
        <f t="shared" si="167"/>
        <v>16: 920 - 929</v>
      </c>
      <c r="L1483" t="s">
        <v>2403</v>
      </c>
      <c r="M1483" t="s">
        <v>28</v>
      </c>
      <c r="N1483" t="s">
        <v>2396</v>
      </c>
      <c r="O1483">
        <v>3</v>
      </c>
      <c r="P1483" s="2">
        <v>43780</v>
      </c>
      <c r="Q1483" s="1">
        <v>21</v>
      </c>
      <c r="R1483" t="s">
        <v>3372</v>
      </c>
    </row>
    <row r="1484" spans="1:19" x14ac:dyDescent="0.2">
      <c r="A1484" t="str">
        <f t="shared" si="164"/>
        <v>Adult Nonfiction</v>
      </c>
      <c r="B1484" t="str">
        <f>"NEW 921 DOS"</f>
        <v>NEW 921 DOS</v>
      </c>
      <c r="C1484" t="str">
        <f>"Formation: a woman's memoir of stepping out of line"</f>
        <v>Formation: a woman's memoir of stepping out of line</v>
      </c>
      <c r="D1484">
        <v>358536</v>
      </c>
      <c r="E1484" t="str">
        <f>"Dostie, Ryan Leigh"</f>
        <v>Dostie, Ryan Leigh</v>
      </c>
      <c r="G1484" t="str">
        <f>"viii, 358 pages, 24 cm"</f>
        <v>viii, 358 pages, 24 cm</v>
      </c>
      <c r="H1484" s="1">
        <v>19</v>
      </c>
      <c r="I1484">
        <v>2019</v>
      </c>
      <c r="J1484" t="str">
        <f t="shared" si="167"/>
        <v>16: 920 - 929</v>
      </c>
      <c r="L1484" t="s">
        <v>2395</v>
      </c>
      <c r="M1484" t="s">
        <v>28</v>
      </c>
      <c r="N1484" t="s">
        <v>2396</v>
      </c>
      <c r="O1484">
        <v>0</v>
      </c>
      <c r="P1484" s="2">
        <v>43756</v>
      </c>
      <c r="Q1484" s="1">
        <v>33</v>
      </c>
      <c r="R1484" t="s">
        <v>3373</v>
      </c>
      <c r="S1484">
        <v>1102321651</v>
      </c>
    </row>
    <row r="1485" spans="1:19" x14ac:dyDescent="0.2">
      <c r="A1485" t="str">
        <f t="shared" si="164"/>
        <v>Adult Nonfiction</v>
      </c>
      <c r="B1485" t="str">
        <f>"NEW 921 DOU"</f>
        <v>NEW 921 DOU</v>
      </c>
      <c r="C1485" t="str">
        <f>"Long way home"</f>
        <v>Long way home</v>
      </c>
      <c r="D1485">
        <v>358708</v>
      </c>
      <c r="E1485" t="str">
        <f>"Douglas, Cameron"</f>
        <v>Douglas, Cameron</v>
      </c>
      <c r="G1485" t="str">
        <f>"viii, 386 pages, 25 cm, illustrations"</f>
        <v>viii, 386 pages, 25 cm, illustrations</v>
      </c>
      <c r="H1485" s="1">
        <v>19</v>
      </c>
      <c r="I1485">
        <v>2019</v>
      </c>
      <c r="J1485" t="str">
        <f t="shared" si="167"/>
        <v>16: 920 - 929</v>
      </c>
      <c r="L1485" t="s">
        <v>2403</v>
      </c>
      <c r="M1485" t="s">
        <v>28</v>
      </c>
      <c r="N1485" t="s">
        <v>2396</v>
      </c>
      <c r="O1485">
        <v>4</v>
      </c>
      <c r="P1485" s="2">
        <v>43762</v>
      </c>
      <c r="Q1485" s="1">
        <v>33</v>
      </c>
      <c r="R1485" t="s">
        <v>3374</v>
      </c>
      <c r="S1485">
        <v>1085634164</v>
      </c>
    </row>
    <row r="1486" spans="1:19" x14ac:dyDescent="0.2">
      <c r="A1486" t="str">
        <f t="shared" si="164"/>
        <v>Adult Nonfiction</v>
      </c>
      <c r="B1486" t="str">
        <f>"NEW 921 DUT"</f>
        <v>NEW 921 DUT</v>
      </c>
      <c r="C1486" t="str">
        <f>"Stealing green mangoes: two brothers, two fates, one Indian childhood"</f>
        <v>Stealing green mangoes: two brothers, two fates, one Indian childhood</v>
      </c>
      <c r="D1486">
        <v>358134</v>
      </c>
      <c r="E1486" t="str">
        <f>"Dutta, Sunil."</f>
        <v>Dutta, Sunil.</v>
      </c>
      <c r="G1486" t="str">
        <f>"256 p."</f>
        <v>256 p.</v>
      </c>
      <c r="H1486" s="1">
        <v>19</v>
      </c>
      <c r="I1486">
        <v>2019</v>
      </c>
      <c r="J1486" t="str">
        <f t="shared" si="167"/>
        <v>16: 920 - 929</v>
      </c>
      <c r="L1486" t="s">
        <v>2403</v>
      </c>
      <c r="M1486" t="s">
        <v>28</v>
      </c>
      <c r="N1486" t="s">
        <v>2396</v>
      </c>
      <c r="O1486">
        <v>1</v>
      </c>
      <c r="P1486" s="2">
        <v>43740</v>
      </c>
      <c r="Q1486" s="1">
        <v>32</v>
      </c>
      <c r="R1486" t="s">
        <v>3375</v>
      </c>
      <c r="S1486">
        <v>1080585105</v>
      </c>
    </row>
    <row r="1487" spans="1:19" x14ac:dyDescent="0.2">
      <c r="A1487" t="str">
        <f t="shared" ref="A1487:A1550" si="168">"Adult Nonfiction"</f>
        <v>Adult Nonfiction</v>
      </c>
      <c r="B1487" t="str">
        <f>"NEW 921 EDI"</f>
        <v>NEW 921 EDI</v>
      </c>
      <c r="C1487" t="s">
        <v>3376</v>
      </c>
      <c r="D1487">
        <v>358689</v>
      </c>
      <c r="E1487" t="str">
        <f>"Morris, Edmund"</f>
        <v>Morris, Edmund</v>
      </c>
      <c r="G1487" t="str">
        <f>"783 pages, 25 cm, illustrations"</f>
        <v>783 pages, 25 cm, illustrations</v>
      </c>
      <c r="H1487" s="1">
        <v>19</v>
      </c>
      <c r="I1487">
        <v>2019</v>
      </c>
      <c r="J1487" t="str">
        <f t="shared" si="167"/>
        <v>16: 920 - 929</v>
      </c>
      <c r="L1487" t="s">
        <v>2395</v>
      </c>
      <c r="M1487" t="s">
        <v>28</v>
      </c>
      <c r="N1487" t="s">
        <v>2404</v>
      </c>
      <c r="O1487">
        <v>4</v>
      </c>
      <c r="P1487" s="2">
        <v>43762</v>
      </c>
      <c r="Q1487" s="1">
        <v>43</v>
      </c>
      <c r="R1487" t="s">
        <v>3377</v>
      </c>
      <c r="S1487">
        <v>1085155913</v>
      </c>
    </row>
    <row r="1488" spans="1:19" x14ac:dyDescent="0.2">
      <c r="A1488" t="str">
        <f t="shared" si="168"/>
        <v>Adult Nonfiction</v>
      </c>
      <c r="B1488" t="str">
        <f>"NEW 921 EME"</f>
        <v>NEW 921 EME</v>
      </c>
      <c r="C1488" t="str">
        <f>"The right kind of crazy: my life as a Navy SEAL, covert operative, and Boy Scout from Hell"</f>
        <v>The right kind of crazy: my life as a Navy SEAL, covert operative, and Boy Scout from Hell</v>
      </c>
      <c r="D1488">
        <v>359213</v>
      </c>
      <c r="E1488" t="str">
        <f>"Emerson, Clint."</f>
        <v>Emerson, Clint.</v>
      </c>
      <c r="G1488" t="str">
        <f>"282 pages"</f>
        <v>282 pages</v>
      </c>
      <c r="H1488" s="1">
        <v>19</v>
      </c>
      <c r="I1488">
        <v>2019</v>
      </c>
      <c r="J1488" t="str">
        <f t="shared" si="167"/>
        <v>16: 920 - 929</v>
      </c>
      <c r="L1488" t="s">
        <v>2395</v>
      </c>
      <c r="M1488" t="s">
        <v>28</v>
      </c>
      <c r="N1488" t="s">
        <v>2404</v>
      </c>
      <c r="O1488">
        <v>2</v>
      </c>
      <c r="P1488" s="2">
        <v>43782</v>
      </c>
      <c r="Q1488" s="1">
        <v>33</v>
      </c>
      <c r="R1488" t="s">
        <v>3378</v>
      </c>
      <c r="S1488">
        <v>1122874117</v>
      </c>
    </row>
    <row r="1489" spans="1:19" x14ac:dyDescent="0.2">
      <c r="A1489" t="str">
        <f t="shared" si="168"/>
        <v>Adult Nonfiction</v>
      </c>
      <c r="B1489" t="str">
        <f>"NEW 921 FIT"</f>
        <v>NEW 921 FIT</v>
      </c>
      <c r="C1489" t="str">
        <f>"Calm before the storm: Desert Storm diaries and other stories"</f>
        <v>Calm before the storm: Desert Storm diaries and other stories</v>
      </c>
      <c r="D1489">
        <v>357884</v>
      </c>
      <c r="E1489" t="str">
        <f>"Fitzwater, Marlin."</f>
        <v>Fitzwater, Marlin.</v>
      </c>
      <c r="G1489" t="str">
        <f>"379 p."</f>
        <v>379 p.</v>
      </c>
      <c r="H1489" s="1">
        <v>19</v>
      </c>
      <c r="I1489">
        <v>2019</v>
      </c>
      <c r="J1489" t="str">
        <f t="shared" si="167"/>
        <v>16: 920 - 929</v>
      </c>
      <c r="L1489" t="s">
        <v>2403</v>
      </c>
      <c r="M1489" t="s">
        <v>28</v>
      </c>
      <c r="N1489" t="s">
        <v>2396</v>
      </c>
      <c r="O1489">
        <v>2</v>
      </c>
      <c r="P1489" s="2">
        <v>43732</v>
      </c>
      <c r="Q1489" s="1">
        <v>35</v>
      </c>
      <c r="R1489" t="s">
        <v>3379</v>
      </c>
      <c r="S1489">
        <v>1102475715</v>
      </c>
    </row>
    <row r="1490" spans="1:19" x14ac:dyDescent="0.2">
      <c r="A1490" t="str">
        <f t="shared" si="168"/>
        <v>Adult Nonfiction</v>
      </c>
      <c r="B1490" t="str">
        <f>"NEW 921 FOR"</f>
        <v>NEW 921 FOR</v>
      </c>
      <c r="C1490" t="str">
        <f>"What you have heard is true: a memoir of witness and resistance"</f>
        <v>What you have heard is true: a memoir of witness and resistance</v>
      </c>
      <c r="D1490">
        <v>359690</v>
      </c>
      <c r="E1490" t="str">
        <f>"Forche, Carolyn."</f>
        <v>Forche, Carolyn.</v>
      </c>
      <c r="G1490" t="str">
        <f>"384 p."</f>
        <v>384 p.</v>
      </c>
      <c r="H1490" s="1">
        <v>19</v>
      </c>
      <c r="I1490">
        <v>2019</v>
      </c>
      <c r="J1490" t="str">
        <f t="shared" si="167"/>
        <v>16: 920 - 929</v>
      </c>
      <c r="L1490" t="s">
        <v>2395</v>
      </c>
      <c r="M1490" t="s">
        <v>28</v>
      </c>
      <c r="N1490" t="s">
        <v>2396</v>
      </c>
      <c r="O1490">
        <v>3</v>
      </c>
      <c r="P1490" s="2">
        <v>43804</v>
      </c>
      <c r="Q1490" s="1">
        <v>33</v>
      </c>
      <c r="R1490" t="s">
        <v>3380</v>
      </c>
    </row>
    <row r="1491" spans="1:19" x14ac:dyDescent="0.2">
      <c r="A1491" t="str">
        <f t="shared" si="168"/>
        <v>Adult Nonfiction</v>
      </c>
      <c r="B1491" t="str">
        <f>"NEW 921 FOX"</f>
        <v>NEW 921 FOX</v>
      </c>
      <c r="C1491" t="str">
        <f>"Life undercover: coming of age in the CIA"</f>
        <v>Life undercover: coming of age in the CIA</v>
      </c>
      <c r="D1491">
        <v>358504</v>
      </c>
      <c r="E1491" t="str">
        <f>"Fox, Amaryllis"</f>
        <v>Fox, Amaryllis</v>
      </c>
      <c r="G1491" t="str">
        <f>"229 pages, 25 cm"</f>
        <v>229 pages, 25 cm</v>
      </c>
      <c r="H1491" s="1">
        <v>19</v>
      </c>
      <c r="I1491">
        <v>2019</v>
      </c>
      <c r="J1491" t="str">
        <f t="shared" si="167"/>
        <v>16: 920 - 929</v>
      </c>
      <c r="L1491" t="s">
        <v>2395</v>
      </c>
      <c r="M1491" t="s">
        <v>28</v>
      </c>
      <c r="N1491" t="s">
        <v>2404</v>
      </c>
      <c r="O1491">
        <v>7</v>
      </c>
      <c r="P1491" s="2">
        <v>43753</v>
      </c>
      <c r="Q1491" s="1">
        <v>32</v>
      </c>
      <c r="R1491" t="s">
        <v>3381</v>
      </c>
      <c r="S1491">
        <v>1083224811</v>
      </c>
    </row>
    <row r="1492" spans="1:19" x14ac:dyDescent="0.2">
      <c r="A1492" t="str">
        <f t="shared" si="168"/>
        <v>Adult Nonfiction</v>
      </c>
      <c r="B1492" t="str">
        <f>"NEW 921 FRE"</f>
        <v>NEW 921 FRE</v>
      </c>
      <c r="C1492" t="str">
        <f>"A bookshop in Berlin: the rediscovered memoir of one woman's harrowing escape from the Nazis"</f>
        <v>A bookshop in Berlin: the rediscovered memoir of one woman's harrowing escape from the Nazis</v>
      </c>
      <c r="D1492">
        <v>359842</v>
      </c>
      <c r="E1492" t="str">
        <f>"Frenkel, Francoise,"</f>
        <v>Frenkel, Francoise,</v>
      </c>
      <c r="G1492" t="str">
        <f>"xiii, 269 pages, 22 cm, illustrations"</f>
        <v>xiii, 269 pages, 22 cm, illustrations</v>
      </c>
      <c r="H1492" s="1">
        <v>19</v>
      </c>
      <c r="I1492">
        <v>2019</v>
      </c>
      <c r="J1492" t="str">
        <f t="shared" si="167"/>
        <v>16: 920 - 929</v>
      </c>
      <c r="L1492" t="s">
        <v>2395</v>
      </c>
      <c r="M1492" t="s">
        <v>28</v>
      </c>
      <c r="N1492" t="s">
        <v>2404</v>
      </c>
      <c r="O1492">
        <v>3</v>
      </c>
      <c r="P1492" s="2">
        <v>43815</v>
      </c>
      <c r="Q1492" s="1">
        <v>31</v>
      </c>
      <c r="R1492" t="s">
        <v>3382</v>
      </c>
      <c r="S1492">
        <v>1111789376</v>
      </c>
    </row>
    <row r="1493" spans="1:19" x14ac:dyDescent="0.2">
      <c r="A1493" t="str">
        <f t="shared" si="168"/>
        <v>Adult Nonfiction</v>
      </c>
      <c r="B1493" t="str">
        <f>"NEW 921 FRE"</f>
        <v>NEW 921 FRE</v>
      </c>
      <c r="C1493" t="str">
        <f>"Imperfect union: how Jessie and John Fr�mont mapped the West, invented celebrity, and helped cause the Civil War"</f>
        <v>Imperfect union: how Jessie and John Fr�mont mapped the West, invented celebrity, and helped cause the Civil War</v>
      </c>
      <c r="D1493">
        <v>360225</v>
      </c>
      <c r="E1493" t="str">
        <f>"Inskeep, Steve."</f>
        <v>Inskeep, Steve.</v>
      </c>
      <c r="G1493" t="str">
        <f>"xxix, 449 pages, 8 unnumbered pages of plates, 25 cm, illustrations, maps"</f>
        <v>xxix, 449 pages, 8 unnumbered pages of plates, 25 cm, illustrations, maps</v>
      </c>
      <c r="H1493" s="1">
        <v>19</v>
      </c>
      <c r="I1493">
        <v>2020</v>
      </c>
      <c r="J1493" t="str">
        <f t="shared" si="167"/>
        <v>16: 920 - 929</v>
      </c>
      <c r="L1493" t="s">
        <v>2395</v>
      </c>
      <c r="M1493" t="s">
        <v>28</v>
      </c>
      <c r="N1493" t="s">
        <v>2396</v>
      </c>
      <c r="O1493">
        <v>0</v>
      </c>
      <c r="P1493" s="2">
        <v>43844</v>
      </c>
      <c r="Q1493" s="1">
        <v>37</v>
      </c>
      <c r="R1493" t="s">
        <v>3383</v>
      </c>
      <c r="S1493">
        <v>1102988017</v>
      </c>
    </row>
    <row r="1494" spans="1:19" x14ac:dyDescent="0.2">
      <c r="A1494" t="str">
        <f t="shared" si="168"/>
        <v>Adult Nonfiction</v>
      </c>
      <c r="B1494" t="str">
        <f>"NEW 921 GAF"</f>
        <v>NEW 921 GAF</v>
      </c>
      <c r="C1494" t="str">
        <f>"When life gives you pears: the healing power of family, faith, and funny people"</f>
        <v>When life gives you pears: the healing power of family, faith, and funny people</v>
      </c>
      <c r="D1494">
        <v>358578</v>
      </c>
      <c r="E1494" t="str">
        <f>"Gaffigan, Jeannie"</f>
        <v>Gaffigan, Jeannie</v>
      </c>
      <c r="G1494" t="str">
        <f>"305 pages, 22 cm, illustrations"</f>
        <v>305 pages, 22 cm, illustrations</v>
      </c>
      <c r="H1494" s="1">
        <v>19</v>
      </c>
      <c r="I1494">
        <v>2019</v>
      </c>
      <c r="J1494" t="str">
        <f t="shared" si="167"/>
        <v>16: 920 - 929</v>
      </c>
      <c r="L1494" t="s">
        <v>2395</v>
      </c>
      <c r="M1494" t="s">
        <v>28</v>
      </c>
      <c r="N1494" t="str">
        <f>"Reserve Cart"</f>
        <v>Reserve Cart</v>
      </c>
      <c r="O1494">
        <v>6</v>
      </c>
      <c r="P1494" s="2">
        <v>43756</v>
      </c>
      <c r="Q1494" s="1">
        <v>33</v>
      </c>
      <c r="R1494" t="s">
        <v>3384</v>
      </c>
      <c r="S1494">
        <v>1119723890</v>
      </c>
    </row>
    <row r="1495" spans="1:19" x14ac:dyDescent="0.2">
      <c r="A1495" t="str">
        <f t="shared" si="168"/>
        <v>Adult Nonfiction</v>
      </c>
      <c r="B1495" t="str">
        <f>"NEW 921 GAR"</f>
        <v>NEW 921 GAR</v>
      </c>
      <c r="C1495" t="str">
        <f>"Initiated: memoir of a witch"</f>
        <v>Initiated: memoir of a witch</v>
      </c>
      <c r="D1495">
        <v>358703</v>
      </c>
      <c r="E1495" t="str">
        <f>"Garcia, Amanda Yates"</f>
        <v>Garcia, Amanda Yates</v>
      </c>
      <c r="G1495" t="str">
        <f>"vii, 341 pages, 22 cm"</f>
        <v>vii, 341 pages, 22 cm</v>
      </c>
      <c r="H1495" s="1">
        <v>19</v>
      </c>
      <c r="I1495">
        <v>2019</v>
      </c>
      <c r="J1495" t="str">
        <f t="shared" si="167"/>
        <v>16: 920 - 929</v>
      </c>
      <c r="L1495" t="s">
        <v>2403</v>
      </c>
      <c r="M1495" t="s">
        <v>28</v>
      </c>
      <c r="N1495" t="s">
        <v>2396</v>
      </c>
      <c r="O1495">
        <v>4</v>
      </c>
      <c r="P1495" s="2">
        <v>43762</v>
      </c>
      <c r="Q1495" s="1">
        <v>32</v>
      </c>
      <c r="R1495" t="s">
        <v>3385</v>
      </c>
      <c r="S1495">
        <v>1085584971</v>
      </c>
    </row>
    <row r="1496" spans="1:19" x14ac:dyDescent="0.2">
      <c r="A1496" t="str">
        <f t="shared" si="168"/>
        <v>Adult Nonfiction</v>
      </c>
      <c r="B1496" t="str">
        <f>"NEW 921 GOI"</f>
        <v>NEW 921 GOI</v>
      </c>
      <c r="C1496" t="str">
        <f>"A woman of no importance: the untold story of the American spy who helped win WWII"</f>
        <v>A woman of no importance: the untold story of the American spy who helped win WWII</v>
      </c>
      <c r="D1496">
        <v>354070</v>
      </c>
      <c r="E1496" t="str">
        <f>"Purnell, Sonia"</f>
        <v>Purnell, Sonia</v>
      </c>
      <c r="G1496" t="str">
        <f>"312 p."</f>
        <v>312 p.</v>
      </c>
      <c r="H1496" s="1">
        <v>19</v>
      </c>
      <c r="I1496">
        <v>2019</v>
      </c>
      <c r="J1496" t="str">
        <f t="shared" si="167"/>
        <v>16: 920 - 929</v>
      </c>
      <c r="L1496" t="s">
        <v>2395</v>
      </c>
      <c r="M1496" t="s">
        <v>28</v>
      </c>
      <c r="N1496" t="s">
        <v>2404</v>
      </c>
      <c r="O1496">
        <v>18</v>
      </c>
      <c r="P1496" s="2">
        <v>43564</v>
      </c>
      <c r="Q1496" s="1">
        <v>33</v>
      </c>
      <c r="R1496" t="s">
        <v>3386</v>
      </c>
    </row>
    <row r="1497" spans="1:19" x14ac:dyDescent="0.2">
      <c r="A1497" t="str">
        <f t="shared" si="168"/>
        <v>Adult Nonfiction</v>
      </c>
      <c r="B1497" t="str">
        <f>"NEW 921 GOT"</f>
        <v>NEW 921 GOT</v>
      </c>
      <c r="C1497" t="str">
        <f>"Maybe you should talk to someone: a therapist, HER therapist, and our lives revealed"</f>
        <v>Maybe you should talk to someone: a therapist, HER therapist, and our lives revealed</v>
      </c>
      <c r="D1497">
        <v>353741</v>
      </c>
      <c r="E1497" t="str">
        <f>"Gottlieb, Lori"</f>
        <v>Gottlieb, Lori</v>
      </c>
      <c r="G1497" t="str">
        <f>"pages cm"</f>
        <v>pages cm</v>
      </c>
      <c r="H1497" s="1">
        <v>19</v>
      </c>
      <c r="I1497">
        <v>2019</v>
      </c>
      <c r="J1497" t="str">
        <f t="shared" si="167"/>
        <v>16: 920 - 929</v>
      </c>
      <c r="L1497" t="s">
        <v>2395</v>
      </c>
      <c r="M1497" t="s">
        <v>28</v>
      </c>
      <c r="N1497" t="s">
        <v>2404</v>
      </c>
      <c r="O1497">
        <v>15</v>
      </c>
      <c r="P1497" s="2">
        <v>43549</v>
      </c>
      <c r="Q1497" s="1">
        <v>33</v>
      </c>
      <c r="R1497" t="s">
        <v>3387</v>
      </c>
      <c r="S1497">
        <v>1054264731</v>
      </c>
    </row>
    <row r="1498" spans="1:19" x14ac:dyDescent="0.2">
      <c r="A1498" t="str">
        <f t="shared" si="168"/>
        <v>Adult Nonfiction</v>
      </c>
      <c r="B1498" t="str">
        <f>"NEW 921 GOT"</f>
        <v>NEW 921 GOT</v>
      </c>
      <c r="C1498" t="str">
        <f>"Maybe you should talk to someone: a therapist, HER therapist, and our lives revealed"</f>
        <v>Maybe you should talk to someone: a therapist, HER therapist, and our lives revealed</v>
      </c>
      <c r="D1498">
        <v>355572</v>
      </c>
      <c r="E1498" t="str">
        <f>"Gottlieb, Lori"</f>
        <v>Gottlieb, Lori</v>
      </c>
      <c r="G1498" t="str">
        <f>"pages cm"</f>
        <v>pages cm</v>
      </c>
      <c r="H1498" s="1">
        <v>19</v>
      </c>
      <c r="I1498">
        <v>2019</v>
      </c>
      <c r="J1498" t="str">
        <f t="shared" si="167"/>
        <v>16: 920 - 929</v>
      </c>
      <c r="L1498" t="s">
        <v>2403</v>
      </c>
      <c r="M1498" t="s">
        <v>28</v>
      </c>
      <c r="N1498" t="s">
        <v>2404</v>
      </c>
      <c r="O1498">
        <v>13</v>
      </c>
      <c r="P1498" s="2">
        <v>43633</v>
      </c>
      <c r="Q1498" s="1">
        <v>33</v>
      </c>
      <c r="R1498" t="s">
        <v>3387</v>
      </c>
      <c r="S1498">
        <v>1054264731</v>
      </c>
    </row>
    <row r="1499" spans="1:19" x14ac:dyDescent="0.2">
      <c r="A1499" t="str">
        <f t="shared" si="168"/>
        <v>Adult Nonfiction</v>
      </c>
      <c r="B1499" t="str">
        <f>"NEW 921 GOT"</f>
        <v>NEW 921 GOT</v>
      </c>
      <c r="C1499" t="str">
        <f>"Maybe you should talk to someone: a therapist, HER therapist, and our lives revealed"</f>
        <v>Maybe you should talk to someone: a therapist, HER therapist, and our lives revealed</v>
      </c>
      <c r="D1499">
        <v>356829</v>
      </c>
      <c r="E1499" t="str">
        <f>"Gottlieb, Lori"</f>
        <v>Gottlieb, Lori</v>
      </c>
      <c r="G1499" t="str">
        <f>"pages cm"</f>
        <v>pages cm</v>
      </c>
      <c r="H1499" s="1">
        <v>19</v>
      </c>
      <c r="I1499">
        <v>2019</v>
      </c>
      <c r="J1499" t="str">
        <f t="shared" si="167"/>
        <v>16: 920 - 929</v>
      </c>
      <c r="L1499" t="s">
        <v>2395</v>
      </c>
      <c r="M1499" t="s">
        <v>28</v>
      </c>
      <c r="N1499" t="s">
        <v>2404</v>
      </c>
      <c r="O1499">
        <v>9</v>
      </c>
      <c r="P1499" s="2">
        <v>43691</v>
      </c>
      <c r="Q1499" s="1">
        <v>33</v>
      </c>
      <c r="R1499" t="s">
        <v>3387</v>
      </c>
      <c r="S1499">
        <v>1054264731</v>
      </c>
    </row>
    <row r="1500" spans="1:19" x14ac:dyDescent="0.2">
      <c r="A1500" t="str">
        <f t="shared" si="168"/>
        <v>Adult Nonfiction</v>
      </c>
      <c r="B1500" t="str">
        <f>"NEW 921 GRI"</f>
        <v>NEW 921 GRI</v>
      </c>
      <c r="C1500" t="str">
        <f>"The stranger in my genes: a memoir"</f>
        <v>The stranger in my genes: a memoir</v>
      </c>
      <c r="D1500">
        <v>359883</v>
      </c>
      <c r="E1500" t="str">
        <f>"Griffeth, Bill"</f>
        <v>Griffeth, Bill</v>
      </c>
      <c r="G1500" t="str">
        <f>"viii, 188 pages, 24 cm, illustrations"</f>
        <v>viii, 188 pages, 24 cm, illustrations</v>
      </c>
      <c r="H1500" s="1">
        <v>19</v>
      </c>
      <c r="I1500">
        <v>2016</v>
      </c>
      <c r="J1500" t="str">
        <f t="shared" si="167"/>
        <v>16: 920 - 929</v>
      </c>
      <c r="L1500" t="s">
        <v>2395</v>
      </c>
      <c r="M1500" t="s">
        <v>28</v>
      </c>
      <c r="N1500" t="s">
        <v>2396</v>
      </c>
      <c r="O1500">
        <v>4</v>
      </c>
      <c r="P1500" s="2">
        <v>43815</v>
      </c>
      <c r="Q1500" s="1">
        <v>35</v>
      </c>
      <c r="R1500" t="s">
        <v>3388</v>
      </c>
      <c r="S1500">
        <v>947075275</v>
      </c>
    </row>
    <row r="1501" spans="1:19" x14ac:dyDescent="0.2">
      <c r="A1501" t="str">
        <f t="shared" si="168"/>
        <v>Adult Nonfiction</v>
      </c>
      <c r="B1501" t="str">
        <f>"NEW 921 HAB"</f>
        <v>NEW 921 HAB</v>
      </c>
      <c r="C1501" t="str">
        <f>"First, they erased our name: a Rohingya speaks"</f>
        <v>First, they erased our name: a Rohingya speaks</v>
      </c>
      <c r="D1501">
        <v>359625</v>
      </c>
      <c r="E1501" t="s">
        <v>3389</v>
      </c>
      <c r="G1501" t="str">
        <f>"241 p."</f>
        <v>241 p.</v>
      </c>
      <c r="H1501" s="1">
        <v>19</v>
      </c>
      <c r="I1501">
        <v>2019</v>
      </c>
      <c r="J1501" t="str">
        <f t="shared" si="167"/>
        <v>16: 920 - 929</v>
      </c>
      <c r="L1501" t="s">
        <v>2403</v>
      </c>
      <c r="M1501" t="s">
        <v>28</v>
      </c>
      <c r="N1501" t="s">
        <v>2396</v>
      </c>
      <c r="O1501">
        <v>1</v>
      </c>
      <c r="P1501" s="2">
        <v>43803</v>
      </c>
      <c r="Q1501" s="1">
        <v>24</v>
      </c>
      <c r="R1501" t="s">
        <v>3390</v>
      </c>
      <c r="S1501">
        <v>1126254537</v>
      </c>
    </row>
    <row r="1502" spans="1:19" x14ac:dyDescent="0.2">
      <c r="A1502" t="str">
        <f t="shared" si="168"/>
        <v>Adult Nonfiction</v>
      </c>
      <c r="B1502" t="str">
        <f>"NEW 921 HAL"</f>
        <v>NEW 921 HAL</v>
      </c>
      <c r="C1502" t="str">
        <f>"With all due respect: defending America with grit and grace"</f>
        <v>With all due respect: defending America with grit and grace</v>
      </c>
      <c r="D1502">
        <v>359691</v>
      </c>
      <c r="E1502" t="str">
        <f>"Haley, Nikki R"</f>
        <v>Haley, Nikki R</v>
      </c>
      <c r="G1502" t="str">
        <f>"viii, 262 pages, 25 cm"</f>
        <v>viii, 262 pages, 25 cm</v>
      </c>
      <c r="H1502" s="1">
        <v>19</v>
      </c>
      <c r="I1502">
        <v>2019</v>
      </c>
      <c r="J1502" t="str">
        <f t="shared" si="167"/>
        <v>16: 920 - 929</v>
      </c>
      <c r="L1502" t="s">
        <v>2395</v>
      </c>
      <c r="M1502" t="s">
        <v>28</v>
      </c>
      <c r="N1502" t="s">
        <v>2404</v>
      </c>
      <c r="O1502">
        <v>3</v>
      </c>
      <c r="P1502" s="2">
        <v>43804</v>
      </c>
      <c r="Q1502" s="1">
        <v>35</v>
      </c>
      <c r="R1502" t="s">
        <v>3391</v>
      </c>
      <c r="S1502">
        <v>1100592075</v>
      </c>
    </row>
    <row r="1503" spans="1:19" x14ac:dyDescent="0.2">
      <c r="A1503" t="str">
        <f t="shared" si="168"/>
        <v>Adult Nonfiction</v>
      </c>
      <c r="B1503" t="str">
        <f>"NEW 921 HAM"</f>
        <v>NEW 921 HAM</v>
      </c>
      <c r="C1503" t="str">
        <f>"How to catch a mole: wisdom from a life lived in nature"</f>
        <v>How to catch a mole: wisdom from a life lived in nature</v>
      </c>
      <c r="D1503">
        <v>358877</v>
      </c>
      <c r="E1503" t="str">
        <f>"Hamer, Marc"</f>
        <v>Hamer, Marc</v>
      </c>
      <c r="G1503" t="str">
        <f>"206 pages, 20 cm, illustrations"</f>
        <v>206 pages, 20 cm, illustrations</v>
      </c>
      <c r="H1503" s="1">
        <v>19</v>
      </c>
      <c r="I1503">
        <v>2019</v>
      </c>
      <c r="J1503" t="str">
        <f t="shared" si="167"/>
        <v>16: 920 - 929</v>
      </c>
      <c r="L1503" t="s">
        <v>2395</v>
      </c>
      <c r="M1503" t="s">
        <v>28</v>
      </c>
      <c r="N1503" t="s">
        <v>2404</v>
      </c>
      <c r="O1503">
        <v>2</v>
      </c>
      <c r="P1503" s="2">
        <v>43769</v>
      </c>
      <c r="Q1503" s="1">
        <v>30</v>
      </c>
      <c r="R1503" t="s">
        <v>3392</v>
      </c>
      <c r="S1503">
        <v>1089005838</v>
      </c>
    </row>
    <row r="1504" spans="1:19" x14ac:dyDescent="0.2">
      <c r="A1504" t="str">
        <f t="shared" si="168"/>
        <v>Adult Nonfiction</v>
      </c>
      <c r="B1504" t="str">
        <f>"NEW 921 HAM"</f>
        <v>NEW 921 HAM</v>
      </c>
      <c r="C1504" t="str">
        <f>"Eliza Hamilton: the extraordinary life and times of the wife of Alexander Hamilton"</f>
        <v>Eliza Hamilton: the extraordinary life and times of the wife of Alexander Hamilton</v>
      </c>
      <c r="D1504">
        <v>356973</v>
      </c>
      <c r="E1504" t="str">
        <f>"Mazzeo, Tilar J."</f>
        <v>Mazzeo, Tilar J.</v>
      </c>
      <c r="G1504" t="str">
        <f>"289 p."</f>
        <v>289 p.</v>
      </c>
      <c r="H1504" s="1">
        <v>19</v>
      </c>
      <c r="I1504">
        <v>2019</v>
      </c>
      <c r="J1504" t="str">
        <f t="shared" si="167"/>
        <v>16: 920 - 929</v>
      </c>
      <c r="L1504" t="s">
        <v>2403</v>
      </c>
      <c r="M1504" t="s">
        <v>28</v>
      </c>
      <c r="N1504" t="s">
        <v>2404</v>
      </c>
      <c r="O1504">
        <v>4</v>
      </c>
      <c r="P1504" s="2">
        <v>43696</v>
      </c>
      <c r="Q1504" s="1">
        <v>22</v>
      </c>
      <c r="R1504" t="s">
        <v>3393</v>
      </c>
      <c r="S1504">
        <v>1076548231</v>
      </c>
    </row>
    <row r="1505" spans="1:19" x14ac:dyDescent="0.2">
      <c r="A1505" t="str">
        <f t="shared" si="168"/>
        <v>Adult Nonfiction</v>
      </c>
      <c r="B1505" t="str">
        <f>"NEW 921 HAR"</f>
        <v>NEW 921 HAR</v>
      </c>
      <c r="C1505" t="str">
        <f>"Face It"</f>
        <v>Face It</v>
      </c>
      <c r="D1505">
        <v>358109</v>
      </c>
      <c r="E1505" t="str">
        <f>"Harry, Debbie"</f>
        <v>Harry, Debbie</v>
      </c>
      <c r="H1505" s="1">
        <v>19</v>
      </c>
      <c r="I1505">
        <v>2019</v>
      </c>
      <c r="J1505" t="str">
        <f t="shared" si="167"/>
        <v>16: 920 - 929</v>
      </c>
      <c r="L1505" t="s">
        <v>2395</v>
      </c>
      <c r="M1505" t="s">
        <v>28</v>
      </c>
      <c r="N1505" t="s">
        <v>2404</v>
      </c>
      <c r="O1505">
        <v>3</v>
      </c>
      <c r="P1505" s="2">
        <v>43740</v>
      </c>
      <c r="Q1505" s="1">
        <v>38</v>
      </c>
      <c r="R1505" t="s">
        <v>3394</v>
      </c>
      <c r="S1505">
        <v>1120052651</v>
      </c>
    </row>
    <row r="1506" spans="1:19" x14ac:dyDescent="0.2">
      <c r="A1506" t="str">
        <f t="shared" si="168"/>
        <v>Adult Nonfiction</v>
      </c>
      <c r="B1506" t="str">
        <f>"NEW 921 HEI"</f>
        <v>NEW 921 HEI</v>
      </c>
      <c r="C1506" t="str">
        <f>"Into the planet: my life as a cave diver"</f>
        <v>Into the planet: my life as a cave diver</v>
      </c>
      <c r="D1506">
        <v>357136</v>
      </c>
      <c r="E1506" t="str">
        <f>"Heinerth, Jill."</f>
        <v>Heinerth, Jill.</v>
      </c>
      <c r="G1506" t="str">
        <f>"270 p."</f>
        <v>270 p.</v>
      </c>
      <c r="H1506" s="1">
        <v>19</v>
      </c>
      <c r="I1506">
        <v>2019</v>
      </c>
      <c r="J1506" t="str">
        <f t="shared" si="167"/>
        <v>16: 920 - 929</v>
      </c>
      <c r="L1506" t="s">
        <v>2403</v>
      </c>
      <c r="M1506" t="s">
        <v>28</v>
      </c>
      <c r="N1506" t="s">
        <v>2396</v>
      </c>
      <c r="O1506">
        <v>2</v>
      </c>
      <c r="P1506" s="2">
        <v>43704</v>
      </c>
      <c r="Q1506" s="1">
        <v>35</v>
      </c>
      <c r="R1506" t="s">
        <v>3395</v>
      </c>
    </row>
    <row r="1507" spans="1:19" x14ac:dyDescent="0.2">
      <c r="A1507" t="str">
        <f t="shared" si="168"/>
        <v>Adult Nonfiction</v>
      </c>
      <c r="B1507" t="str">
        <f>"NEW 921 HOL"</f>
        <v>NEW 921 HOL</v>
      </c>
      <c r="C1507" t="str">
        <f>"Oliver Wendell Holmes: a life in war, law, and ideas"</f>
        <v>Oliver Wendell Holmes: a life in war, law, and ideas</v>
      </c>
      <c r="D1507">
        <v>357304</v>
      </c>
      <c r="E1507" t="str">
        <f>"Budiansky, Stephen"</f>
        <v>Budiansky, Stephen</v>
      </c>
      <c r="G1507" t="str">
        <f>"viii, 579 pages, 25 cm, illustrations"</f>
        <v>viii, 579 pages, 25 cm, illustrations</v>
      </c>
      <c r="H1507" s="1">
        <v>19</v>
      </c>
      <c r="I1507">
        <v>2019</v>
      </c>
      <c r="J1507" t="str">
        <f t="shared" si="167"/>
        <v>16: 920 - 929</v>
      </c>
      <c r="L1507" t="s">
        <v>2395</v>
      </c>
      <c r="M1507" t="s">
        <v>28</v>
      </c>
      <c r="N1507" t="s">
        <v>2396</v>
      </c>
      <c r="O1507">
        <v>2</v>
      </c>
      <c r="P1507" s="2">
        <v>43711</v>
      </c>
      <c r="Q1507" s="1">
        <v>35</v>
      </c>
      <c r="R1507" t="s">
        <v>3396</v>
      </c>
      <c r="S1507">
        <v>1054004414</v>
      </c>
    </row>
    <row r="1508" spans="1:19" x14ac:dyDescent="0.2">
      <c r="A1508" t="str">
        <f t="shared" si="168"/>
        <v>Adult Nonfiction</v>
      </c>
      <c r="B1508" t="str">
        <f>"NEW 921 HOL"</f>
        <v>NEW 921 HOL</v>
      </c>
      <c r="C1508" t="str">
        <f>"Comedy sex god"</f>
        <v>Comedy sex god</v>
      </c>
      <c r="D1508">
        <v>357097</v>
      </c>
      <c r="E1508" t="str">
        <f>"Holmes, Pete,"</f>
        <v>Holmes, Pete,</v>
      </c>
      <c r="G1508" t="str">
        <f>"xii, 303 pages, 22 cm, illustrations"</f>
        <v>xii, 303 pages, 22 cm, illustrations</v>
      </c>
      <c r="H1508" s="1">
        <v>19</v>
      </c>
      <c r="I1508">
        <v>2019</v>
      </c>
      <c r="J1508" t="str">
        <f t="shared" si="167"/>
        <v>16: 920 - 929</v>
      </c>
      <c r="L1508" t="s">
        <v>2403</v>
      </c>
      <c r="M1508" t="s">
        <v>28</v>
      </c>
      <c r="N1508" t="s">
        <v>2404</v>
      </c>
      <c r="O1508">
        <v>3</v>
      </c>
      <c r="P1508" s="2">
        <v>43704</v>
      </c>
      <c r="Q1508" s="1">
        <v>33</v>
      </c>
      <c r="R1508" t="s">
        <v>3397</v>
      </c>
      <c r="S1508">
        <v>1100337609</v>
      </c>
    </row>
    <row r="1509" spans="1:19" x14ac:dyDescent="0.2">
      <c r="A1509" t="str">
        <f t="shared" si="168"/>
        <v>Adult Nonfiction</v>
      </c>
      <c r="B1509" t="str">
        <f>"NEW 921 IGU"</f>
        <v>NEW 921 IGU</v>
      </c>
      <c r="C1509" t="str">
        <f>"The sixth man: a memoir"</f>
        <v>The sixth man: a memoir</v>
      </c>
      <c r="D1509">
        <v>356415</v>
      </c>
      <c r="E1509" t="str">
        <f>"Iguodala, Andre,"</f>
        <v>Iguodala, Andre,</v>
      </c>
      <c r="G1509" t="str">
        <f>"246 pages, 16 pages of unnumbered plates, 24 cm, color illustrations"</f>
        <v>246 pages, 16 pages of unnumbered plates, 24 cm, color illustrations</v>
      </c>
      <c r="H1509" s="1">
        <v>19</v>
      </c>
      <c r="I1509">
        <v>2019</v>
      </c>
      <c r="J1509" t="str">
        <f t="shared" si="167"/>
        <v>16: 920 - 929</v>
      </c>
      <c r="L1509" t="s">
        <v>2403</v>
      </c>
      <c r="M1509" t="s">
        <v>28</v>
      </c>
      <c r="N1509" t="s">
        <v>2404</v>
      </c>
      <c r="O1509">
        <v>6</v>
      </c>
      <c r="P1509" s="2">
        <v>43671</v>
      </c>
      <c r="Q1509" s="1">
        <v>33</v>
      </c>
      <c r="R1509" t="s">
        <v>3398</v>
      </c>
      <c r="S1509">
        <v>1079400521</v>
      </c>
    </row>
    <row r="1510" spans="1:19" x14ac:dyDescent="0.2">
      <c r="A1510" t="str">
        <f t="shared" si="168"/>
        <v>Adult Nonfiction</v>
      </c>
      <c r="B1510" t="str">
        <f>"NEW 921 JAN"</f>
        <v>NEW 921 JAN</v>
      </c>
      <c r="C1510" t="str">
        <f>"Do you mind if I cancel?: (things that still annoy me)"</f>
        <v>Do you mind if I cancel?: (things that still annoy me)</v>
      </c>
      <c r="D1510">
        <v>359483</v>
      </c>
      <c r="E1510" t="str">
        <f>"Janetti, Gary"</f>
        <v>Janetti, Gary</v>
      </c>
      <c r="G1510" t="str">
        <f>"159 pages, 22 cm"</f>
        <v>159 pages, 22 cm</v>
      </c>
      <c r="H1510" s="1">
        <v>19</v>
      </c>
      <c r="I1510">
        <v>2019</v>
      </c>
      <c r="J1510" t="str">
        <f t="shared" si="167"/>
        <v>16: 920 - 929</v>
      </c>
      <c r="L1510" t="s">
        <v>2403</v>
      </c>
      <c r="M1510" t="s">
        <v>28</v>
      </c>
      <c r="N1510" t="s">
        <v>2404</v>
      </c>
      <c r="O1510">
        <v>4</v>
      </c>
      <c r="P1510" s="2">
        <v>43802</v>
      </c>
      <c r="Q1510" s="1">
        <v>33</v>
      </c>
      <c r="R1510" t="s">
        <v>3399</v>
      </c>
      <c r="S1510">
        <v>1110657603</v>
      </c>
    </row>
    <row r="1511" spans="1:19" x14ac:dyDescent="0.2">
      <c r="A1511" t="str">
        <f t="shared" si="168"/>
        <v>Adult Nonfiction</v>
      </c>
      <c r="B1511" t="str">
        <f>"NEW 921 JES"</f>
        <v>NEW 921 JES</v>
      </c>
      <c r="C1511" t="str">
        <f>"Life of Christ"</f>
        <v>Life of Christ</v>
      </c>
      <c r="D1511">
        <v>358122</v>
      </c>
      <c r="E1511" t="str">
        <f>"Sheen, Fulton J."</f>
        <v>Sheen, Fulton J.</v>
      </c>
      <c r="G1511" t="str">
        <f>"xxvii, 658 p., 21 cm"</f>
        <v>xxvii, 658 p., 21 cm</v>
      </c>
      <c r="H1511" s="1">
        <v>19</v>
      </c>
      <c r="I1511">
        <v>2008</v>
      </c>
      <c r="J1511" t="str">
        <f t="shared" si="167"/>
        <v>16: 920 - 929</v>
      </c>
      <c r="L1511" t="s">
        <v>2395</v>
      </c>
      <c r="M1511" t="s">
        <v>28</v>
      </c>
      <c r="N1511" t="s">
        <v>2404</v>
      </c>
      <c r="O1511">
        <v>2</v>
      </c>
      <c r="P1511" s="2">
        <v>43740</v>
      </c>
      <c r="Q1511" s="1">
        <v>25</v>
      </c>
      <c r="R1511" t="s">
        <v>3400</v>
      </c>
      <c r="S1511">
        <v>191898192</v>
      </c>
    </row>
    <row r="1512" spans="1:19" x14ac:dyDescent="0.2">
      <c r="A1512" t="str">
        <f t="shared" si="168"/>
        <v>Adult Nonfiction</v>
      </c>
      <c r="B1512" t="str">
        <f>"NEW 921 JOH"</f>
        <v>NEW 921 JOH</v>
      </c>
      <c r="C1512" t="str">
        <f>"Me: Elton John"</f>
        <v>Me: Elton John</v>
      </c>
      <c r="D1512">
        <v>358325</v>
      </c>
      <c r="E1512" t="str">
        <f>"John, Elton"</f>
        <v>John, Elton</v>
      </c>
      <c r="G1512" t="str">
        <f>"354 p."</f>
        <v>354 p.</v>
      </c>
      <c r="H1512" s="1">
        <v>19</v>
      </c>
      <c r="I1512">
        <v>2019</v>
      </c>
      <c r="J1512" t="str">
        <f t="shared" si="167"/>
        <v>16: 920 - 929</v>
      </c>
      <c r="L1512" t="s">
        <v>2395</v>
      </c>
      <c r="M1512" t="s">
        <v>28</v>
      </c>
      <c r="N1512" t="s">
        <v>2404</v>
      </c>
      <c r="O1512">
        <v>5</v>
      </c>
      <c r="P1512" s="2">
        <v>43749</v>
      </c>
      <c r="Q1512" s="1">
        <v>35</v>
      </c>
      <c r="R1512" t="s">
        <v>3401</v>
      </c>
      <c r="S1512">
        <v>1111871639</v>
      </c>
    </row>
    <row r="1513" spans="1:19" x14ac:dyDescent="0.2">
      <c r="A1513" t="str">
        <f t="shared" si="168"/>
        <v>Adult Nonfiction</v>
      </c>
      <c r="B1513" t="str">
        <f>"NEW 921 JOH"</f>
        <v>NEW 921 JOH</v>
      </c>
      <c r="C1513" t="str">
        <f>"Me: Elton John"</f>
        <v>Me: Elton John</v>
      </c>
      <c r="D1513">
        <v>360234</v>
      </c>
      <c r="E1513" t="str">
        <f>"John, Elton"</f>
        <v>John, Elton</v>
      </c>
      <c r="G1513" t="str">
        <f>"354 p."</f>
        <v>354 p.</v>
      </c>
      <c r="H1513" s="1">
        <v>19</v>
      </c>
      <c r="I1513">
        <v>2019</v>
      </c>
      <c r="J1513" t="str">
        <f t="shared" si="167"/>
        <v>16: 920 - 929</v>
      </c>
      <c r="L1513" t="s">
        <v>2395</v>
      </c>
      <c r="M1513" t="s">
        <v>28</v>
      </c>
      <c r="N1513" t="str">
        <f>"Reserve Cart"</f>
        <v>Reserve Cart</v>
      </c>
      <c r="O1513">
        <v>1</v>
      </c>
      <c r="P1513" s="2">
        <v>43844</v>
      </c>
      <c r="Q1513" s="1">
        <v>35</v>
      </c>
      <c r="R1513" t="s">
        <v>3401</v>
      </c>
      <c r="S1513">
        <v>1111871639</v>
      </c>
    </row>
    <row r="1514" spans="1:19" x14ac:dyDescent="0.2">
      <c r="A1514" t="str">
        <f t="shared" si="168"/>
        <v>Adult Nonfiction</v>
      </c>
      <c r="B1514" t="str">
        <f>"NEW 921 JOH"</f>
        <v>NEW 921 JOH</v>
      </c>
      <c r="C1514" t="str">
        <f>"Jet girl: my life in war, peace, and the cockpit of the world's most lethal aircraft, the F/A-18 Super Hornet"</f>
        <v>Jet girl: my life in war, peace, and the cockpit of the world's most lethal aircraft, the F/A-18 Super Hornet</v>
      </c>
      <c r="D1514">
        <v>359867</v>
      </c>
      <c r="E1514" t="str">
        <f>"Johnson, Caroline"</f>
        <v>Johnson, Caroline</v>
      </c>
      <c r="G1514" t="str">
        <f>"324 pages, 16 unnumbered pages of plates, 25 cm, color illustrations"</f>
        <v>324 pages, 16 unnumbered pages of plates, 25 cm, color illustrations</v>
      </c>
      <c r="H1514" s="1">
        <v>19</v>
      </c>
      <c r="I1514">
        <v>2019</v>
      </c>
      <c r="J1514" t="str">
        <f t="shared" si="167"/>
        <v>16: 920 - 929</v>
      </c>
      <c r="L1514" t="s">
        <v>2403</v>
      </c>
      <c r="M1514" t="s">
        <v>28</v>
      </c>
      <c r="N1514" t="s">
        <v>2404</v>
      </c>
      <c r="O1514">
        <v>2</v>
      </c>
      <c r="P1514" s="2">
        <v>43815</v>
      </c>
      <c r="Q1514" s="1">
        <v>34</v>
      </c>
      <c r="R1514" t="s">
        <v>3402</v>
      </c>
      <c r="S1514">
        <v>1090278947</v>
      </c>
    </row>
    <row r="1515" spans="1:19" x14ac:dyDescent="0.2">
      <c r="A1515" t="str">
        <f t="shared" si="168"/>
        <v>Adult Nonfiction</v>
      </c>
      <c r="B1515" t="str">
        <f>"NEW 921 JON"</f>
        <v>NEW 921 JON</v>
      </c>
      <c r="C1515" t="str">
        <f>"How we fight for our lives: a memoir"</f>
        <v>How we fight for our lives: a memoir</v>
      </c>
      <c r="D1515">
        <v>358315</v>
      </c>
      <c r="E1515" t="str">
        <f>"Jones, Saeed"</f>
        <v>Jones, Saeed</v>
      </c>
      <c r="G1515" t="str">
        <f>"xii, 192 pages, 22 cm"</f>
        <v>xii, 192 pages, 22 cm</v>
      </c>
      <c r="H1515" s="1">
        <v>19</v>
      </c>
      <c r="I1515">
        <v>2019</v>
      </c>
      <c r="J1515" t="str">
        <f t="shared" si="167"/>
        <v>16: 920 - 929</v>
      </c>
      <c r="L1515" t="s">
        <v>2395</v>
      </c>
      <c r="M1515" t="s">
        <v>28</v>
      </c>
      <c r="N1515" t="s">
        <v>2396</v>
      </c>
      <c r="O1515">
        <v>4</v>
      </c>
      <c r="P1515" s="2">
        <v>43749</v>
      </c>
      <c r="Q1515" s="1">
        <v>31</v>
      </c>
      <c r="R1515" t="s">
        <v>3403</v>
      </c>
      <c r="S1515">
        <v>1086495363</v>
      </c>
    </row>
    <row r="1516" spans="1:19" x14ac:dyDescent="0.2">
      <c r="A1516" t="str">
        <f t="shared" si="168"/>
        <v>Adult Nonfiction</v>
      </c>
      <c r="B1516" t="str">
        <f>"NEW 921 JOP"</f>
        <v>NEW 921 JOP</v>
      </c>
      <c r="C1516" t="str">
        <f>"Janis: her life and music"</f>
        <v>Janis: her life and music</v>
      </c>
      <c r="D1516">
        <v>358705</v>
      </c>
      <c r="E1516" t="str">
        <f>"George-Warren, Holly."</f>
        <v>George-Warren, Holly.</v>
      </c>
      <c r="G1516" t="str">
        <f>"xv, 377 pages, 24 cm, illustrations (some color)"</f>
        <v>xv, 377 pages, 24 cm, illustrations (some color)</v>
      </c>
      <c r="H1516" s="1">
        <v>19</v>
      </c>
      <c r="I1516">
        <v>2019</v>
      </c>
      <c r="J1516" t="str">
        <f t="shared" si="167"/>
        <v>16: 920 - 929</v>
      </c>
      <c r="L1516" t="s">
        <v>2403</v>
      </c>
      <c r="M1516" t="s">
        <v>28</v>
      </c>
      <c r="N1516" t="s">
        <v>2404</v>
      </c>
      <c r="O1516">
        <v>5</v>
      </c>
      <c r="P1516" s="2">
        <v>43762</v>
      </c>
      <c r="Q1516" s="1">
        <v>34</v>
      </c>
      <c r="R1516" t="s">
        <v>3404</v>
      </c>
      <c r="S1516">
        <v>1076417963</v>
      </c>
    </row>
    <row r="1517" spans="1:19" x14ac:dyDescent="0.2">
      <c r="A1517" t="str">
        <f t="shared" si="168"/>
        <v>Adult Nonfiction</v>
      </c>
      <c r="B1517" t="str">
        <f>"NEW 921 KEI"</f>
        <v>NEW 921 KEI</v>
      </c>
      <c r="C1517" t="str">
        <f>"Living with limericks"</f>
        <v>Living with limericks</v>
      </c>
      <c r="D1517">
        <v>359530</v>
      </c>
      <c r="E1517" t="str">
        <f>"Keillor, Garrison"</f>
        <v>Keillor, Garrison</v>
      </c>
      <c r="H1517" s="1">
        <v>19</v>
      </c>
      <c r="I1517">
        <v>2019</v>
      </c>
      <c r="J1517" t="str">
        <f t="shared" si="167"/>
        <v>16: 920 - 929</v>
      </c>
      <c r="L1517" t="s">
        <v>2403</v>
      </c>
      <c r="M1517" t="s">
        <v>28</v>
      </c>
      <c r="N1517" t="s">
        <v>2396</v>
      </c>
      <c r="O1517">
        <v>2</v>
      </c>
      <c r="P1517" s="2">
        <v>43802</v>
      </c>
      <c r="Q1517" s="1">
        <v>23</v>
      </c>
      <c r="R1517" t="s">
        <v>3405</v>
      </c>
      <c r="S1517">
        <v>1128884313</v>
      </c>
    </row>
    <row r="1518" spans="1:19" x14ac:dyDescent="0.2">
      <c r="A1518" t="str">
        <f t="shared" si="168"/>
        <v>Adult Nonfiction</v>
      </c>
      <c r="B1518" t="str">
        <f>"NEW 921 KEN"</f>
        <v>NEW 921 KEN</v>
      </c>
      <c r="C1518" t="str">
        <f>"The broken road: George Wallace and a daughter's journey to reconcilation"</f>
        <v>The broken road: George Wallace and a daughter's journey to reconcilation</v>
      </c>
      <c r="D1518">
        <v>359843</v>
      </c>
      <c r="E1518" t="str">
        <f>"Kennedy, Peggy Wallace"</f>
        <v>Kennedy, Peggy Wallace</v>
      </c>
      <c r="G1518" t="str">
        <f>"x, 291 pages, 22 cm, illustrations"</f>
        <v>x, 291 pages, 22 cm, illustrations</v>
      </c>
      <c r="H1518" s="1">
        <v>19</v>
      </c>
      <c r="I1518">
        <v>2019</v>
      </c>
      <c r="J1518" t="str">
        <f t="shared" si="167"/>
        <v>16: 920 - 929</v>
      </c>
      <c r="L1518" t="s">
        <v>2395</v>
      </c>
      <c r="M1518" t="s">
        <v>28</v>
      </c>
      <c r="N1518" t="s">
        <v>2396</v>
      </c>
      <c r="O1518">
        <v>1</v>
      </c>
      <c r="P1518" s="2">
        <v>43815</v>
      </c>
      <c r="Q1518" s="1">
        <v>33</v>
      </c>
      <c r="R1518" t="s">
        <v>3406</v>
      </c>
      <c r="S1518">
        <v>1076505149</v>
      </c>
    </row>
    <row r="1519" spans="1:19" x14ac:dyDescent="0.2">
      <c r="A1519" t="str">
        <f t="shared" si="168"/>
        <v>Adult Nonfiction</v>
      </c>
      <c r="B1519" t="str">
        <f>"NEW 921 KEY"</f>
        <v>NEW 921 KEY</v>
      </c>
      <c r="C1519" t="str">
        <f>"American predator: the hunt for the most meticulous serial killer of the 21st century"</f>
        <v>American predator: the hunt for the most meticulous serial killer of the 21st century</v>
      </c>
      <c r="D1519">
        <v>356373</v>
      </c>
      <c r="E1519" t="str">
        <f>"Callahan, Maureen"</f>
        <v>Callahan, Maureen</v>
      </c>
      <c r="G1519" t="str">
        <f>"285 pages, 24 cm"</f>
        <v>285 pages, 24 cm</v>
      </c>
      <c r="H1519" s="1">
        <v>19</v>
      </c>
      <c r="I1519">
        <v>2019</v>
      </c>
      <c r="J1519" t="str">
        <f t="shared" si="167"/>
        <v>16: 920 - 929</v>
      </c>
      <c r="L1519" t="s">
        <v>2403</v>
      </c>
      <c r="M1519" t="s">
        <v>28</v>
      </c>
      <c r="N1519" t="s">
        <v>2404</v>
      </c>
      <c r="O1519">
        <v>7</v>
      </c>
      <c r="P1519" s="2">
        <v>43671</v>
      </c>
      <c r="Q1519" s="1">
        <v>32</v>
      </c>
      <c r="R1519" t="s">
        <v>3407</v>
      </c>
      <c r="S1519">
        <v>1077789717</v>
      </c>
    </row>
    <row r="1520" spans="1:19" x14ac:dyDescent="0.2">
      <c r="A1520" t="str">
        <f t="shared" si="168"/>
        <v>Adult Nonfiction</v>
      </c>
      <c r="B1520" t="str">
        <f>"NEW 921 KIN"</f>
        <v>NEW 921 KIN</v>
      </c>
      <c r="C1520" t="str">
        <f>"Savage gods"</f>
        <v>Savage gods</v>
      </c>
      <c r="D1520">
        <v>408363</v>
      </c>
      <c r="E1520" t="str">
        <f>"Kingsnorth, Paul,"</f>
        <v>Kingsnorth, Paul,</v>
      </c>
      <c r="G1520" t="str">
        <f>"126 pages, 19 cm"</f>
        <v>126 pages, 19 cm</v>
      </c>
      <c r="H1520" s="1">
        <v>19</v>
      </c>
      <c r="I1520">
        <v>2019</v>
      </c>
      <c r="J1520" t="str">
        <f t="shared" si="167"/>
        <v>16: 920 - 929</v>
      </c>
      <c r="L1520" t="s">
        <v>2395</v>
      </c>
      <c r="M1520" t="s">
        <v>28</v>
      </c>
      <c r="N1520" t="s">
        <v>2396</v>
      </c>
      <c r="O1520">
        <v>0</v>
      </c>
      <c r="P1520" s="2">
        <v>43769</v>
      </c>
      <c r="Q1520" s="1">
        <v>20</v>
      </c>
      <c r="R1520" t="s">
        <v>3408</v>
      </c>
      <c r="S1520">
        <v>1083697130</v>
      </c>
    </row>
    <row r="1521" spans="1:19" x14ac:dyDescent="0.2">
      <c r="A1521" t="str">
        <f t="shared" si="168"/>
        <v>Adult Nonfiction</v>
      </c>
      <c r="B1521" t="str">
        <f>"NEW 921 KOH"</f>
        <v>NEW 921 KOH</v>
      </c>
      <c r="C1521" t="str">
        <f>"The magical language of others: a memoir"</f>
        <v>The magical language of others: a memoir</v>
      </c>
      <c r="D1521">
        <v>360232</v>
      </c>
      <c r="E1521" t="str">
        <f>"Koh, E. J"</f>
        <v>Koh, E. J</v>
      </c>
      <c r="G1521" t="str">
        <f>"xi, 209 pages, 23 cm"</f>
        <v>xi, 209 pages, 23 cm</v>
      </c>
      <c r="H1521" s="1">
        <v>19</v>
      </c>
      <c r="I1521">
        <v>2020</v>
      </c>
      <c r="J1521" t="str">
        <f t="shared" si="167"/>
        <v>16: 920 - 929</v>
      </c>
      <c r="L1521" t="s">
        <v>2395</v>
      </c>
      <c r="M1521" t="s">
        <v>28</v>
      </c>
      <c r="N1521" t="s">
        <v>2404</v>
      </c>
      <c r="O1521">
        <v>1</v>
      </c>
      <c r="P1521" s="2">
        <v>43844</v>
      </c>
      <c r="Q1521" s="1">
        <v>28</v>
      </c>
      <c r="R1521" t="s">
        <v>3409</v>
      </c>
      <c r="S1521">
        <v>1119745184</v>
      </c>
    </row>
    <row r="1522" spans="1:19" x14ac:dyDescent="0.2">
      <c r="A1522" t="str">
        <f t="shared" si="168"/>
        <v>Adult Nonfiction</v>
      </c>
      <c r="B1522" t="str">
        <f>"NEW 921 KOI"</f>
        <v>NEW 921 KOI</v>
      </c>
      <c r="C1522" t="str">
        <f>"How to be a family: the year I dragged my kids around the world to find a new way to Be Together"</f>
        <v>How to be a family: the year I dragged my kids around the world to find a new way to Be Together</v>
      </c>
      <c r="D1522">
        <v>357666</v>
      </c>
      <c r="E1522" t="str">
        <f>"Kois, Dan"</f>
        <v>Kois, Dan</v>
      </c>
      <c r="G1522" t="str">
        <f>"324 p."</f>
        <v>324 p.</v>
      </c>
      <c r="H1522" s="1">
        <v>19</v>
      </c>
      <c r="I1522">
        <v>2019</v>
      </c>
      <c r="J1522" t="str">
        <f t="shared" si="167"/>
        <v>16: 920 - 929</v>
      </c>
      <c r="L1522" t="s">
        <v>2395</v>
      </c>
      <c r="M1522" t="s">
        <v>28</v>
      </c>
      <c r="N1522" t="s">
        <v>2404</v>
      </c>
      <c r="O1522">
        <v>6</v>
      </c>
      <c r="P1522" s="2">
        <v>43725</v>
      </c>
      <c r="Q1522" s="1">
        <v>33</v>
      </c>
      <c r="R1522" t="s">
        <v>3410</v>
      </c>
      <c r="S1522">
        <v>1082238026</v>
      </c>
    </row>
    <row r="1523" spans="1:19" x14ac:dyDescent="0.2">
      <c r="A1523" t="str">
        <f t="shared" si="168"/>
        <v>Adult Nonfiction</v>
      </c>
      <c r="B1523" t="str">
        <f>"NEW 921 KUR"</f>
        <v>NEW 921 KUR</v>
      </c>
      <c r="C1523" t="str">
        <f>"The boy on the beach: my family's escape from Syria and our hope for a new home"</f>
        <v>The boy on the beach: my family's escape from Syria and our hope for a new home</v>
      </c>
      <c r="D1523">
        <v>355525</v>
      </c>
      <c r="E1523" t="str">
        <f>"Kurdi, Tima."</f>
        <v>Kurdi, Tima.</v>
      </c>
      <c r="G1523" t="str">
        <f>"288 p."</f>
        <v>288 p.</v>
      </c>
      <c r="H1523" s="1">
        <v>19</v>
      </c>
      <c r="I1523">
        <v>2019</v>
      </c>
      <c r="J1523" t="str">
        <f t="shared" si="167"/>
        <v>16: 920 - 929</v>
      </c>
      <c r="L1523" t="s">
        <v>2395</v>
      </c>
      <c r="M1523" t="s">
        <v>28</v>
      </c>
      <c r="N1523" t="s">
        <v>2401</v>
      </c>
      <c r="O1523">
        <v>1</v>
      </c>
      <c r="P1523" s="2">
        <v>43634</v>
      </c>
      <c r="Q1523" s="1">
        <v>22</v>
      </c>
      <c r="R1523" t="s">
        <v>3411</v>
      </c>
    </row>
    <row r="1524" spans="1:19" x14ac:dyDescent="0.2">
      <c r="A1524" t="str">
        <f t="shared" si="168"/>
        <v>Adult Nonfiction</v>
      </c>
      <c r="B1524" t="str">
        <f>"NEW 921 LEE"</f>
        <v>NEW 921 LEE</v>
      </c>
      <c r="C1524" t="str">
        <f>"A marvelous life: the amazing story of Stan Lee"</f>
        <v>A marvelous life: the amazing story of Stan Lee</v>
      </c>
      <c r="D1524">
        <v>359033</v>
      </c>
      <c r="E1524" t="str">
        <f>"Fingeroth, Danny"</f>
        <v>Fingeroth, Danny</v>
      </c>
      <c r="G1524" t="str">
        <f>"viii, 390 pages, 8 unnumbered pages of plates, 25 cm, illustrations (some color)"</f>
        <v>viii, 390 pages, 8 unnumbered pages of plates, 25 cm, illustrations (some color)</v>
      </c>
      <c r="H1524" s="1">
        <v>19</v>
      </c>
      <c r="I1524">
        <v>2019</v>
      </c>
      <c r="J1524" t="str">
        <f t="shared" si="167"/>
        <v>16: 920 - 929</v>
      </c>
      <c r="L1524" t="s">
        <v>2395</v>
      </c>
      <c r="M1524" t="s">
        <v>28</v>
      </c>
      <c r="N1524" t="s">
        <v>2404</v>
      </c>
      <c r="O1524">
        <v>1</v>
      </c>
      <c r="P1524" s="2">
        <v>43776</v>
      </c>
      <c r="Q1524" s="1">
        <v>35</v>
      </c>
      <c r="R1524" t="s">
        <v>3412</v>
      </c>
      <c r="S1524">
        <v>1079849434</v>
      </c>
    </row>
    <row r="1525" spans="1:19" x14ac:dyDescent="0.2">
      <c r="A1525" t="str">
        <f t="shared" si="168"/>
        <v>Adult Nonfiction</v>
      </c>
      <c r="B1525" t="str">
        <f>"NEW 921 LIN"</f>
        <v>NEW 921 LIN</v>
      </c>
      <c r="C1525" t="str">
        <f>"Building a life worth living: a memoir"</f>
        <v>Building a life worth living: a memoir</v>
      </c>
      <c r="D1525">
        <v>360210</v>
      </c>
      <c r="E1525" t="str">
        <f>"Linehan, Marsha"</f>
        <v>Linehan, Marsha</v>
      </c>
      <c r="G1525" t="str">
        <f>"xvii, 357 pages, 25 cm"</f>
        <v>xvii, 357 pages, 25 cm</v>
      </c>
      <c r="H1525" s="1">
        <v>19</v>
      </c>
      <c r="I1525">
        <v>2020</v>
      </c>
      <c r="J1525" t="str">
        <f t="shared" si="167"/>
        <v>16: 920 - 929</v>
      </c>
      <c r="L1525" t="s">
        <v>2395</v>
      </c>
      <c r="M1525" t="s">
        <v>28</v>
      </c>
      <c r="N1525" t="s">
        <v>2404</v>
      </c>
      <c r="O1525">
        <v>1</v>
      </c>
      <c r="P1525" s="2">
        <v>43844</v>
      </c>
      <c r="Q1525" s="1">
        <v>32</v>
      </c>
      <c r="R1525" t="s">
        <v>3413</v>
      </c>
      <c r="S1525">
        <v>1055572998</v>
      </c>
    </row>
    <row r="1526" spans="1:19" x14ac:dyDescent="0.2">
      <c r="A1526" t="str">
        <f t="shared" si="168"/>
        <v>Adult Nonfiction</v>
      </c>
      <c r="B1526" t="str">
        <f>"NEW 921 LOC"</f>
        <v>NEW 921 LOC</v>
      </c>
      <c r="C1526" t="str">
        <f>"From scratch: a memoir of love, loss and finding home in the Sicilian countryside"</f>
        <v>From scratch: a memoir of love, loss and finding home in the Sicilian countryside</v>
      </c>
      <c r="D1526">
        <v>357504</v>
      </c>
      <c r="E1526" t="str">
        <f>"Locke, Tembi"</f>
        <v>Locke, Tembi</v>
      </c>
      <c r="G1526" t="str">
        <f>"pages cm"</f>
        <v>pages cm</v>
      </c>
      <c r="H1526" s="1">
        <v>19</v>
      </c>
      <c r="I1526">
        <v>2019</v>
      </c>
      <c r="J1526" t="str">
        <f t="shared" si="167"/>
        <v>16: 920 - 929</v>
      </c>
      <c r="L1526" t="s">
        <v>2403</v>
      </c>
      <c r="M1526" t="s">
        <v>28</v>
      </c>
      <c r="N1526" t="s">
        <v>2396</v>
      </c>
      <c r="O1526">
        <v>1</v>
      </c>
      <c r="P1526" s="2">
        <v>43719</v>
      </c>
      <c r="Q1526" s="1">
        <v>32</v>
      </c>
      <c r="R1526" t="s">
        <v>3414</v>
      </c>
    </row>
    <row r="1527" spans="1:19" x14ac:dyDescent="0.2">
      <c r="A1527" t="str">
        <f t="shared" si="168"/>
        <v>Adult Nonfiction</v>
      </c>
      <c r="B1527" t="str">
        <f>"NEW 921 LOW"</f>
        <v>NEW 921 LOW</v>
      </c>
      <c r="C1527" t="str">
        <f>"Cruel to be kind: the life and music of Nick Lowe"</f>
        <v>Cruel to be kind: the life and music of Nick Lowe</v>
      </c>
      <c r="D1527">
        <v>357279</v>
      </c>
      <c r="E1527" t="str">
        <f>"Birch, Will"</f>
        <v>Birch, Will</v>
      </c>
      <c r="G1527" t="str">
        <f>"viii, 406 pages, 16 unnumbered pages of plates, 24 cm, illustrations"</f>
        <v>viii, 406 pages, 16 unnumbered pages of plates, 24 cm, illustrations</v>
      </c>
      <c r="H1527" s="1">
        <v>19</v>
      </c>
      <c r="I1527">
        <v>2019</v>
      </c>
      <c r="J1527" t="str">
        <f t="shared" si="167"/>
        <v>16: 920 - 929</v>
      </c>
      <c r="L1527" t="s">
        <v>2403</v>
      </c>
      <c r="M1527" t="s">
        <v>28</v>
      </c>
      <c r="N1527" t="s">
        <v>2404</v>
      </c>
      <c r="O1527">
        <v>5</v>
      </c>
      <c r="P1527" s="2">
        <v>43711</v>
      </c>
      <c r="Q1527" s="1">
        <v>33</v>
      </c>
      <c r="R1527" t="s">
        <v>3415</v>
      </c>
      <c r="S1527">
        <v>1078889225</v>
      </c>
    </row>
    <row r="1528" spans="1:19" x14ac:dyDescent="0.2">
      <c r="A1528" t="str">
        <f t="shared" si="168"/>
        <v>Adult Nonfiction</v>
      </c>
      <c r="B1528" t="str">
        <f>"NEW 921 LUC"</f>
        <v>NEW 921 LUC</v>
      </c>
      <c r="C1528" t="str">
        <f>"Tough luck: Sid Luckman, Murder, Inc., and the rise of the modern NFL"</f>
        <v>Tough luck: Sid Luckman, Murder, Inc., and the rise of the modern NFL</v>
      </c>
      <c r="D1528">
        <v>357936</v>
      </c>
      <c r="E1528" t="str">
        <f>"Rosen, Richard Dean,"</f>
        <v>Rosen, Richard Dean,</v>
      </c>
      <c r="G1528" t="str">
        <f>"pages cm"</f>
        <v>pages cm</v>
      </c>
      <c r="H1528" s="1">
        <v>19</v>
      </c>
      <c r="I1528">
        <v>2019</v>
      </c>
      <c r="J1528" t="str">
        <f t="shared" si="167"/>
        <v>16: 920 - 929</v>
      </c>
      <c r="L1528" t="s">
        <v>2403</v>
      </c>
      <c r="M1528" t="s">
        <v>28</v>
      </c>
      <c r="N1528" t="s">
        <v>2396</v>
      </c>
      <c r="O1528">
        <v>5</v>
      </c>
      <c r="P1528" s="2">
        <v>43733</v>
      </c>
      <c r="Q1528" s="1">
        <v>32</v>
      </c>
      <c r="R1528" t="s">
        <v>3416</v>
      </c>
      <c r="S1528">
        <v>1090486155</v>
      </c>
    </row>
    <row r="1529" spans="1:19" x14ac:dyDescent="0.2">
      <c r="A1529" t="str">
        <f t="shared" si="168"/>
        <v>Adult Nonfiction</v>
      </c>
      <c r="B1529" t="str">
        <f>"NEW 921 MAC"</f>
        <v>NEW 921 MAC</v>
      </c>
      <c r="C1529" t="str">
        <f>"In the dream house: a memoir"</f>
        <v>In the dream house: a memoir</v>
      </c>
      <c r="D1529">
        <v>359027</v>
      </c>
      <c r="E1529" t="str">
        <f>"Machado, Carmen Maria"</f>
        <v>Machado, Carmen Maria</v>
      </c>
      <c r="G1529" t="str">
        <f>"247 pages, 24 cm"</f>
        <v>247 pages, 24 cm</v>
      </c>
      <c r="H1529" s="1">
        <v>19</v>
      </c>
      <c r="I1529">
        <v>2019</v>
      </c>
      <c r="J1529" t="str">
        <f t="shared" si="167"/>
        <v>16: 920 - 929</v>
      </c>
      <c r="L1529" t="s">
        <v>2395</v>
      </c>
      <c r="M1529" t="s">
        <v>28</v>
      </c>
      <c r="N1529" t="s">
        <v>2396</v>
      </c>
      <c r="O1529">
        <v>3</v>
      </c>
      <c r="P1529" s="2">
        <v>43776</v>
      </c>
      <c r="Q1529" s="1">
        <v>31</v>
      </c>
      <c r="R1529" t="s">
        <v>3417</v>
      </c>
      <c r="S1529">
        <v>1125007117</v>
      </c>
    </row>
    <row r="1530" spans="1:19" x14ac:dyDescent="0.2">
      <c r="A1530" t="str">
        <f t="shared" si="168"/>
        <v>Adult Nonfiction</v>
      </c>
      <c r="B1530" t="str">
        <f>"NEW 921 MAD"</f>
        <v>NEW 921 MAD</v>
      </c>
      <c r="C1530" t="str">
        <f>"Long live the tribe of fatherless girls: a memoir"</f>
        <v>Long live the tribe of fatherless girls: a memoir</v>
      </c>
      <c r="D1530">
        <v>354051</v>
      </c>
      <c r="E1530" t="str">
        <f>"Madden, T Kira"</f>
        <v>Madden, T Kira</v>
      </c>
      <c r="G1530" t="str">
        <f>"xviii, 309 pages, 22 cm, illustration"</f>
        <v>xviii, 309 pages, 22 cm, illustration</v>
      </c>
      <c r="H1530" s="1">
        <v>19</v>
      </c>
      <c r="I1530">
        <v>2019</v>
      </c>
      <c r="J1530" t="str">
        <f t="shared" si="167"/>
        <v>16: 920 - 929</v>
      </c>
      <c r="L1530" t="s">
        <v>2395</v>
      </c>
      <c r="M1530" t="s">
        <v>28</v>
      </c>
      <c r="N1530" t="s">
        <v>2401</v>
      </c>
      <c r="O1530">
        <v>6</v>
      </c>
      <c r="P1530" s="2">
        <v>43564</v>
      </c>
      <c r="Q1530" s="1">
        <v>32</v>
      </c>
      <c r="R1530" t="s">
        <v>3418</v>
      </c>
      <c r="S1530">
        <v>1033782506</v>
      </c>
    </row>
    <row r="1531" spans="1:19" x14ac:dyDescent="0.2">
      <c r="A1531" t="str">
        <f t="shared" si="168"/>
        <v>Adult Nonfiction</v>
      </c>
      <c r="B1531" t="str">
        <f>"NEW 921 MAD"</f>
        <v>NEW 921 MAD</v>
      </c>
      <c r="C1531" t="str">
        <f>"Rachel Maddow"</f>
        <v>Rachel Maddow</v>
      </c>
      <c r="D1531">
        <v>360241</v>
      </c>
      <c r="E1531" t="str">
        <f>"Rogak, Lisa"</f>
        <v>Rogak, Lisa</v>
      </c>
      <c r="G1531" t="str">
        <f>"271 pages, 8 unnumbered pages of plates, 25 cm, illustrations"</f>
        <v>271 pages, 8 unnumbered pages of plates, 25 cm, illustrations</v>
      </c>
      <c r="H1531" s="1">
        <v>19</v>
      </c>
      <c r="I1531">
        <v>2020</v>
      </c>
      <c r="J1531" t="str">
        <f t="shared" si="167"/>
        <v>16: 920 - 929</v>
      </c>
      <c r="L1531" t="s">
        <v>2395</v>
      </c>
      <c r="M1531" t="s">
        <v>28</v>
      </c>
      <c r="N1531" t="s">
        <v>2404</v>
      </c>
      <c r="O1531">
        <v>1</v>
      </c>
      <c r="P1531" s="2">
        <v>43844</v>
      </c>
      <c r="Q1531" s="1">
        <v>34</v>
      </c>
      <c r="R1531" t="s">
        <v>3419</v>
      </c>
      <c r="S1531">
        <v>1097576002</v>
      </c>
    </row>
    <row r="1532" spans="1:19" x14ac:dyDescent="0.2">
      <c r="A1532" t="str">
        <f t="shared" si="168"/>
        <v>Adult Nonfiction</v>
      </c>
      <c r="B1532" t="str">
        <f>"NEW 921 MAT"</f>
        <v>NEW 921 MAT</v>
      </c>
      <c r="C1532" t="str">
        <f>"Call sign chaos: learning to lead"</f>
        <v>Call sign chaos: learning to lead</v>
      </c>
      <c r="D1532">
        <v>357275</v>
      </c>
      <c r="E1532" t="str">
        <f>"Mattis, James N.,"</f>
        <v>Mattis, James N.,</v>
      </c>
      <c r="G1532" t="str">
        <f>"xiv, 300 pages, 16 unnumbered pages of plates, 25 cm, illustrations (chiefly color), maps"</f>
        <v>xiv, 300 pages, 16 unnumbered pages of plates, 25 cm, illustrations (chiefly color), maps</v>
      </c>
      <c r="H1532" s="1">
        <v>19</v>
      </c>
      <c r="I1532">
        <v>2019</v>
      </c>
      <c r="J1532" t="str">
        <f t="shared" si="167"/>
        <v>16: 920 - 929</v>
      </c>
      <c r="L1532" t="s">
        <v>2403</v>
      </c>
      <c r="M1532" t="s">
        <v>28</v>
      </c>
      <c r="N1532" t="s">
        <v>2404</v>
      </c>
      <c r="O1532">
        <v>6</v>
      </c>
      <c r="P1532" s="2">
        <v>43711</v>
      </c>
      <c r="Q1532" s="1">
        <v>33</v>
      </c>
      <c r="R1532" t="s">
        <v>3420</v>
      </c>
      <c r="S1532">
        <v>1112672474</v>
      </c>
    </row>
    <row r="1533" spans="1:19" x14ac:dyDescent="0.2">
      <c r="A1533" t="str">
        <f t="shared" si="168"/>
        <v>Adult Nonfiction</v>
      </c>
      <c r="B1533" t="str">
        <f>"NEW 921 MAT"</f>
        <v>NEW 921 MAT</v>
      </c>
      <c r="C1533" t="str">
        <f>"Holding the line: inside Trump's Pentagon with Secretary Mattis"</f>
        <v>Holding the line: inside Trump's Pentagon with Secretary Mattis</v>
      </c>
      <c r="D1533">
        <v>359024</v>
      </c>
      <c r="E1533" t="str">
        <f>"Snodgrass, Guy M.,"</f>
        <v>Snodgrass, Guy M.,</v>
      </c>
      <c r="G1533" t="str">
        <f>"xiv, 335 p., 8 pages of unnumbered plates, 24 cm, color illustrations"</f>
        <v>xiv, 335 p., 8 pages of unnumbered plates, 24 cm, color illustrations</v>
      </c>
      <c r="H1533" s="1">
        <v>19</v>
      </c>
      <c r="I1533">
        <v>2019</v>
      </c>
      <c r="J1533" t="str">
        <f t="shared" si="167"/>
        <v>16: 920 - 929</v>
      </c>
      <c r="L1533" t="s">
        <v>2395</v>
      </c>
      <c r="M1533" t="s">
        <v>28</v>
      </c>
      <c r="N1533" t="s">
        <v>2396</v>
      </c>
      <c r="O1533">
        <v>1</v>
      </c>
      <c r="P1533" s="2">
        <v>43776</v>
      </c>
      <c r="Q1533" s="1">
        <v>32</v>
      </c>
      <c r="R1533" t="s">
        <v>3421</v>
      </c>
      <c r="S1533">
        <v>1119064889</v>
      </c>
    </row>
    <row r="1534" spans="1:19" x14ac:dyDescent="0.2">
      <c r="A1534" t="str">
        <f t="shared" si="168"/>
        <v>Adult Nonfiction</v>
      </c>
      <c r="B1534" t="str">
        <f>"NEW 921 MCK"</f>
        <v>NEW 921 MCK</v>
      </c>
      <c r="C1534" t="str">
        <f>"Ian McKellen: a biography"</f>
        <v>Ian McKellen: a biography</v>
      </c>
      <c r="D1534">
        <v>359560</v>
      </c>
      <c r="E1534" t="str">
        <f>"O'Connor, Garry"</f>
        <v>O'Connor, Garry</v>
      </c>
      <c r="G1534" t="str">
        <f>"xii, 356 pages, 16 unnumbered pages of plates, 25 cm, illustrations (chiefly color)"</f>
        <v>xii, 356 pages, 16 unnumbered pages of plates, 25 cm, illustrations (chiefly color)</v>
      </c>
      <c r="H1534" s="1">
        <v>19</v>
      </c>
      <c r="I1534">
        <v>2019</v>
      </c>
      <c r="J1534" t="str">
        <f t="shared" si="167"/>
        <v>16: 920 - 929</v>
      </c>
      <c r="L1534" t="s">
        <v>2403</v>
      </c>
      <c r="M1534" t="s">
        <v>28</v>
      </c>
      <c r="N1534" t="s">
        <v>2404</v>
      </c>
      <c r="O1534">
        <v>2</v>
      </c>
      <c r="P1534" s="2">
        <v>43802</v>
      </c>
      <c r="Q1534" s="1">
        <v>35</v>
      </c>
      <c r="R1534" t="s">
        <v>3422</v>
      </c>
      <c r="S1534">
        <v>1113218800</v>
      </c>
    </row>
    <row r="1535" spans="1:19" x14ac:dyDescent="0.2">
      <c r="A1535" t="str">
        <f t="shared" si="168"/>
        <v>Adult Nonfiction</v>
      </c>
      <c r="B1535" t="str">
        <f>"NEW 921 MEN"</f>
        <v>NEW 921 MEN</v>
      </c>
      <c r="C1535" t="str">
        <f>"Mengele: unmasking the ""Angel of Death"""</f>
        <v>Mengele: unmasking the "Angel of Death"</v>
      </c>
      <c r="D1535">
        <v>360649</v>
      </c>
      <c r="E1535" t="str">
        <f>"Marwell, David George,"</f>
        <v>Marwell, David George,</v>
      </c>
      <c r="G1535" t="str">
        <f>"xvi, 432 pages 8 unnumbered pages of plates,, 24 cm, illustrations"</f>
        <v>xvi, 432 pages 8 unnumbered pages of plates,, 24 cm, illustrations</v>
      </c>
      <c r="H1535" s="1">
        <v>20</v>
      </c>
      <c r="I1535">
        <v>2020</v>
      </c>
      <c r="J1535" t="str">
        <f t="shared" si="167"/>
        <v>16: 920 - 929</v>
      </c>
      <c r="L1535" t="s">
        <v>2395</v>
      </c>
      <c r="M1535" t="s">
        <v>28</v>
      </c>
      <c r="N1535" t="s">
        <v>2495</v>
      </c>
      <c r="O1535">
        <v>0</v>
      </c>
      <c r="P1535" s="2">
        <v>43859</v>
      </c>
      <c r="Q1535" s="1">
        <v>35</v>
      </c>
      <c r="R1535" t="s">
        <v>3423</v>
      </c>
      <c r="S1535">
        <v>1102469189</v>
      </c>
    </row>
    <row r="1536" spans="1:19" x14ac:dyDescent="0.2">
      <c r="A1536" t="str">
        <f t="shared" si="168"/>
        <v>Adult Nonfiction</v>
      </c>
      <c r="B1536" t="str">
        <f>"NEW 921 MIL"</f>
        <v>NEW 921 MIL</v>
      </c>
      <c r="C1536" t="str">
        <f>"Know my name: a memoir"</f>
        <v>Know my name: a memoir</v>
      </c>
      <c r="D1536">
        <v>357901</v>
      </c>
      <c r="E1536" t="str">
        <f>"Miller, Chanel"</f>
        <v>Miller, Chanel</v>
      </c>
      <c r="G1536" t="str">
        <f>"356 p."</f>
        <v>356 p.</v>
      </c>
      <c r="H1536" s="1">
        <v>19</v>
      </c>
      <c r="I1536">
        <v>2019</v>
      </c>
      <c r="J1536" t="str">
        <f t="shared" si="167"/>
        <v>16: 920 - 929</v>
      </c>
      <c r="L1536" t="s">
        <v>2395</v>
      </c>
      <c r="M1536" t="s">
        <v>28</v>
      </c>
      <c r="N1536" t="s">
        <v>2404</v>
      </c>
      <c r="O1536">
        <v>6</v>
      </c>
      <c r="P1536" s="2">
        <v>43733</v>
      </c>
      <c r="Q1536" s="1">
        <v>33</v>
      </c>
      <c r="R1536" t="s">
        <v>3424</v>
      </c>
      <c r="S1536">
        <v>1115007919</v>
      </c>
    </row>
    <row r="1537" spans="1:19" x14ac:dyDescent="0.2">
      <c r="A1537" t="str">
        <f t="shared" si="168"/>
        <v>Adult Nonfiction</v>
      </c>
      <c r="B1537" t="str">
        <f>"NEW 921 MIT"</f>
        <v>NEW 921 MIT</v>
      </c>
      <c r="C1537" t="str">
        <f>"Becoming a dangerous woman: embracing risk to change the world"</f>
        <v>Becoming a dangerous woman: embracing risk to change the world</v>
      </c>
      <c r="D1537">
        <v>358295</v>
      </c>
      <c r="E1537" t="str">
        <f>"Mitchell, Pat,"</f>
        <v>Mitchell, Pat,</v>
      </c>
      <c r="G1537" t="str">
        <f>"281 p."</f>
        <v>281 p.</v>
      </c>
      <c r="H1537" s="1">
        <v>19</v>
      </c>
      <c r="I1537">
        <v>2019</v>
      </c>
      <c r="J1537" t="str">
        <f t="shared" si="167"/>
        <v>16: 920 - 929</v>
      </c>
      <c r="L1537" t="s">
        <v>2395</v>
      </c>
      <c r="M1537" t="s">
        <v>28</v>
      </c>
      <c r="N1537" t="s">
        <v>2404</v>
      </c>
      <c r="O1537">
        <v>3</v>
      </c>
      <c r="P1537" s="2">
        <v>43749</v>
      </c>
      <c r="Q1537" s="1">
        <v>33</v>
      </c>
      <c r="R1537" t="s">
        <v>3425</v>
      </c>
      <c r="S1537">
        <v>1085637991</v>
      </c>
    </row>
    <row r="1538" spans="1:19" x14ac:dyDescent="0.2">
      <c r="A1538" t="str">
        <f t="shared" si="168"/>
        <v>Adult Nonfiction</v>
      </c>
      <c r="B1538" t="str">
        <f>"NEW 921 MOO"</f>
        <v>NEW 921 MOO</v>
      </c>
      <c r="C1538" t="str">
        <f>"Normal sucks: how to live, learn, and thrive outside the lines"</f>
        <v>Normal sucks: how to live, learn, and thrive outside the lines</v>
      </c>
      <c r="D1538">
        <v>356831</v>
      </c>
      <c r="E1538" t="str">
        <f>"Mooney, Jonathan"</f>
        <v>Mooney, Jonathan</v>
      </c>
      <c r="G1538" t="str">
        <f>"240 pages, 22 cm"</f>
        <v>240 pages, 22 cm</v>
      </c>
      <c r="H1538" s="1">
        <v>19</v>
      </c>
      <c r="I1538">
        <v>2019</v>
      </c>
      <c r="J1538" t="str">
        <f t="shared" si="167"/>
        <v>16: 920 - 929</v>
      </c>
      <c r="L1538" t="s">
        <v>2403</v>
      </c>
      <c r="M1538" t="s">
        <v>28</v>
      </c>
      <c r="N1538" t="s">
        <v>2396</v>
      </c>
      <c r="O1538">
        <v>4</v>
      </c>
      <c r="P1538" s="2">
        <v>43691</v>
      </c>
      <c r="Q1538" s="1">
        <v>31</v>
      </c>
      <c r="R1538" t="s">
        <v>3426</v>
      </c>
      <c r="S1538">
        <v>1074101421</v>
      </c>
    </row>
    <row r="1539" spans="1:19" x14ac:dyDescent="0.2">
      <c r="A1539" t="str">
        <f t="shared" si="168"/>
        <v>Adult Nonfiction</v>
      </c>
      <c r="B1539" t="str">
        <f>"NEW 921 MOO"</f>
        <v>NEW 921 MOO</v>
      </c>
      <c r="C1539" t="str">
        <f>"Inside out: a memoir"</f>
        <v>Inside out: a memoir</v>
      </c>
      <c r="D1539">
        <v>358116</v>
      </c>
      <c r="E1539" t="str">
        <f>"Moore, Demi"</f>
        <v>Moore, Demi</v>
      </c>
      <c r="G1539" t="str">
        <f>"262 pages, 24 cm, illustrations (some color)"</f>
        <v>262 pages, 24 cm, illustrations (some color)</v>
      </c>
      <c r="H1539" s="1">
        <v>19</v>
      </c>
      <c r="I1539">
        <v>2019</v>
      </c>
      <c r="J1539" t="str">
        <f t="shared" ref="J1539:J1596" si="169">"16: 920 - 929"</f>
        <v>16: 920 - 929</v>
      </c>
      <c r="L1539" t="s">
        <v>2395</v>
      </c>
      <c r="M1539" t="s">
        <v>28</v>
      </c>
      <c r="N1539" t="str">
        <f>"Reserve Cart"</f>
        <v>Reserve Cart</v>
      </c>
      <c r="O1539">
        <v>5</v>
      </c>
      <c r="P1539" s="2">
        <v>43740</v>
      </c>
      <c r="Q1539" s="1">
        <v>33</v>
      </c>
      <c r="R1539" t="s">
        <v>3427</v>
      </c>
      <c r="S1539">
        <v>1096518819</v>
      </c>
    </row>
    <row r="1540" spans="1:19" x14ac:dyDescent="0.2">
      <c r="A1540" t="str">
        <f t="shared" si="168"/>
        <v>Adult Nonfiction</v>
      </c>
      <c r="B1540" t="str">
        <f>"NEW 921 MOO"</f>
        <v>NEW 921 MOO</v>
      </c>
      <c r="C1540" t="str">
        <f>"Inside out: a memoir"</f>
        <v>Inside out: a memoir</v>
      </c>
      <c r="D1540">
        <v>360227</v>
      </c>
      <c r="E1540" t="str">
        <f>"Moore, Demi"</f>
        <v>Moore, Demi</v>
      </c>
      <c r="G1540" t="str">
        <f>"262 pages, 24 cm, illustrations (some color)"</f>
        <v>262 pages, 24 cm, illustrations (some color)</v>
      </c>
      <c r="H1540" s="1">
        <v>19</v>
      </c>
      <c r="I1540">
        <v>2019</v>
      </c>
      <c r="J1540" t="str">
        <f t="shared" si="169"/>
        <v>16: 920 - 929</v>
      </c>
      <c r="L1540" t="s">
        <v>2395</v>
      </c>
      <c r="M1540" t="s">
        <v>28</v>
      </c>
      <c r="N1540" t="s">
        <v>2404</v>
      </c>
      <c r="O1540">
        <v>1</v>
      </c>
      <c r="P1540" s="2">
        <v>43844</v>
      </c>
      <c r="Q1540" s="1">
        <v>33</v>
      </c>
      <c r="R1540" t="s">
        <v>3427</v>
      </c>
      <c r="S1540">
        <v>1096518819</v>
      </c>
    </row>
    <row r="1541" spans="1:19" x14ac:dyDescent="0.2">
      <c r="A1541" t="str">
        <f t="shared" si="168"/>
        <v>Adult Nonfiction</v>
      </c>
      <c r="B1541" t="str">
        <f>"NEW 921 MOO"</f>
        <v>NEW 921 MOO</v>
      </c>
      <c r="C1541" t="str">
        <f>"Blood: a memoir"</f>
        <v>Blood: a memoir</v>
      </c>
      <c r="D1541">
        <v>358860</v>
      </c>
      <c r="E1541" t="str">
        <f>"Moorer, Allison."</f>
        <v>Moorer, Allison.</v>
      </c>
      <c r="G1541" t="str">
        <f>"xii, 300 p., 22 cm, illustrations"</f>
        <v>xii, 300 p., 22 cm, illustrations</v>
      </c>
      <c r="H1541" s="1">
        <v>19</v>
      </c>
      <c r="I1541">
        <v>2019</v>
      </c>
      <c r="J1541" t="str">
        <f t="shared" si="169"/>
        <v>16: 920 - 929</v>
      </c>
      <c r="L1541" t="s">
        <v>2403</v>
      </c>
      <c r="M1541" t="s">
        <v>28</v>
      </c>
      <c r="N1541" t="s">
        <v>2396</v>
      </c>
      <c r="O1541">
        <v>6</v>
      </c>
      <c r="P1541" s="2">
        <v>43769</v>
      </c>
      <c r="Q1541" s="1">
        <v>32</v>
      </c>
      <c r="R1541" t="s">
        <v>3428</v>
      </c>
      <c r="S1541">
        <v>1078957437</v>
      </c>
    </row>
    <row r="1542" spans="1:19" x14ac:dyDescent="0.2">
      <c r="A1542" t="str">
        <f t="shared" si="168"/>
        <v>Adult Nonfiction</v>
      </c>
      <c r="B1542" t="str">
        <f>"NEW 921 MOO"</f>
        <v>NEW 921 MOO</v>
      </c>
      <c r="C1542" t="str">
        <f>"Blood: a memoir"</f>
        <v>Blood: a memoir</v>
      </c>
      <c r="D1542">
        <v>359999</v>
      </c>
      <c r="E1542" t="str">
        <f>"Moorer, Allison."</f>
        <v>Moorer, Allison.</v>
      </c>
      <c r="G1542" t="str">
        <f>"xii, 300 p., 22 cm, illustrations"</f>
        <v>xii, 300 p., 22 cm, illustrations</v>
      </c>
      <c r="H1542" s="1">
        <v>19</v>
      </c>
      <c r="I1542">
        <v>2019</v>
      </c>
      <c r="J1542" t="str">
        <f t="shared" si="169"/>
        <v>16: 920 - 929</v>
      </c>
      <c r="L1542" t="s">
        <v>2403</v>
      </c>
      <c r="M1542" t="s">
        <v>28</v>
      </c>
      <c r="N1542" t="s">
        <v>2404</v>
      </c>
      <c r="O1542">
        <v>4</v>
      </c>
      <c r="P1542" s="2">
        <v>43826</v>
      </c>
      <c r="Q1542" s="1">
        <v>32</v>
      </c>
      <c r="R1542" t="s">
        <v>3428</v>
      </c>
      <c r="S1542">
        <v>1078957437</v>
      </c>
    </row>
    <row r="1543" spans="1:19" x14ac:dyDescent="0.2">
      <c r="A1543" t="str">
        <f t="shared" si="168"/>
        <v>Adult Nonfiction</v>
      </c>
      <c r="B1543" t="str">
        <f>"NEW 921 NAY"</f>
        <v>NEW 921 NAY</v>
      </c>
      <c r="C1543" t="str">
        <f>"The ungrateful refugee: what immigrants never tell you"</f>
        <v>The ungrateful refugee: what immigrants never tell you</v>
      </c>
      <c r="D1543">
        <v>357744</v>
      </c>
      <c r="E1543" t="str">
        <f>"Nayeri, Dina."</f>
        <v>Nayeri, Dina.</v>
      </c>
      <c r="G1543" t="str">
        <f>"350 pages, 23 cm"</f>
        <v>350 pages, 23 cm</v>
      </c>
      <c r="H1543" s="1">
        <v>19</v>
      </c>
      <c r="I1543">
        <v>2019</v>
      </c>
      <c r="J1543" t="str">
        <f t="shared" si="169"/>
        <v>16: 920 - 929</v>
      </c>
      <c r="L1543" t="s">
        <v>2403</v>
      </c>
      <c r="M1543" t="s">
        <v>28</v>
      </c>
      <c r="N1543" t="s">
        <v>2404</v>
      </c>
      <c r="O1543">
        <v>6</v>
      </c>
      <c r="P1543" s="2">
        <v>43725</v>
      </c>
      <c r="Q1543" s="1">
        <v>31</v>
      </c>
      <c r="R1543" t="s">
        <v>3429</v>
      </c>
      <c r="S1543">
        <v>1083686978</v>
      </c>
    </row>
    <row r="1544" spans="1:19" x14ac:dyDescent="0.2">
      <c r="A1544" t="str">
        <f t="shared" si="168"/>
        <v>Adult Nonfiction</v>
      </c>
      <c r="B1544" t="str">
        <f>"NEW 921 NEW"</f>
        <v>NEW 921 NEW</v>
      </c>
      <c r="C1544" t="str">
        <f>"Normal: a mother and her beautiful son"</f>
        <v>Normal: a mother and her beautiful son</v>
      </c>
      <c r="D1544">
        <v>360236</v>
      </c>
      <c r="E1544" t="str">
        <f>"Newman, Magdalena M."</f>
        <v>Newman, Magdalena M.</v>
      </c>
      <c r="G1544" t="str">
        <f>"257 p."</f>
        <v>257 p.</v>
      </c>
      <c r="H1544" s="1">
        <v>19</v>
      </c>
      <c r="I1544">
        <v>2020</v>
      </c>
      <c r="J1544" t="str">
        <f t="shared" si="169"/>
        <v>16: 920 - 929</v>
      </c>
      <c r="L1544" t="s">
        <v>2395</v>
      </c>
      <c r="M1544" t="s">
        <v>28</v>
      </c>
      <c r="N1544" t="s">
        <v>2396</v>
      </c>
      <c r="O1544">
        <v>0</v>
      </c>
      <c r="P1544" s="2">
        <v>43844</v>
      </c>
      <c r="Q1544" s="1">
        <v>30</v>
      </c>
      <c r="R1544" t="s">
        <v>3430</v>
      </c>
      <c r="S1544">
        <v>1080246296</v>
      </c>
    </row>
    <row r="1545" spans="1:19" x14ac:dyDescent="0.2">
      <c r="A1545" t="str">
        <f t="shared" si="168"/>
        <v>Adult Nonfiction</v>
      </c>
      <c r="B1545" t="str">
        <f>"NEW 921 NIX"</f>
        <v>NEW 921 NIX</v>
      </c>
      <c r="C1545" t="str">
        <f>"The fall of Richard Nixon: a reporter remembers Watergate"</f>
        <v>The fall of Richard Nixon: a reporter remembers Watergate</v>
      </c>
      <c r="D1545">
        <v>358868</v>
      </c>
      <c r="E1545" t="str">
        <f>"Brokaw, Tom"</f>
        <v>Brokaw, Tom</v>
      </c>
      <c r="G1545" t="str">
        <f>"x, 226 pages, 22 cm, illustrations"</f>
        <v>x, 226 pages, 22 cm, illustrations</v>
      </c>
      <c r="H1545" s="1">
        <v>19</v>
      </c>
      <c r="I1545">
        <v>2019</v>
      </c>
      <c r="J1545" t="str">
        <f t="shared" si="169"/>
        <v>16: 920 - 929</v>
      </c>
      <c r="L1545" t="s">
        <v>2395</v>
      </c>
      <c r="M1545" t="s">
        <v>28</v>
      </c>
      <c r="N1545" t="s">
        <v>2396</v>
      </c>
      <c r="O1545">
        <v>2</v>
      </c>
      <c r="P1545" s="2">
        <v>43769</v>
      </c>
      <c r="Q1545" s="1">
        <v>32</v>
      </c>
      <c r="R1545" t="s">
        <v>3431</v>
      </c>
      <c r="S1545">
        <v>1104307709</v>
      </c>
    </row>
    <row r="1546" spans="1:19" x14ac:dyDescent="0.2">
      <c r="A1546" t="str">
        <f t="shared" si="168"/>
        <v>Adult Nonfiction</v>
      </c>
      <c r="B1546" t="str">
        <f>"NEW 921 OBA"</f>
        <v>NEW 921 OBA</v>
      </c>
      <c r="C1546" t="s">
        <v>3432</v>
      </c>
      <c r="D1546">
        <v>351891</v>
      </c>
      <c r="E1546" t="str">
        <f>"Obama, Michelle,"</f>
        <v>Obama, Michelle,</v>
      </c>
      <c r="G1546" t="str">
        <f>"xiii, 426 pages, 16 unnumbered pages of plates, 25 cm, illustrations (some color)"</f>
        <v>xiii, 426 pages, 16 unnumbered pages of plates, 25 cm, illustrations (some color)</v>
      </c>
      <c r="H1546" s="1">
        <v>18</v>
      </c>
      <c r="I1546">
        <v>2018</v>
      </c>
      <c r="J1546" t="str">
        <f t="shared" si="169"/>
        <v>16: 920 - 929</v>
      </c>
      <c r="L1546" t="s">
        <v>2395</v>
      </c>
      <c r="M1546" t="s">
        <v>28</v>
      </c>
      <c r="N1546" t="s">
        <v>2404</v>
      </c>
      <c r="O1546">
        <v>19</v>
      </c>
      <c r="P1546" s="2">
        <v>43452</v>
      </c>
      <c r="Q1546" s="1">
        <v>38</v>
      </c>
      <c r="R1546" t="s">
        <v>3433</v>
      </c>
      <c r="S1546">
        <v>1030413521</v>
      </c>
    </row>
    <row r="1547" spans="1:19" x14ac:dyDescent="0.2">
      <c r="A1547" t="str">
        <f t="shared" si="168"/>
        <v>Adult Nonfiction</v>
      </c>
      <c r="B1547" t="str">
        <f>"NEW 921 OBR"</f>
        <v>NEW 921 OBR</v>
      </c>
      <c r="C1547" t="str">
        <f>"The impossible first: from fire to ice--crossing Antarctica alone"</f>
        <v>The impossible first: from fire to ice--crossing Antarctica alone</v>
      </c>
      <c r="D1547">
        <v>360611</v>
      </c>
      <c r="E1547" t="str">
        <f>"O'Brady, Colin"</f>
        <v>O'Brady, Colin</v>
      </c>
      <c r="G1547" t="str">
        <f>"xi, 279 pages, 16 unnumbered pages of plates, 24 cm, color illustrations, map"</f>
        <v>xi, 279 pages, 16 unnumbered pages of plates, 24 cm, color illustrations, map</v>
      </c>
      <c r="H1547" s="1">
        <v>20</v>
      </c>
      <c r="I1547">
        <v>2020</v>
      </c>
      <c r="J1547" t="str">
        <f t="shared" si="169"/>
        <v>16: 920 - 929</v>
      </c>
      <c r="L1547" t="s">
        <v>2395</v>
      </c>
      <c r="M1547" t="s">
        <v>28</v>
      </c>
      <c r="N1547" t="s">
        <v>2495</v>
      </c>
      <c r="O1547">
        <v>0</v>
      </c>
      <c r="P1547" s="2">
        <v>43859</v>
      </c>
      <c r="Q1547" s="1">
        <v>33</v>
      </c>
      <c r="R1547" t="s">
        <v>3434</v>
      </c>
      <c r="S1547">
        <v>1105955300</v>
      </c>
    </row>
    <row r="1548" spans="1:19" x14ac:dyDescent="0.2">
      <c r="A1548" t="str">
        <f t="shared" si="168"/>
        <v>Adult Nonfiction</v>
      </c>
      <c r="B1548" t="str">
        <f>"NEW 921 OBR"</f>
        <v>NEW 921 OBR</v>
      </c>
      <c r="C1548" t="str">
        <f>"Dad's maybe book"</f>
        <v>Dad's maybe book</v>
      </c>
      <c r="D1548">
        <v>360152</v>
      </c>
      <c r="E1548" t="str">
        <f>"O'Brien, Tim"</f>
        <v>O'Brien, Tim</v>
      </c>
      <c r="G1548" t="str">
        <f>"381 pages, 24 cm, illustrations (some color)"</f>
        <v>381 pages, 24 cm, illustrations (some color)</v>
      </c>
      <c r="H1548" s="1">
        <v>19</v>
      </c>
      <c r="I1548">
        <v>2019</v>
      </c>
      <c r="J1548" t="str">
        <f t="shared" si="169"/>
        <v>16: 920 - 929</v>
      </c>
      <c r="L1548" t="s">
        <v>2395</v>
      </c>
      <c r="M1548" t="s">
        <v>28</v>
      </c>
      <c r="N1548" t="s">
        <v>2396</v>
      </c>
      <c r="O1548">
        <v>1</v>
      </c>
      <c r="P1548" s="2">
        <v>43833</v>
      </c>
      <c r="Q1548" s="1">
        <v>33</v>
      </c>
      <c r="R1548" t="s">
        <v>3435</v>
      </c>
      <c r="S1548">
        <v>1080245892</v>
      </c>
    </row>
    <row r="1549" spans="1:19" x14ac:dyDescent="0.2">
      <c r="A1549" t="str">
        <f t="shared" si="168"/>
        <v>Adult Nonfiction</v>
      </c>
      <c r="B1549" t="str">
        <f>"NEW 921 OCA"</f>
        <v>NEW 921 OCA</v>
      </c>
      <c r="C1549" t="str">
        <f>"AOC: fighter, phenom, changemaker"</f>
        <v>AOC: fighter, phenom, changemaker</v>
      </c>
      <c r="D1549">
        <v>359544</v>
      </c>
      <c r="E1549" t="str">
        <f>"Gupta, Prachi."</f>
        <v>Gupta, Prachi.</v>
      </c>
      <c r="G1549" t="str">
        <f>"132 p."</f>
        <v>132 p.</v>
      </c>
      <c r="H1549" s="1">
        <v>19</v>
      </c>
      <c r="I1549">
        <v>2019</v>
      </c>
      <c r="J1549" t="str">
        <f t="shared" si="169"/>
        <v>16: 920 - 929</v>
      </c>
      <c r="L1549" t="s">
        <v>2395</v>
      </c>
      <c r="M1549" t="s">
        <v>28</v>
      </c>
      <c r="N1549" t="s">
        <v>2404</v>
      </c>
      <c r="O1549">
        <v>1</v>
      </c>
      <c r="P1549" s="2">
        <v>43802</v>
      </c>
      <c r="Q1549" s="1">
        <v>20</v>
      </c>
      <c r="R1549" t="s">
        <v>3436</v>
      </c>
      <c r="S1549">
        <v>1112275766</v>
      </c>
    </row>
    <row r="1550" spans="1:19" x14ac:dyDescent="0.2">
      <c r="A1550" t="str">
        <f t="shared" si="168"/>
        <v>Adult Nonfiction</v>
      </c>
      <c r="B1550" t="str">
        <f>"NEW 921 PAL"</f>
        <v>NEW 921 PAL</v>
      </c>
      <c r="C1550" t="str">
        <f>"Consider this: moments in my writing life after which everything was different"</f>
        <v>Consider this: moments in my writing life after which everything was different</v>
      </c>
      <c r="D1550">
        <v>360212</v>
      </c>
      <c r="E1550" t="str">
        <f>"Palahniuk, Chuck"</f>
        <v>Palahniuk, Chuck</v>
      </c>
      <c r="G1550" t="str">
        <f>"xviii, 235 pages, 22 cm, illustrations"</f>
        <v>xviii, 235 pages, 22 cm, illustrations</v>
      </c>
      <c r="H1550" s="1">
        <v>19</v>
      </c>
      <c r="I1550">
        <v>2020</v>
      </c>
      <c r="J1550" t="str">
        <f t="shared" si="169"/>
        <v>16: 920 - 929</v>
      </c>
      <c r="L1550" t="s">
        <v>2395</v>
      </c>
      <c r="M1550" t="s">
        <v>28</v>
      </c>
      <c r="N1550" t="s">
        <v>2396</v>
      </c>
      <c r="O1550">
        <v>0</v>
      </c>
      <c r="P1550" s="2">
        <v>43844</v>
      </c>
      <c r="Q1550" s="1">
        <v>32</v>
      </c>
      <c r="R1550" t="s">
        <v>3437</v>
      </c>
      <c r="S1550">
        <v>1114282634</v>
      </c>
    </row>
    <row r="1551" spans="1:19" x14ac:dyDescent="0.2">
      <c r="A1551" t="str">
        <f t="shared" ref="A1551:A1614" si="170">"Adult Nonfiction"</f>
        <v>Adult Nonfiction</v>
      </c>
      <c r="B1551" t="str">
        <f>"NEW 921 PAR"</f>
        <v>NEW 921 PAR</v>
      </c>
      <c r="C1551" t="str">
        <f>"What would Dolly do?: how to be a diamond in a rhinestone world : a spirited homage to the queen of country"</f>
        <v>What would Dolly do?: how to be a diamond in a rhinestone world : a spirited homage to the queen of country</v>
      </c>
      <c r="D1551">
        <v>357731</v>
      </c>
      <c r="E1551" t="str">
        <f>"Marino, Lauren"</f>
        <v>Marino, Lauren</v>
      </c>
      <c r="G1551" t="str">
        <f>"xvi, 234 pages, 19 cm, illustrations (some color)"</f>
        <v>xvi, 234 pages, 19 cm, illustrations (some color)</v>
      </c>
      <c r="H1551" s="1">
        <v>19</v>
      </c>
      <c r="I1551">
        <v>2018</v>
      </c>
      <c r="J1551" t="str">
        <f t="shared" si="169"/>
        <v>16: 920 - 929</v>
      </c>
      <c r="L1551" t="s">
        <v>2395</v>
      </c>
      <c r="M1551" t="s">
        <v>28</v>
      </c>
      <c r="N1551" t="s">
        <v>2396</v>
      </c>
      <c r="O1551">
        <v>7</v>
      </c>
      <c r="P1551" s="2">
        <v>43725</v>
      </c>
      <c r="Q1551" s="1">
        <v>27</v>
      </c>
      <c r="R1551" t="s">
        <v>3438</v>
      </c>
      <c r="S1551">
        <v>1031417878</v>
      </c>
    </row>
    <row r="1552" spans="1:19" x14ac:dyDescent="0.2">
      <c r="A1552" t="str">
        <f t="shared" si="170"/>
        <v>Adult Nonfiction</v>
      </c>
      <c r="B1552" t="str">
        <f>"NEW 921 PAY"</f>
        <v>NEW 921 PAY</v>
      </c>
      <c r="C1552" t="str">
        <f>"Diamond Doris: the true story of the world's most notorious jewel thief"</f>
        <v>Diamond Doris: the true story of the world's most notorious jewel thief</v>
      </c>
      <c r="D1552">
        <v>358304</v>
      </c>
      <c r="E1552" t="str">
        <f>"Payne, Doris"</f>
        <v>Payne, Doris</v>
      </c>
      <c r="G1552" t="str">
        <f>"xi, 262 pages, 21 cm"</f>
        <v>xi, 262 pages, 21 cm</v>
      </c>
      <c r="H1552" s="1">
        <v>19</v>
      </c>
      <c r="I1552">
        <v>2019</v>
      </c>
      <c r="J1552" t="str">
        <f t="shared" si="169"/>
        <v>16: 920 - 929</v>
      </c>
      <c r="L1552" t="s">
        <v>2403</v>
      </c>
      <c r="M1552" t="s">
        <v>28</v>
      </c>
      <c r="N1552" t="s">
        <v>2404</v>
      </c>
      <c r="O1552">
        <v>6</v>
      </c>
      <c r="P1552" s="2">
        <v>43749</v>
      </c>
      <c r="Q1552" s="1">
        <v>31</v>
      </c>
      <c r="R1552" t="s">
        <v>3439</v>
      </c>
      <c r="S1552">
        <v>1111818117</v>
      </c>
    </row>
    <row r="1553" spans="1:19" x14ac:dyDescent="0.2">
      <c r="A1553" t="str">
        <f t="shared" si="170"/>
        <v>Adult Nonfiction</v>
      </c>
      <c r="B1553" t="str">
        <f>"NEW 921 PEN"</f>
        <v>NEW 921 PEN</v>
      </c>
      <c r="C1553" t="str">
        <f>"Piety &amp; power: Mike Pence and the taking of the White House"</f>
        <v>Piety &amp; power: Mike Pence and the taking of the White House</v>
      </c>
      <c r="D1553">
        <v>358127</v>
      </c>
      <c r="E1553" t="str">
        <f>"LoBianco, Tom"</f>
        <v>LoBianco, Tom</v>
      </c>
      <c r="G1553" t="str">
        <f>"x, 371 pages, 24 cm"</f>
        <v>x, 371 pages, 24 cm</v>
      </c>
      <c r="H1553" s="1">
        <v>19</v>
      </c>
      <c r="I1553">
        <v>2019</v>
      </c>
      <c r="J1553" t="str">
        <f t="shared" si="169"/>
        <v>16: 920 - 929</v>
      </c>
      <c r="L1553" t="s">
        <v>2403</v>
      </c>
      <c r="M1553" t="s">
        <v>28</v>
      </c>
      <c r="N1553" t="s">
        <v>2404</v>
      </c>
      <c r="O1553">
        <v>2</v>
      </c>
      <c r="P1553" s="2">
        <v>43740</v>
      </c>
      <c r="Q1553" s="1">
        <v>32</v>
      </c>
      <c r="R1553" t="s">
        <v>3440</v>
      </c>
      <c r="S1553">
        <v>1039304958</v>
      </c>
    </row>
    <row r="1554" spans="1:19" x14ac:dyDescent="0.2">
      <c r="A1554" t="str">
        <f t="shared" si="170"/>
        <v>Adult Nonfiction</v>
      </c>
      <c r="B1554" t="str">
        <f>"NEW 921 PHE"</f>
        <v>NEW 921 PHE</v>
      </c>
      <c r="C1554" t="str">
        <f>"Unfollow: a memoir of loving and leaving the Westboro Baptist Church"</f>
        <v>Unfollow: a memoir of loving and leaving the Westboro Baptist Church</v>
      </c>
      <c r="D1554">
        <v>358355</v>
      </c>
      <c r="E1554" t="str">
        <f>"Phelps-Roper, Megan"</f>
        <v>Phelps-Roper, Megan</v>
      </c>
      <c r="G1554" t="str">
        <f>"289 pages, 24 cm"</f>
        <v>289 pages, 24 cm</v>
      </c>
      <c r="H1554" s="1">
        <v>19</v>
      </c>
      <c r="I1554">
        <v>2019</v>
      </c>
      <c r="J1554" t="str">
        <f t="shared" si="169"/>
        <v>16: 920 - 929</v>
      </c>
      <c r="L1554" t="s">
        <v>2395</v>
      </c>
      <c r="M1554" t="s">
        <v>28</v>
      </c>
      <c r="N1554" t="s">
        <v>2396</v>
      </c>
      <c r="O1554">
        <v>2</v>
      </c>
      <c r="P1554" s="2">
        <v>43749</v>
      </c>
      <c r="Q1554" s="1">
        <v>32</v>
      </c>
      <c r="R1554" t="s">
        <v>3441</v>
      </c>
      <c r="S1554">
        <v>1100424756</v>
      </c>
    </row>
    <row r="1555" spans="1:19" x14ac:dyDescent="0.2">
      <c r="A1555" t="str">
        <f t="shared" si="170"/>
        <v>Adult Nonfiction</v>
      </c>
      <c r="B1555" t="str">
        <f>"NEW 921 PLA"</f>
        <v>NEW 921 PLA</v>
      </c>
      <c r="C1555" t="str">
        <f>"The book of eating: adventures in professional gluttony"</f>
        <v>The book of eating: adventures in professional gluttony</v>
      </c>
      <c r="D1555">
        <v>359486</v>
      </c>
      <c r="E1555" t="str">
        <f>"Platt, Adam,"</f>
        <v>Platt, Adam,</v>
      </c>
      <c r="G1555" t="str">
        <f>"xi, 258 p., 24 cm, illustrations"</f>
        <v>xi, 258 p., 24 cm, illustrations</v>
      </c>
      <c r="H1555" s="1">
        <v>19</v>
      </c>
      <c r="I1555">
        <v>2019</v>
      </c>
      <c r="J1555" t="str">
        <f t="shared" si="169"/>
        <v>16: 920 - 929</v>
      </c>
      <c r="L1555" t="s">
        <v>2403</v>
      </c>
      <c r="M1555" t="s">
        <v>28</v>
      </c>
      <c r="N1555" t="s">
        <v>2396</v>
      </c>
      <c r="O1555">
        <v>1</v>
      </c>
      <c r="P1555" s="2">
        <v>43802</v>
      </c>
      <c r="Q1555" s="1">
        <v>33</v>
      </c>
      <c r="R1555" t="s">
        <v>3442</v>
      </c>
      <c r="S1555">
        <v>1085699037</v>
      </c>
    </row>
    <row r="1556" spans="1:19" x14ac:dyDescent="0.2">
      <c r="A1556" t="str">
        <f t="shared" si="170"/>
        <v>Adult Nonfiction</v>
      </c>
      <c r="B1556" t="str">
        <f>"NEW 921 POW"</f>
        <v>NEW 921 POW</v>
      </c>
      <c r="C1556" t="str">
        <f>"The education of an idealist: a memoir"</f>
        <v>The education of an idealist: a memoir</v>
      </c>
      <c r="D1556">
        <v>358691</v>
      </c>
      <c r="E1556" t="str">
        <f>"Power, Samantha"</f>
        <v>Power, Samantha</v>
      </c>
      <c r="G1556" t="str">
        <f>"xii, 580 pages, 32 unnumbered pages of plates, 24 cm, illustrations (chiefly color)"</f>
        <v>xii, 580 pages, 32 unnumbered pages of plates, 24 cm, illustrations (chiefly color)</v>
      </c>
      <c r="H1556" s="1">
        <v>19</v>
      </c>
      <c r="I1556">
        <v>2019</v>
      </c>
      <c r="J1556" t="str">
        <f t="shared" si="169"/>
        <v>16: 920 - 929</v>
      </c>
      <c r="L1556" t="s">
        <v>2395</v>
      </c>
      <c r="M1556" t="s">
        <v>28</v>
      </c>
      <c r="N1556" t="s">
        <v>2404</v>
      </c>
      <c r="O1556">
        <v>4</v>
      </c>
      <c r="P1556" s="2">
        <v>43762</v>
      </c>
      <c r="Q1556" s="1">
        <v>35</v>
      </c>
      <c r="R1556" t="s">
        <v>3443</v>
      </c>
      <c r="S1556">
        <v>1114332843</v>
      </c>
    </row>
    <row r="1557" spans="1:19" x14ac:dyDescent="0.2">
      <c r="A1557" t="str">
        <f t="shared" si="170"/>
        <v>Adult Nonfiction</v>
      </c>
      <c r="B1557" t="str">
        <f>"NEW 921 POW"</f>
        <v>NEW 921 POW</v>
      </c>
      <c r="C1557" t="str">
        <f>"The education of an idealist: a memoir"</f>
        <v>The education of an idealist: a memoir</v>
      </c>
      <c r="D1557">
        <v>358692</v>
      </c>
      <c r="E1557" t="str">
        <f>"Power, Samantha"</f>
        <v>Power, Samantha</v>
      </c>
      <c r="G1557" t="str">
        <f>"xii, 580 pages, 32 unnumbered pages of plates, 24 cm, illustrations (chiefly color)"</f>
        <v>xii, 580 pages, 32 unnumbered pages of plates, 24 cm, illustrations (chiefly color)</v>
      </c>
      <c r="H1557" s="1">
        <v>19</v>
      </c>
      <c r="I1557">
        <v>2019</v>
      </c>
      <c r="J1557" t="str">
        <f t="shared" si="169"/>
        <v>16: 920 - 929</v>
      </c>
      <c r="L1557" t="s">
        <v>2395</v>
      </c>
      <c r="M1557" t="s">
        <v>28</v>
      </c>
      <c r="N1557" t="s">
        <v>2396</v>
      </c>
      <c r="O1557">
        <v>3</v>
      </c>
      <c r="P1557" s="2">
        <v>43762</v>
      </c>
      <c r="Q1557" s="1">
        <v>35</v>
      </c>
      <c r="R1557" t="s">
        <v>3443</v>
      </c>
      <c r="S1557">
        <v>1114332843</v>
      </c>
    </row>
    <row r="1558" spans="1:19" x14ac:dyDescent="0.2">
      <c r="A1558" t="str">
        <f t="shared" si="170"/>
        <v>Adult Nonfiction</v>
      </c>
      <c r="B1558" t="str">
        <f>"NEW 921 PRI"</f>
        <v>NEW 921 PRI</v>
      </c>
      <c r="C1558" t="str">
        <f>"The beautiful ones"</f>
        <v>The beautiful ones</v>
      </c>
      <c r="D1558">
        <v>358850</v>
      </c>
      <c r="E1558" t="s">
        <v>3444</v>
      </c>
      <c r="G1558" t="str">
        <f>"276 p."</f>
        <v>276 p.</v>
      </c>
      <c r="H1558" s="1">
        <v>19</v>
      </c>
      <c r="I1558">
        <v>2019</v>
      </c>
      <c r="J1558" t="str">
        <f t="shared" si="169"/>
        <v>16: 920 - 929</v>
      </c>
      <c r="L1558" t="s">
        <v>2403</v>
      </c>
      <c r="M1558" t="s">
        <v>28</v>
      </c>
      <c r="N1558" t="s">
        <v>2404</v>
      </c>
      <c r="O1558">
        <v>2</v>
      </c>
      <c r="P1558" s="2">
        <v>43769</v>
      </c>
      <c r="Q1558" s="1">
        <v>35</v>
      </c>
      <c r="R1558" t="s">
        <v>3445</v>
      </c>
      <c r="S1558">
        <v>1117550641</v>
      </c>
    </row>
    <row r="1559" spans="1:19" x14ac:dyDescent="0.2">
      <c r="A1559" t="str">
        <f t="shared" si="170"/>
        <v>Adult Nonfiction</v>
      </c>
      <c r="B1559" t="str">
        <f>"NEW 921 PRI"</f>
        <v>NEW 921 PRI</v>
      </c>
      <c r="C1559" t="str">
        <f>"Rough magic: riding the world's loneliest horse race"</f>
        <v>Rough magic: riding the world's loneliest horse race</v>
      </c>
      <c r="D1559">
        <v>358560</v>
      </c>
      <c r="E1559" t="str">
        <f>"Prior-Palmer, Lara"</f>
        <v>Prior-Palmer, Lara</v>
      </c>
      <c r="G1559" t="str">
        <f>"274 pages, 22 cm"</f>
        <v>274 pages, 22 cm</v>
      </c>
      <c r="H1559" s="1">
        <v>19</v>
      </c>
      <c r="I1559">
        <v>2019</v>
      </c>
      <c r="J1559" t="str">
        <f t="shared" si="169"/>
        <v>16: 920 - 929</v>
      </c>
      <c r="L1559" t="s">
        <v>2395</v>
      </c>
      <c r="M1559" t="s">
        <v>28</v>
      </c>
      <c r="N1559" t="s">
        <v>2404</v>
      </c>
      <c r="O1559">
        <v>1</v>
      </c>
      <c r="P1559" s="2">
        <v>43756</v>
      </c>
      <c r="Q1559" s="1">
        <v>30</v>
      </c>
      <c r="R1559" t="s">
        <v>3446</v>
      </c>
      <c r="S1559">
        <v>1049786020</v>
      </c>
    </row>
    <row r="1560" spans="1:19" x14ac:dyDescent="0.2">
      <c r="A1560" t="str">
        <f t="shared" si="170"/>
        <v>Adult Nonfiction</v>
      </c>
      <c r="B1560" t="str">
        <f>"NEW 921 RIC"</f>
        <v>NEW 921 RIC</v>
      </c>
      <c r="C1560" t="str">
        <f>"Tough love: my story of the things worth fighting for"</f>
        <v>Tough love: my story of the things worth fighting for</v>
      </c>
      <c r="D1560">
        <v>358726</v>
      </c>
      <c r="E1560" t="str">
        <f>"Rice, Susan E."</f>
        <v>Rice, Susan E.</v>
      </c>
      <c r="G1560" t="str">
        <f>"viii, 531 pages, 24 cm, illustrations (some color)"</f>
        <v>viii, 531 pages, 24 cm, illustrations (some color)</v>
      </c>
      <c r="H1560" s="1">
        <v>19</v>
      </c>
      <c r="I1560">
        <v>2019</v>
      </c>
      <c r="J1560" t="str">
        <f t="shared" si="169"/>
        <v>16: 920 - 929</v>
      </c>
      <c r="L1560" t="s">
        <v>2395</v>
      </c>
      <c r="M1560" t="s">
        <v>28</v>
      </c>
      <c r="N1560" t="s">
        <v>2404</v>
      </c>
      <c r="O1560">
        <v>5</v>
      </c>
      <c r="P1560" s="2">
        <v>43762</v>
      </c>
      <c r="Q1560" s="1">
        <v>35</v>
      </c>
      <c r="R1560" t="s">
        <v>3447</v>
      </c>
      <c r="S1560">
        <v>1103670293</v>
      </c>
    </row>
    <row r="1561" spans="1:19" x14ac:dyDescent="0.2">
      <c r="A1561" t="str">
        <f t="shared" si="170"/>
        <v>Adult Nonfiction</v>
      </c>
      <c r="B1561" t="str">
        <f>"NEW 921 ROM"</f>
        <v>NEW 921 ROM</v>
      </c>
      <c r="C1561" t="str">
        <f>"The devil in the city of angels: my encounters with the diabolical"</f>
        <v>The devil in the city of angels: my encounters with the diabolical</v>
      </c>
      <c r="D1561">
        <v>356857</v>
      </c>
      <c r="E1561" t="str">
        <f>"Romero, Jesse."</f>
        <v>Romero, Jesse.</v>
      </c>
      <c r="G1561" t="str">
        <f>"120 p."</f>
        <v>120 p.</v>
      </c>
      <c r="H1561" s="1">
        <v>19</v>
      </c>
      <c r="I1561">
        <v>2019</v>
      </c>
      <c r="J1561" t="str">
        <f t="shared" si="169"/>
        <v>16: 920 - 929</v>
      </c>
      <c r="L1561" t="s">
        <v>2395</v>
      </c>
      <c r="M1561" t="s">
        <v>28</v>
      </c>
      <c r="N1561" t="s">
        <v>2404</v>
      </c>
      <c r="O1561">
        <v>2</v>
      </c>
      <c r="P1561" s="2">
        <v>43691</v>
      </c>
      <c r="Q1561" s="1">
        <v>28</v>
      </c>
      <c r="R1561" t="s">
        <v>3448</v>
      </c>
      <c r="S1561">
        <v>1101583533</v>
      </c>
    </row>
    <row r="1562" spans="1:19" x14ac:dyDescent="0.2">
      <c r="A1562" t="str">
        <f t="shared" si="170"/>
        <v>Adult Nonfiction</v>
      </c>
      <c r="B1562" t="str">
        <f>"NEW 921 ROS"</f>
        <v>NEW 921 ROS</v>
      </c>
      <c r="C1562" t="str">
        <f>"Play hungry: the making of a baseball player"</f>
        <v>Play hungry: the making of a baseball player</v>
      </c>
      <c r="D1562">
        <v>357307</v>
      </c>
      <c r="E1562" t="str">
        <f>"Rose, Pete,"</f>
        <v>Rose, Pete,</v>
      </c>
      <c r="G1562" t="str">
        <f>"290 pages, 16 unnumbered pages of plates, 25 cm, illustrations"</f>
        <v>290 pages, 16 unnumbered pages of plates, 25 cm, illustrations</v>
      </c>
      <c r="H1562" s="1">
        <v>19</v>
      </c>
      <c r="I1562">
        <v>2019</v>
      </c>
      <c r="J1562" t="str">
        <f t="shared" si="169"/>
        <v>16: 920 - 929</v>
      </c>
      <c r="L1562" t="s">
        <v>2403</v>
      </c>
      <c r="M1562" t="s">
        <v>28</v>
      </c>
      <c r="N1562" t="s">
        <v>2396</v>
      </c>
      <c r="O1562">
        <v>4</v>
      </c>
      <c r="P1562" s="2">
        <v>43711</v>
      </c>
      <c r="Q1562" s="1">
        <v>33</v>
      </c>
      <c r="R1562" t="s">
        <v>3449</v>
      </c>
      <c r="S1562">
        <v>1102416103</v>
      </c>
    </row>
    <row r="1563" spans="1:19" x14ac:dyDescent="0.2">
      <c r="A1563" t="str">
        <f t="shared" si="170"/>
        <v>Adult Nonfiction</v>
      </c>
      <c r="B1563" t="str">
        <f>"NEW 921 ROS"</f>
        <v>NEW 921 ROS</v>
      </c>
      <c r="C1563" t="str">
        <f>"That's mental: painfully funny things that drive me crazy about being mentally ill"</f>
        <v>That's mental: painfully funny things that drive me crazy about being mentally ill</v>
      </c>
      <c r="D1563">
        <v>360180</v>
      </c>
      <c r="E1563" t="str">
        <f>"Rosenberg, Amanda"</f>
        <v>Rosenberg, Amanda</v>
      </c>
      <c r="G1563" t="str">
        <f>"xiv, 212 pages, 22 cm"</f>
        <v>xiv, 212 pages, 22 cm</v>
      </c>
      <c r="H1563" s="1">
        <v>19</v>
      </c>
      <c r="I1563">
        <v>2019</v>
      </c>
      <c r="J1563" t="str">
        <f t="shared" si="169"/>
        <v>16: 920 - 929</v>
      </c>
      <c r="L1563" t="s">
        <v>2395</v>
      </c>
      <c r="M1563" t="s">
        <v>28</v>
      </c>
      <c r="N1563" t="s">
        <v>2396</v>
      </c>
      <c r="O1563">
        <v>1</v>
      </c>
      <c r="P1563" s="2">
        <v>43833</v>
      </c>
      <c r="Q1563" s="1">
        <v>22</v>
      </c>
      <c r="R1563" t="s">
        <v>3450</v>
      </c>
    </row>
    <row r="1564" spans="1:19" x14ac:dyDescent="0.2">
      <c r="A1564" t="str">
        <f t="shared" si="170"/>
        <v>Adult Nonfiction</v>
      </c>
      <c r="B1564" t="str">
        <f>"NEW 921 SAL"</f>
        <v>NEW 921 SAL</v>
      </c>
      <c r="C1564" t="str">
        <f>"The beautiful no: and other tales of trial, transcendence, and transformation"</f>
        <v>The beautiful no: and other tales of trial, transcendence, and transformation</v>
      </c>
      <c r="D1564">
        <v>359178</v>
      </c>
      <c r="E1564" t="str">
        <f>"Salata, Sheri"</f>
        <v>Salata, Sheri</v>
      </c>
      <c r="G1564" t="str">
        <f>"pages cm"</f>
        <v>pages cm</v>
      </c>
      <c r="H1564" s="1">
        <v>19</v>
      </c>
      <c r="I1564">
        <v>2019</v>
      </c>
      <c r="J1564" t="str">
        <f t="shared" si="169"/>
        <v>16: 920 - 929</v>
      </c>
      <c r="L1564" t="s">
        <v>2395</v>
      </c>
      <c r="M1564" t="s">
        <v>28</v>
      </c>
      <c r="N1564" t="s">
        <v>2396</v>
      </c>
      <c r="O1564">
        <v>2</v>
      </c>
      <c r="P1564" s="2">
        <v>43782</v>
      </c>
      <c r="Q1564" s="1">
        <v>32</v>
      </c>
      <c r="R1564" t="s">
        <v>3451</v>
      </c>
      <c r="S1564">
        <v>1103228781</v>
      </c>
    </row>
    <row r="1565" spans="1:19" x14ac:dyDescent="0.2">
      <c r="A1565" t="str">
        <f t="shared" si="170"/>
        <v>Adult Nonfiction</v>
      </c>
      <c r="B1565" t="str">
        <f>"NEW 921 SCH"</f>
        <v>NEW 921 SCH</v>
      </c>
      <c r="C1565" t="str">
        <f>"What it takes: lessons in the pursuit of excellence"</f>
        <v>What it takes: lessons in the pursuit of excellence</v>
      </c>
      <c r="D1565">
        <v>408196</v>
      </c>
      <c r="E1565" t="str">
        <f>"Schwarzman, Steven A.,"</f>
        <v>Schwarzman, Steven A.,</v>
      </c>
      <c r="G1565" t="str">
        <f>"vi, 378 pages, 24 cm, illustrations (some color)"</f>
        <v>vi, 378 pages, 24 cm, illustrations (some color)</v>
      </c>
      <c r="H1565" s="1">
        <v>19</v>
      </c>
      <c r="I1565">
        <v>2019</v>
      </c>
      <c r="J1565" t="str">
        <f t="shared" si="169"/>
        <v>16: 920 - 929</v>
      </c>
      <c r="L1565" t="s">
        <v>2395</v>
      </c>
      <c r="M1565" t="s">
        <v>28</v>
      </c>
      <c r="N1565" t="s">
        <v>2404</v>
      </c>
      <c r="O1565">
        <v>4</v>
      </c>
      <c r="P1565" s="2">
        <v>43753</v>
      </c>
      <c r="Q1565" s="1">
        <v>35</v>
      </c>
      <c r="R1565" t="s">
        <v>3452</v>
      </c>
    </row>
    <row r="1566" spans="1:19" x14ac:dyDescent="0.2">
      <c r="A1566" t="str">
        <f t="shared" si="170"/>
        <v>Adult Nonfiction</v>
      </c>
      <c r="B1566" t="str">
        <f>"NEW 921 SHA"</f>
        <v>NEW 921 SHA</v>
      </c>
      <c r="C1566" t="str">
        <f>"Here we are: American dreams, American nightmares"</f>
        <v>Here we are: American dreams, American nightmares</v>
      </c>
      <c r="D1566">
        <v>358312</v>
      </c>
      <c r="E1566" t="str">
        <f>"Shahani, Aarti Namdev"</f>
        <v>Shahani, Aarti Namdev</v>
      </c>
      <c r="G1566" t="str">
        <f>"245 pages, 25 cm, illustrations"</f>
        <v>245 pages, 25 cm, illustrations</v>
      </c>
      <c r="H1566" s="1">
        <v>19</v>
      </c>
      <c r="I1566">
        <v>2019</v>
      </c>
      <c r="J1566" t="str">
        <f t="shared" si="169"/>
        <v>16: 920 - 929</v>
      </c>
      <c r="L1566" t="s">
        <v>2395</v>
      </c>
      <c r="M1566" t="s">
        <v>28</v>
      </c>
      <c r="N1566" t="s">
        <v>2404</v>
      </c>
      <c r="O1566">
        <v>1</v>
      </c>
      <c r="P1566" s="2">
        <v>43749</v>
      </c>
      <c r="Q1566" s="1">
        <v>32</v>
      </c>
      <c r="R1566" t="s">
        <v>3453</v>
      </c>
      <c r="S1566">
        <v>1119731244</v>
      </c>
    </row>
    <row r="1567" spans="1:19" x14ac:dyDescent="0.2">
      <c r="A1567" t="str">
        <f t="shared" si="170"/>
        <v>Adult Nonfiction</v>
      </c>
      <c r="B1567" t="str">
        <f>"NEW 921 SHU"</f>
        <v>NEW 921 SHU</v>
      </c>
      <c r="C1567" t="str">
        <f>"Nerves of steel: how I followed my dreams, earned my wings, and faced my greatest challenge"</f>
        <v>Nerves of steel: how I followed my dreams, earned my wings, and faced my greatest challenge</v>
      </c>
      <c r="D1567">
        <v>359039</v>
      </c>
      <c r="E1567" t="str">
        <f>"Shults, Tammie Jo,"</f>
        <v>Shults, Tammie Jo,</v>
      </c>
      <c r="G1567" t="str">
        <f>"xv, 271 pages, 16 unnumbered pages of plates, 24 cm, color illustrations"</f>
        <v>xv, 271 pages, 16 unnumbered pages of plates, 24 cm, color illustrations</v>
      </c>
      <c r="H1567" s="1">
        <v>19</v>
      </c>
      <c r="I1567">
        <v>2019</v>
      </c>
      <c r="J1567" t="str">
        <f t="shared" si="169"/>
        <v>16: 920 - 929</v>
      </c>
      <c r="L1567" t="s">
        <v>2403</v>
      </c>
      <c r="M1567" t="s">
        <v>28</v>
      </c>
      <c r="N1567" t="s">
        <v>2404</v>
      </c>
      <c r="O1567">
        <v>6</v>
      </c>
      <c r="P1567" s="2">
        <v>43776</v>
      </c>
      <c r="Q1567" s="1">
        <v>32</v>
      </c>
      <c r="R1567" t="s">
        <v>3454</v>
      </c>
      <c r="S1567">
        <v>1110093224</v>
      </c>
    </row>
    <row r="1568" spans="1:19" x14ac:dyDescent="0.2">
      <c r="A1568" t="str">
        <f t="shared" si="170"/>
        <v>Adult Nonfiction</v>
      </c>
      <c r="B1568" t="str">
        <f>"NEW 921 SIM"</f>
        <v>NEW 921 SIM</v>
      </c>
      <c r="C1568" t="str">
        <f>"Touched by the sun: my friendship with Jackie"</f>
        <v>Touched by the sun: my friendship with Jackie</v>
      </c>
      <c r="D1568">
        <v>358572</v>
      </c>
      <c r="E1568" t="str">
        <f>"Simon, Carly"</f>
        <v>Simon, Carly</v>
      </c>
      <c r="G1568" t="str">
        <f>"238 pages, 22 cm"</f>
        <v>238 pages, 22 cm</v>
      </c>
      <c r="H1568" s="1">
        <v>19</v>
      </c>
      <c r="I1568">
        <v>2019</v>
      </c>
      <c r="J1568" t="str">
        <f t="shared" si="169"/>
        <v>16: 920 - 929</v>
      </c>
      <c r="L1568" t="s">
        <v>2395</v>
      </c>
      <c r="M1568" t="s">
        <v>28</v>
      </c>
      <c r="N1568" t="s">
        <v>2404</v>
      </c>
      <c r="O1568">
        <v>9</v>
      </c>
      <c r="P1568" s="2">
        <v>43756</v>
      </c>
      <c r="Q1568" s="1">
        <v>32</v>
      </c>
      <c r="R1568" t="s">
        <v>3455</v>
      </c>
      <c r="S1568">
        <v>1097610873</v>
      </c>
    </row>
    <row r="1569" spans="1:19" x14ac:dyDescent="0.2">
      <c r="A1569" t="str">
        <f t="shared" si="170"/>
        <v>Adult Nonfiction</v>
      </c>
      <c r="B1569" t="str">
        <f>"NEW 921 SLA"</f>
        <v>NEW 921 SLA</v>
      </c>
      <c r="C1569" t="str">
        <f>"Wait, it gets worse: love, death, and my transformation from control freak to human being"</f>
        <v>Wait, it gets worse: love, death, and my transformation from control freak to human being</v>
      </c>
      <c r="D1569">
        <v>356688</v>
      </c>
      <c r="E1569" t="str">
        <f>"Slaby, Lydia."</f>
        <v>Slaby, Lydia.</v>
      </c>
      <c r="G1569" t="str">
        <f>"258 p."</f>
        <v>258 p.</v>
      </c>
      <c r="H1569" s="1">
        <v>19</v>
      </c>
      <c r="I1569">
        <v>2019</v>
      </c>
      <c r="J1569" t="str">
        <f t="shared" si="169"/>
        <v>16: 920 - 929</v>
      </c>
      <c r="L1569" t="s">
        <v>2403</v>
      </c>
      <c r="M1569" t="s">
        <v>28</v>
      </c>
      <c r="N1569" t="s">
        <v>2404</v>
      </c>
      <c r="O1569">
        <v>9</v>
      </c>
      <c r="P1569" s="2">
        <v>43689</v>
      </c>
      <c r="Q1569" s="1">
        <v>22</v>
      </c>
      <c r="R1569" t="s">
        <v>3456</v>
      </c>
    </row>
    <row r="1570" spans="1:19" x14ac:dyDescent="0.2">
      <c r="A1570" t="str">
        <f t="shared" si="170"/>
        <v>Adult Nonfiction</v>
      </c>
      <c r="B1570" t="str">
        <f>"NEW 921 SLA"</f>
        <v>NEW 921 SLA</v>
      </c>
      <c r="C1570" t="str">
        <f>"Little weirds"</f>
        <v>Little weirds</v>
      </c>
      <c r="D1570">
        <v>359200</v>
      </c>
      <c r="E1570" t="str">
        <f>"Slate, Jenny,"</f>
        <v>Slate, Jenny,</v>
      </c>
      <c r="G1570" t="str">
        <f>"ix, 224 pages, 22 cm"</f>
        <v>ix, 224 pages, 22 cm</v>
      </c>
      <c r="H1570" s="1">
        <v>19</v>
      </c>
      <c r="I1570">
        <v>2019</v>
      </c>
      <c r="J1570" t="str">
        <f t="shared" si="169"/>
        <v>16: 920 - 929</v>
      </c>
      <c r="L1570" t="s">
        <v>2395</v>
      </c>
      <c r="M1570" t="s">
        <v>28</v>
      </c>
      <c r="N1570" t="s">
        <v>2404</v>
      </c>
      <c r="O1570">
        <v>4</v>
      </c>
      <c r="P1570" s="2">
        <v>43782</v>
      </c>
      <c r="Q1570" s="1">
        <v>32</v>
      </c>
      <c r="R1570" t="s">
        <v>3457</v>
      </c>
      <c r="S1570">
        <v>1089482775</v>
      </c>
    </row>
    <row r="1571" spans="1:19" x14ac:dyDescent="0.2">
      <c r="A1571" t="str">
        <f t="shared" si="170"/>
        <v>Adult Nonfiction</v>
      </c>
      <c r="B1571" t="str">
        <f>"NEW 921 SMI"</f>
        <v>NEW 921 SMI</v>
      </c>
      <c r="C1571" t="str">
        <f>"Year of the monkey"</f>
        <v>Year of the monkey</v>
      </c>
      <c r="D1571">
        <v>357840</v>
      </c>
      <c r="E1571" t="str">
        <f>"Smith, Patti."</f>
        <v>Smith, Patti.</v>
      </c>
      <c r="G1571" t="str">
        <f>"pages cm"</f>
        <v>pages cm</v>
      </c>
      <c r="H1571" s="1">
        <v>19</v>
      </c>
      <c r="I1571">
        <v>2019</v>
      </c>
      <c r="J1571" t="str">
        <f t="shared" si="169"/>
        <v>16: 920 - 929</v>
      </c>
      <c r="L1571" t="s">
        <v>2403</v>
      </c>
      <c r="M1571" t="s">
        <v>28</v>
      </c>
      <c r="N1571" t="s">
        <v>2404</v>
      </c>
      <c r="O1571">
        <v>4</v>
      </c>
      <c r="P1571" s="2">
        <v>43731</v>
      </c>
      <c r="Q1571" s="1">
        <v>30</v>
      </c>
      <c r="R1571" t="s">
        <v>3458</v>
      </c>
      <c r="S1571">
        <v>1091844444</v>
      </c>
    </row>
    <row r="1572" spans="1:19" x14ac:dyDescent="0.2">
      <c r="A1572" t="str">
        <f t="shared" si="170"/>
        <v>Adult Nonfiction</v>
      </c>
      <c r="B1572" t="str">
        <f>"NEW 921 SMO"</f>
        <v>NEW 921 SMO</v>
      </c>
      <c r="C1572" t="str">
        <f>"Spearhead: an American tank gunner, his enemy, and a collision of lives in World War II"</f>
        <v>Spearhead: an American tank gunner, his enemy, and a collision of lives in World War II</v>
      </c>
      <c r="D1572">
        <v>360248</v>
      </c>
      <c r="E1572" t="str">
        <f>"Makos, Adam."</f>
        <v>Makos, Adam.</v>
      </c>
      <c r="G1572" t="str">
        <f>"xiii, 393 pages, 32 unnumbered pages of plates, 25 cm, illustrations, maps"</f>
        <v>xiii, 393 pages, 32 unnumbered pages of plates, 25 cm, illustrations, maps</v>
      </c>
      <c r="H1572" s="1">
        <v>19</v>
      </c>
      <c r="I1572">
        <v>2019</v>
      </c>
      <c r="J1572" t="str">
        <f t="shared" si="169"/>
        <v>16: 920 - 929</v>
      </c>
      <c r="L1572" t="s">
        <v>2395</v>
      </c>
      <c r="M1572" t="s">
        <v>28</v>
      </c>
      <c r="N1572" t="s">
        <v>2404</v>
      </c>
      <c r="O1572">
        <v>1</v>
      </c>
      <c r="P1572" s="2">
        <v>43844</v>
      </c>
      <c r="Q1572" s="1">
        <v>33</v>
      </c>
      <c r="R1572" t="s">
        <v>3459</v>
      </c>
      <c r="S1572">
        <v>1051778382</v>
      </c>
    </row>
    <row r="1573" spans="1:19" x14ac:dyDescent="0.2">
      <c r="A1573" t="str">
        <f t="shared" si="170"/>
        <v>Adult Nonfiction</v>
      </c>
      <c r="B1573" t="str">
        <f>"NEW 921 SNO"</f>
        <v>NEW 921 SNO</v>
      </c>
      <c r="C1573" t="str">
        <f>"Permanent record"</f>
        <v>Permanent record</v>
      </c>
      <c r="D1573">
        <v>357526</v>
      </c>
      <c r="G1573" t="str">
        <f>"336 p."</f>
        <v>336 p.</v>
      </c>
      <c r="H1573" s="1">
        <v>19</v>
      </c>
      <c r="I1573">
        <v>2019</v>
      </c>
      <c r="J1573" t="str">
        <f t="shared" si="169"/>
        <v>16: 920 - 929</v>
      </c>
      <c r="L1573" t="s">
        <v>2395</v>
      </c>
      <c r="M1573" t="s">
        <v>28</v>
      </c>
      <c r="N1573" t="s">
        <v>2404</v>
      </c>
      <c r="O1573">
        <v>6</v>
      </c>
      <c r="P1573" s="2">
        <v>43719</v>
      </c>
      <c r="Q1573" s="1">
        <v>35</v>
      </c>
      <c r="R1573" t="s">
        <v>3460</v>
      </c>
      <c r="S1573">
        <v>1111645933</v>
      </c>
    </row>
    <row r="1574" spans="1:19" x14ac:dyDescent="0.2">
      <c r="A1574" t="str">
        <f t="shared" si="170"/>
        <v>Adult Nonfiction</v>
      </c>
      <c r="B1574" t="str">
        <f>"NEW 921 SNO"</f>
        <v>NEW 921 SNO</v>
      </c>
      <c r="C1574" t="str">
        <f>"Permanent record"</f>
        <v>Permanent record</v>
      </c>
      <c r="D1574">
        <v>357527</v>
      </c>
      <c r="G1574" t="str">
        <f>"336 p."</f>
        <v>336 p.</v>
      </c>
      <c r="H1574" s="1">
        <v>19</v>
      </c>
      <c r="I1574">
        <v>2019</v>
      </c>
      <c r="J1574" t="str">
        <f t="shared" si="169"/>
        <v>16: 920 - 929</v>
      </c>
      <c r="L1574" t="s">
        <v>2403</v>
      </c>
      <c r="M1574" t="s">
        <v>28</v>
      </c>
      <c r="N1574" t="s">
        <v>2404</v>
      </c>
      <c r="O1574">
        <v>4</v>
      </c>
      <c r="P1574" s="2">
        <v>43719</v>
      </c>
      <c r="Q1574" s="1">
        <v>35</v>
      </c>
      <c r="R1574" t="s">
        <v>3460</v>
      </c>
      <c r="S1574">
        <v>1111645933</v>
      </c>
    </row>
    <row r="1575" spans="1:19" x14ac:dyDescent="0.2">
      <c r="A1575" t="str">
        <f t="shared" si="170"/>
        <v>Adult Nonfiction</v>
      </c>
      <c r="B1575" t="str">
        <f>"NEW 921 SON"</f>
        <v>NEW 921 SON</v>
      </c>
      <c r="C1575" t="s">
        <v>3461</v>
      </c>
      <c r="D1575">
        <v>357838</v>
      </c>
      <c r="E1575" t="str">
        <f>"Moser, Benjamin"</f>
        <v>Moser, Benjamin</v>
      </c>
      <c r="G1575" t="str">
        <f>"pages cm"</f>
        <v>pages cm</v>
      </c>
      <c r="H1575" s="1">
        <v>19</v>
      </c>
      <c r="I1575">
        <v>2019</v>
      </c>
      <c r="J1575" t="str">
        <f t="shared" si="169"/>
        <v>16: 920 - 929</v>
      </c>
      <c r="L1575" t="s">
        <v>2395</v>
      </c>
      <c r="M1575" t="s">
        <v>28</v>
      </c>
      <c r="N1575" t="s">
        <v>2396</v>
      </c>
      <c r="O1575">
        <v>3</v>
      </c>
      <c r="P1575" s="2">
        <v>43731</v>
      </c>
      <c r="Q1575" s="1">
        <v>45</v>
      </c>
      <c r="R1575" t="s">
        <v>3462</v>
      </c>
      <c r="S1575">
        <v>1119605714</v>
      </c>
    </row>
    <row r="1576" spans="1:19" x14ac:dyDescent="0.2">
      <c r="A1576" t="str">
        <f t="shared" si="170"/>
        <v>Adult Nonfiction</v>
      </c>
      <c r="B1576" t="str">
        <f>"NEW 921 SPI"</f>
        <v>NEW 921 SPI</v>
      </c>
      <c r="C1576" t="str">
        <f>"Renia's diary: a Holocaust journal"</f>
        <v>Renia's diary: a Holocaust journal</v>
      </c>
      <c r="D1576">
        <v>358131</v>
      </c>
      <c r="E1576" t="str">
        <f>"Spiegel, Renia"</f>
        <v>Spiegel, Renia</v>
      </c>
      <c r="G1576" t="str">
        <f>"xv, 320 pages, 8 unnumbered pages of plates, 25 cm, illustrations, maps"</f>
        <v>xv, 320 pages, 8 unnumbered pages of plates, 25 cm, illustrations, maps</v>
      </c>
      <c r="H1576" s="1">
        <v>19</v>
      </c>
      <c r="I1576">
        <v>2019</v>
      </c>
      <c r="J1576" t="str">
        <f t="shared" si="169"/>
        <v>16: 920 - 929</v>
      </c>
      <c r="L1576" t="s">
        <v>2395</v>
      </c>
      <c r="M1576" t="s">
        <v>28</v>
      </c>
      <c r="N1576" t="s">
        <v>2401</v>
      </c>
      <c r="O1576">
        <v>3</v>
      </c>
      <c r="P1576" s="2">
        <v>43740</v>
      </c>
      <c r="Q1576" s="1">
        <v>33</v>
      </c>
      <c r="R1576" t="s">
        <v>3463</v>
      </c>
      <c r="S1576">
        <v>1079847945</v>
      </c>
    </row>
    <row r="1577" spans="1:19" x14ac:dyDescent="0.2">
      <c r="A1577" t="str">
        <f t="shared" si="170"/>
        <v>Adult Nonfiction</v>
      </c>
      <c r="B1577" t="str">
        <f>"NEW 921 STR"</f>
        <v>NEW 921 STR</v>
      </c>
      <c r="C1577" t="str">
        <f>"Queen Meryl: the iconic roles, heroic deeds, and legendary life of Meryl Streep"</f>
        <v>Queen Meryl: the iconic roles, heroic deeds, and legendary life of Meryl Streep</v>
      </c>
      <c r="D1577">
        <v>358130</v>
      </c>
      <c r="E1577" t="str">
        <f>"Carlson, Erin,"</f>
        <v>Carlson, Erin,</v>
      </c>
      <c r="G1577" t="str">
        <f>"x, 306 pages, 24 cm, illustrations"</f>
        <v>x, 306 pages, 24 cm, illustrations</v>
      </c>
      <c r="H1577" s="1">
        <v>19</v>
      </c>
      <c r="I1577">
        <v>2019</v>
      </c>
      <c r="J1577" t="str">
        <f t="shared" si="169"/>
        <v>16: 920 - 929</v>
      </c>
      <c r="L1577" t="s">
        <v>2395</v>
      </c>
      <c r="M1577" t="s">
        <v>28</v>
      </c>
      <c r="N1577" t="s">
        <v>2404</v>
      </c>
      <c r="O1577">
        <v>6</v>
      </c>
      <c r="P1577" s="2">
        <v>43740</v>
      </c>
      <c r="Q1577" s="1">
        <v>30</v>
      </c>
      <c r="R1577" t="s">
        <v>3464</v>
      </c>
      <c r="S1577">
        <v>1119390086</v>
      </c>
    </row>
    <row r="1578" spans="1:19" x14ac:dyDescent="0.2">
      <c r="A1578" t="str">
        <f t="shared" si="170"/>
        <v>Adult Nonfiction</v>
      </c>
      <c r="B1578" t="str">
        <f>"NEW 921 SUL"</f>
        <v>NEW 921 SUL</v>
      </c>
      <c r="C1578" t="str">
        <f>"Handprints on Hubble: an astronaut's story of invention"</f>
        <v>Handprints on Hubble: an astronaut's story of invention</v>
      </c>
      <c r="D1578">
        <v>359193</v>
      </c>
      <c r="E1578" t="str">
        <f>"Sullivan, Kathy,"</f>
        <v>Sullivan, Kathy,</v>
      </c>
      <c r="G1578" t="str">
        <f>"281 pages"</f>
        <v>281 pages</v>
      </c>
      <c r="H1578" s="1">
        <v>19</v>
      </c>
      <c r="I1578">
        <v>2019</v>
      </c>
      <c r="J1578" t="str">
        <f t="shared" si="169"/>
        <v>16: 920 - 929</v>
      </c>
      <c r="L1578" t="s">
        <v>2395</v>
      </c>
      <c r="M1578" t="s">
        <v>28</v>
      </c>
      <c r="N1578" t="s">
        <v>2404</v>
      </c>
      <c r="O1578">
        <v>3</v>
      </c>
      <c r="P1578" s="2">
        <v>43782</v>
      </c>
      <c r="Q1578" s="1">
        <v>32</v>
      </c>
      <c r="R1578" t="s">
        <v>3465</v>
      </c>
      <c r="S1578">
        <v>1085621669</v>
      </c>
    </row>
    <row r="1579" spans="1:19" x14ac:dyDescent="0.2">
      <c r="A1579" t="str">
        <f t="shared" si="170"/>
        <v>Adult Nonfiction</v>
      </c>
      <c r="B1579" t="str">
        <f>"NEW 921 TRU"</f>
        <v>NEW 921 TRU</v>
      </c>
      <c r="C1579" t="str">
        <f>"Free, Melania: the unauthorized biography"</f>
        <v>Free, Melania: the unauthorized biography</v>
      </c>
      <c r="D1579">
        <v>359855</v>
      </c>
      <c r="E1579" t="str">
        <f>"Bennett, Kate"</f>
        <v>Bennett, Kate</v>
      </c>
      <c r="G1579" t="str">
        <f>"x, 267 pages, 8 unnumbered pages of plates, 25 cm, color illustrations"</f>
        <v>x, 267 pages, 8 unnumbered pages of plates, 25 cm, color illustrations</v>
      </c>
      <c r="H1579" s="1">
        <v>19</v>
      </c>
      <c r="I1579">
        <v>2019</v>
      </c>
      <c r="J1579" t="str">
        <f t="shared" si="169"/>
        <v>16: 920 - 929</v>
      </c>
      <c r="L1579" t="s">
        <v>2403</v>
      </c>
      <c r="M1579" t="s">
        <v>28</v>
      </c>
      <c r="N1579" t="s">
        <v>2404</v>
      </c>
      <c r="O1579">
        <v>5</v>
      </c>
      <c r="P1579" s="2">
        <v>43815</v>
      </c>
      <c r="Q1579" s="1">
        <v>33</v>
      </c>
      <c r="R1579" t="s">
        <v>3466</v>
      </c>
      <c r="S1579">
        <v>1128200062</v>
      </c>
    </row>
    <row r="1580" spans="1:19" x14ac:dyDescent="0.2">
      <c r="A1580" t="str">
        <f t="shared" si="170"/>
        <v>Adult Nonfiction</v>
      </c>
      <c r="B1580" t="str">
        <f>"NEW 921 TRU"</f>
        <v>NEW 921 TRU</v>
      </c>
      <c r="C1580" t="str">
        <f>"The United States of Trump: how the President really sees America"</f>
        <v>The United States of Trump: how the President really sees America</v>
      </c>
      <c r="D1580">
        <v>358073</v>
      </c>
      <c r="E1580" t="str">
        <f>"O'Reilly, Bill"</f>
        <v>O'Reilly, Bill</v>
      </c>
      <c r="G1580" t="str">
        <f>"xi, 300 pages, 25 cm, illustrations"</f>
        <v>xi, 300 pages, 25 cm, illustrations</v>
      </c>
      <c r="H1580" s="1">
        <v>19</v>
      </c>
      <c r="I1580">
        <v>2019</v>
      </c>
      <c r="J1580" t="str">
        <f t="shared" si="169"/>
        <v>16: 920 - 929</v>
      </c>
      <c r="L1580" t="s">
        <v>2395</v>
      </c>
      <c r="M1580" t="s">
        <v>28</v>
      </c>
      <c r="N1580" t="s">
        <v>2396</v>
      </c>
      <c r="O1580">
        <v>4</v>
      </c>
      <c r="P1580" s="2">
        <v>43740</v>
      </c>
      <c r="Q1580" s="1">
        <v>33</v>
      </c>
      <c r="R1580" t="s">
        <v>3467</v>
      </c>
      <c r="S1580">
        <v>1090369341</v>
      </c>
    </row>
    <row r="1581" spans="1:19" x14ac:dyDescent="0.2">
      <c r="A1581" t="str">
        <f t="shared" si="170"/>
        <v>Adult Nonfiction</v>
      </c>
      <c r="B1581" t="str">
        <f>"NEW 921 TRU"</f>
        <v>NEW 921 TRU</v>
      </c>
      <c r="C1581" t="str">
        <f>"The United States of Trump: how the President really sees America"</f>
        <v>The United States of Trump: how the President really sees America</v>
      </c>
      <c r="D1581">
        <v>360183</v>
      </c>
      <c r="E1581" t="str">
        <f>"O'Reilly, Bill"</f>
        <v>O'Reilly, Bill</v>
      </c>
      <c r="G1581" t="str">
        <f>"xi, 300 pages, 25 cm, illustrations"</f>
        <v>xi, 300 pages, 25 cm, illustrations</v>
      </c>
      <c r="H1581" s="1">
        <v>19</v>
      </c>
      <c r="I1581">
        <v>2019</v>
      </c>
      <c r="J1581" t="str">
        <f t="shared" si="169"/>
        <v>16: 920 - 929</v>
      </c>
      <c r="L1581" t="s">
        <v>2395</v>
      </c>
      <c r="M1581" t="s">
        <v>28</v>
      </c>
      <c r="N1581" t="s">
        <v>2404</v>
      </c>
      <c r="O1581">
        <v>1</v>
      </c>
      <c r="P1581" s="2">
        <v>43833</v>
      </c>
      <c r="Q1581" s="1">
        <v>33</v>
      </c>
      <c r="R1581" t="s">
        <v>3467</v>
      </c>
      <c r="S1581">
        <v>1090369341</v>
      </c>
    </row>
    <row r="1582" spans="1:19" x14ac:dyDescent="0.2">
      <c r="A1582" t="str">
        <f t="shared" si="170"/>
        <v>Adult Nonfiction</v>
      </c>
      <c r="B1582" t="str">
        <f>"NEW 921 TRU"</f>
        <v>NEW 921 TRU</v>
      </c>
      <c r="C1582" t="str">
        <f>"The method to the madness: Donald Trump's ascent as told by those who were hired, fired, inspired--and inaugurated"</f>
        <v>The method to the madness: Donald Trump's ascent as told by those who were hired, fired, inspired--and inaugurated</v>
      </c>
      <c r="D1582">
        <v>356395</v>
      </c>
      <c r="E1582" t="str">
        <f>"Salkin, Allen"</f>
        <v>Salkin, Allen</v>
      </c>
      <c r="G1582" t="str">
        <f>"xviii, 329 pages, 25 cm"</f>
        <v>xviii, 329 pages, 25 cm</v>
      </c>
      <c r="H1582" s="1">
        <v>19</v>
      </c>
      <c r="I1582">
        <v>2019</v>
      </c>
      <c r="J1582" t="str">
        <f t="shared" si="169"/>
        <v>16: 920 - 929</v>
      </c>
      <c r="L1582" t="s">
        <v>2403</v>
      </c>
      <c r="M1582" t="s">
        <v>28</v>
      </c>
      <c r="N1582" t="s">
        <v>2404</v>
      </c>
      <c r="O1582">
        <v>5</v>
      </c>
      <c r="P1582" s="2">
        <v>43671</v>
      </c>
      <c r="Q1582" s="1">
        <v>34</v>
      </c>
      <c r="R1582" t="s">
        <v>3468</v>
      </c>
      <c r="S1582">
        <v>1100425464</v>
      </c>
    </row>
    <row r="1583" spans="1:19" x14ac:dyDescent="0.2">
      <c r="A1583" t="str">
        <f t="shared" si="170"/>
        <v>Adult Nonfiction</v>
      </c>
      <c r="B1583" t="str">
        <f>"NEW 921 TUB"</f>
        <v>NEW 921 TUB</v>
      </c>
      <c r="C1583" t="str">
        <f>"She came to slay: the life and times of Harriet Tubman"</f>
        <v>She came to slay: the life and times of Harriet Tubman</v>
      </c>
      <c r="D1583">
        <v>359052</v>
      </c>
      <c r="E1583" t="str">
        <f>"Dunbar, Erica Armstrong"</f>
        <v>Dunbar, Erica Armstrong</v>
      </c>
      <c r="G1583" t="str">
        <f>"xiv, 157 pages, 22 cm, illustrations, maps"</f>
        <v>xiv, 157 pages, 22 cm, illustrations, maps</v>
      </c>
      <c r="H1583" s="1">
        <v>19</v>
      </c>
      <c r="I1583">
        <v>2019</v>
      </c>
      <c r="J1583" t="str">
        <f t="shared" si="169"/>
        <v>16: 920 - 929</v>
      </c>
      <c r="L1583" t="s">
        <v>2395</v>
      </c>
      <c r="M1583" t="s">
        <v>28</v>
      </c>
      <c r="N1583" t="s">
        <v>2404</v>
      </c>
      <c r="O1583">
        <v>1</v>
      </c>
      <c r="P1583" s="2">
        <v>43776</v>
      </c>
      <c r="Q1583" s="1">
        <v>29</v>
      </c>
      <c r="R1583" t="s">
        <v>3469</v>
      </c>
      <c r="S1583">
        <v>1125984028</v>
      </c>
    </row>
    <row r="1584" spans="1:19" x14ac:dyDescent="0.2">
      <c r="A1584" t="str">
        <f t="shared" si="170"/>
        <v>Adult Nonfiction</v>
      </c>
      <c r="B1584" t="str">
        <f>"NEW 921 VAL"</f>
        <v>NEW 921 VAL</v>
      </c>
      <c r="C1584" t="str">
        <f>"Prognosis: a memoir of my brain"</f>
        <v>Prognosis: a memoir of my brain</v>
      </c>
      <c r="D1584">
        <v>359588</v>
      </c>
      <c r="E1584" t="str">
        <f>"Vallance, Sarah."</f>
        <v>Vallance, Sarah.</v>
      </c>
      <c r="G1584" t="str">
        <f>"262 p."</f>
        <v>262 p.</v>
      </c>
      <c r="H1584" s="1">
        <v>19</v>
      </c>
      <c r="I1584">
        <v>2019</v>
      </c>
      <c r="J1584" t="str">
        <f t="shared" si="169"/>
        <v>16: 920 - 929</v>
      </c>
      <c r="L1584" t="s">
        <v>2403</v>
      </c>
      <c r="M1584" t="s">
        <v>28</v>
      </c>
      <c r="N1584" t="s">
        <v>2404</v>
      </c>
      <c r="O1584">
        <v>2</v>
      </c>
      <c r="P1584" s="2">
        <v>43802</v>
      </c>
      <c r="Q1584" s="1">
        <v>30</v>
      </c>
      <c r="R1584" t="s">
        <v>3470</v>
      </c>
      <c r="S1584">
        <v>1110610130</v>
      </c>
    </row>
    <row r="1585" spans="1:19" x14ac:dyDescent="0.2">
      <c r="A1585" t="str">
        <f t="shared" si="170"/>
        <v>Adult Nonfiction</v>
      </c>
      <c r="B1585" t="str">
        <f>"NEW 921 VAN"</f>
        <v>NEW 921 VAN</v>
      </c>
      <c r="C1585" t="str">
        <f>"Over the top: a raw journey to self-love"</f>
        <v>Over the top: a raw journey to self-love</v>
      </c>
      <c r="D1585">
        <v>358126</v>
      </c>
      <c r="E1585" t="str">
        <f>"Van Ness, Jonathan"</f>
        <v>Van Ness, Jonathan</v>
      </c>
      <c r="G1585" t="str">
        <f>"269 pages, 24 cm, illustrations"</f>
        <v>269 pages, 24 cm, illustrations</v>
      </c>
      <c r="H1585" s="1">
        <v>19</v>
      </c>
      <c r="I1585">
        <v>2019</v>
      </c>
      <c r="J1585" t="str">
        <f t="shared" si="169"/>
        <v>16: 920 - 929</v>
      </c>
      <c r="L1585" t="s">
        <v>2403</v>
      </c>
      <c r="M1585" t="s">
        <v>28</v>
      </c>
      <c r="N1585" t="s">
        <v>2404</v>
      </c>
      <c r="O1585">
        <v>4</v>
      </c>
      <c r="P1585" s="2">
        <v>43740</v>
      </c>
      <c r="Q1585" s="1">
        <v>33</v>
      </c>
      <c r="R1585" t="s">
        <v>3471</v>
      </c>
      <c r="S1585">
        <v>1118691908</v>
      </c>
    </row>
    <row r="1586" spans="1:19" x14ac:dyDescent="0.2">
      <c r="A1586" t="str">
        <f t="shared" si="170"/>
        <v>Adult Nonfiction</v>
      </c>
      <c r="B1586" t="str">
        <f>"NEW 921 VAN"</f>
        <v>NEW 921 VAN</v>
      </c>
      <c r="C1586" t="str">
        <f>"Things we didn't talk about when I was a girl: a memoir"</f>
        <v>Things we didn't talk about when I was a girl: a memoir</v>
      </c>
      <c r="D1586">
        <v>358568</v>
      </c>
      <c r="E1586" t="str">
        <f>"Vanasco, Jeannie"</f>
        <v>Vanasco, Jeannie</v>
      </c>
      <c r="G1586" t="str">
        <f>"357 pages, 23 cm"</f>
        <v>357 pages, 23 cm</v>
      </c>
      <c r="H1586" s="1">
        <v>19</v>
      </c>
      <c r="I1586">
        <v>2019</v>
      </c>
      <c r="J1586" t="str">
        <f t="shared" si="169"/>
        <v>16: 920 - 929</v>
      </c>
      <c r="L1586" t="s">
        <v>2395</v>
      </c>
      <c r="M1586" t="s">
        <v>28</v>
      </c>
      <c r="N1586" t="s">
        <v>2396</v>
      </c>
      <c r="O1586">
        <v>3</v>
      </c>
      <c r="P1586" s="2">
        <v>43756</v>
      </c>
      <c r="Q1586" s="1">
        <v>31</v>
      </c>
      <c r="R1586" t="s">
        <v>3472</v>
      </c>
      <c r="S1586">
        <v>1109837256</v>
      </c>
    </row>
    <row r="1587" spans="1:19" x14ac:dyDescent="0.2">
      <c r="A1587" t="str">
        <f t="shared" si="170"/>
        <v>Adult Nonfiction</v>
      </c>
      <c r="B1587" t="str">
        <f>"NEW 921 WAL"</f>
        <v>NEW 921 WAL</v>
      </c>
      <c r="C1587" t="str">
        <f>"Imagination house: an entrepreneurial life"</f>
        <v>Imagination house: an entrepreneurial life</v>
      </c>
      <c r="D1587">
        <v>408675</v>
      </c>
      <c r="E1587" t="str">
        <f>"Walker, E. Lee,"</f>
        <v>Walker, E. Lee,</v>
      </c>
      <c r="G1587" t="str">
        <f>"xii, 153 pages, 21 cm"</f>
        <v>xii, 153 pages, 21 cm</v>
      </c>
      <c r="H1587" s="1">
        <v>19</v>
      </c>
      <c r="I1587">
        <v>2019</v>
      </c>
      <c r="J1587" t="str">
        <f t="shared" si="169"/>
        <v>16: 920 - 929</v>
      </c>
      <c r="L1587" t="s">
        <v>2395</v>
      </c>
      <c r="M1587" t="s">
        <v>28</v>
      </c>
      <c r="N1587" t="s">
        <v>2404</v>
      </c>
      <c r="O1587">
        <v>1</v>
      </c>
      <c r="P1587" s="2">
        <v>43844</v>
      </c>
      <c r="Q1587" s="1">
        <v>17</v>
      </c>
      <c r="R1587" t="s">
        <v>3473</v>
      </c>
      <c r="S1587">
        <v>1078890678</v>
      </c>
    </row>
    <row r="1588" spans="1:19" x14ac:dyDescent="0.2">
      <c r="A1588" t="str">
        <f t="shared" si="170"/>
        <v>Adult Nonfiction</v>
      </c>
      <c r="B1588" t="str">
        <f>"NEW 921 WAS"</f>
        <v>NEW 921 WAS</v>
      </c>
      <c r="C1588" t="str">
        <f>"Revolutionary: George Washington at war"</f>
        <v>Revolutionary: George Washington at war</v>
      </c>
      <c r="D1588">
        <v>353893</v>
      </c>
      <c r="E1588" t="str">
        <f>"O'Connell, Robert L."</f>
        <v>O'Connell, Robert L.</v>
      </c>
      <c r="G1588" t="str">
        <f>"303 p."</f>
        <v>303 p.</v>
      </c>
      <c r="H1588" s="1">
        <v>19</v>
      </c>
      <c r="I1588">
        <v>2019</v>
      </c>
      <c r="J1588" t="str">
        <f t="shared" si="169"/>
        <v>16: 920 - 929</v>
      </c>
      <c r="L1588" t="s">
        <v>2395</v>
      </c>
      <c r="M1588" t="s">
        <v>28</v>
      </c>
      <c r="N1588" t="s">
        <v>2404</v>
      </c>
      <c r="O1588">
        <v>7</v>
      </c>
      <c r="P1588" s="2">
        <v>43556</v>
      </c>
      <c r="Q1588" s="1">
        <v>37</v>
      </c>
      <c r="R1588" t="s">
        <v>3474</v>
      </c>
    </row>
    <row r="1589" spans="1:19" x14ac:dyDescent="0.2">
      <c r="A1589" t="str">
        <f t="shared" si="170"/>
        <v>Adult Nonfiction</v>
      </c>
      <c r="B1589" t="str">
        <f>"NEW 921 WAS"</f>
        <v>NEW 921 WAS</v>
      </c>
      <c r="C1589" t="str">
        <f>"Mary Ball Washington: the untold story of George Washington's mother"</f>
        <v>Mary Ball Washington: the untold story of George Washington's mother</v>
      </c>
      <c r="D1589">
        <v>360011</v>
      </c>
      <c r="E1589" t="str">
        <f>"Shirley, Craig."</f>
        <v>Shirley, Craig.</v>
      </c>
      <c r="G1589" t="str">
        <f>"344 pages, 24 cm, illustrations"</f>
        <v>344 pages, 24 cm, illustrations</v>
      </c>
      <c r="H1589" s="1">
        <v>19</v>
      </c>
      <c r="I1589">
        <v>2019</v>
      </c>
      <c r="J1589" t="str">
        <f t="shared" si="169"/>
        <v>16: 920 - 929</v>
      </c>
      <c r="L1589" t="s">
        <v>2403</v>
      </c>
      <c r="M1589" t="s">
        <v>28</v>
      </c>
      <c r="N1589" t="s">
        <v>2404</v>
      </c>
      <c r="O1589">
        <v>2</v>
      </c>
      <c r="P1589" s="2">
        <v>43826</v>
      </c>
      <c r="Q1589" s="1">
        <v>35</v>
      </c>
      <c r="R1589" t="s">
        <v>3475</v>
      </c>
      <c r="S1589">
        <v>1099543442</v>
      </c>
    </row>
    <row r="1590" spans="1:19" x14ac:dyDescent="0.2">
      <c r="A1590" t="str">
        <f t="shared" si="170"/>
        <v>Adult Nonfiction</v>
      </c>
      <c r="B1590" t="str">
        <f>"NEW 921 WES"</f>
        <v>NEW 921 WES</v>
      </c>
      <c r="C1590" t="str">
        <f>"Educated: a memoir"</f>
        <v>Educated: a memoir</v>
      </c>
      <c r="D1590">
        <v>349445</v>
      </c>
      <c r="E1590" t="str">
        <f>"Westover, Tara"</f>
        <v>Westover, Tara</v>
      </c>
      <c r="G1590" t="str">
        <f>"xv, 334 pages, 25 cm"</f>
        <v>xv, 334 pages, 25 cm</v>
      </c>
      <c r="H1590" s="1">
        <v>18</v>
      </c>
      <c r="I1590">
        <v>2018</v>
      </c>
      <c r="J1590" t="str">
        <f t="shared" si="169"/>
        <v>16: 920 - 929</v>
      </c>
      <c r="L1590" t="s">
        <v>2395</v>
      </c>
      <c r="M1590" t="s">
        <v>28</v>
      </c>
      <c r="N1590" t="s">
        <v>2401</v>
      </c>
      <c r="O1590">
        <v>22</v>
      </c>
      <c r="P1590" s="2">
        <v>43333</v>
      </c>
      <c r="Q1590" s="1">
        <v>33</v>
      </c>
      <c r="R1590" t="s">
        <v>3476</v>
      </c>
      <c r="S1590">
        <v>986898537</v>
      </c>
    </row>
    <row r="1591" spans="1:19" x14ac:dyDescent="0.2">
      <c r="A1591" t="str">
        <f t="shared" si="170"/>
        <v>Adult Nonfiction</v>
      </c>
      <c r="B1591" t="str">
        <f>"NEW 921 WIE"</f>
        <v>NEW 921 WIE</v>
      </c>
      <c r="C1591" t="str">
        <f>"Uncanny valley: a memoir"</f>
        <v>Uncanny valley: a memoir</v>
      </c>
      <c r="D1591">
        <v>360257</v>
      </c>
      <c r="E1591" t="str">
        <f>"Wiener, Anna,"</f>
        <v>Wiener, Anna,</v>
      </c>
      <c r="G1591" t="str">
        <f>"275 p."</f>
        <v>275 p.</v>
      </c>
      <c r="H1591" s="1">
        <v>19</v>
      </c>
      <c r="I1591">
        <v>2020</v>
      </c>
      <c r="J1591" t="str">
        <f t="shared" si="169"/>
        <v>16: 920 - 929</v>
      </c>
      <c r="L1591" t="s">
        <v>2395</v>
      </c>
      <c r="M1591" t="s">
        <v>28</v>
      </c>
      <c r="N1591" t="str">
        <f>"Reserve Cart"</f>
        <v>Reserve Cart</v>
      </c>
      <c r="O1591">
        <v>0</v>
      </c>
      <c r="P1591" s="2">
        <v>43844</v>
      </c>
      <c r="Q1591" s="1">
        <v>32</v>
      </c>
      <c r="R1591" t="s">
        <v>3477</v>
      </c>
      <c r="S1591">
        <v>1135866092</v>
      </c>
    </row>
    <row r="1592" spans="1:19" x14ac:dyDescent="0.2">
      <c r="A1592" t="str">
        <f t="shared" si="170"/>
        <v>Adult Nonfiction</v>
      </c>
      <c r="B1592" t="str">
        <f>"NEW 921 WIL"</f>
        <v>NEW 921 WIL</v>
      </c>
      <c r="C1592" t="str">
        <f>"Self-portrait in black and white: unlearning race"</f>
        <v>Self-portrait in black and white: unlearning race</v>
      </c>
      <c r="D1592">
        <v>358473</v>
      </c>
      <c r="E1592" t="str">
        <f>"Williams, Thomas Chatterton,"</f>
        <v>Williams, Thomas Chatterton,</v>
      </c>
      <c r="G1592" t="str">
        <f>"174 pages, 22 cm"</f>
        <v>174 pages, 22 cm</v>
      </c>
      <c r="H1592" s="1">
        <v>19</v>
      </c>
      <c r="I1592">
        <v>2019</v>
      </c>
      <c r="J1592" t="str">
        <f t="shared" si="169"/>
        <v>16: 920 - 929</v>
      </c>
      <c r="L1592" t="s">
        <v>2395</v>
      </c>
      <c r="M1592" t="s">
        <v>28</v>
      </c>
      <c r="N1592" t="s">
        <v>2396</v>
      </c>
      <c r="O1592">
        <v>2</v>
      </c>
      <c r="P1592" s="2">
        <v>43753</v>
      </c>
      <c r="Q1592" s="1">
        <v>31</v>
      </c>
      <c r="R1592" t="s">
        <v>3478</v>
      </c>
      <c r="S1592">
        <v>1121184172</v>
      </c>
    </row>
    <row r="1593" spans="1:19" x14ac:dyDescent="0.2">
      <c r="A1593" t="str">
        <f t="shared" si="170"/>
        <v>Adult Nonfiction</v>
      </c>
      <c r="B1593" t="str">
        <f>"NEW 921 WIL"</f>
        <v>NEW 921 WIL</v>
      </c>
      <c r="C1593" t="str">
        <f>"The nature of life and death: every body leaves a trace"</f>
        <v>The nature of life and death: every body leaves a trace</v>
      </c>
      <c r="D1593">
        <v>358549</v>
      </c>
      <c r="E1593" t="str">
        <f>"Wiltshire, Patricia E. J."</f>
        <v>Wiltshire, Patricia E. J.</v>
      </c>
      <c r="G1593" t="str">
        <f>"viii, 290 pages, 24 cm"</f>
        <v>viii, 290 pages, 24 cm</v>
      </c>
      <c r="H1593" s="1">
        <v>19</v>
      </c>
      <c r="I1593">
        <v>2019</v>
      </c>
      <c r="J1593" t="str">
        <f t="shared" si="169"/>
        <v>16: 920 - 929</v>
      </c>
      <c r="L1593" t="s">
        <v>2395</v>
      </c>
      <c r="M1593" t="s">
        <v>28</v>
      </c>
      <c r="N1593" t="s">
        <v>2396</v>
      </c>
      <c r="O1593">
        <v>1</v>
      </c>
      <c r="P1593" s="2">
        <v>43756</v>
      </c>
      <c r="Q1593" s="1">
        <v>32</v>
      </c>
      <c r="R1593" t="s">
        <v>3479</v>
      </c>
      <c r="S1593">
        <v>1112672288</v>
      </c>
    </row>
    <row r="1594" spans="1:19" x14ac:dyDescent="0.2">
      <c r="A1594" t="str">
        <f t="shared" si="170"/>
        <v>Adult Nonfiction</v>
      </c>
      <c r="B1594" t="str">
        <f>"NEW 921 WON"</f>
        <v>NEW 921 WON</v>
      </c>
      <c r="C1594" t="str">
        <f>"Dear girls: intimate tales, untold secrets &amp; advice for living your best life"</f>
        <v>Dear girls: intimate tales, untold secrets &amp; advice for living your best life</v>
      </c>
      <c r="D1594">
        <v>358862</v>
      </c>
      <c r="E1594" t="str">
        <f>"Wong, Ali"</f>
        <v>Wong, Ali</v>
      </c>
      <c r="G1594" t="str">
        <f>"xiii, 216 pages, 22 cm"</f>
        <v>xiii, 216 pages, 22 cm</v>
      </c>
      <c r="H1594" s="1">
        <v>19</v>
      </c>
      <c r="I1594">
        <v>2019</v>
      </c>
      <c r="J1594" t="str">
        <f t="shared" si="169"/>
        <v>16: 920 - 929</v>
      </c>
      <c r="L1594" t="s">
        <v>2395</v>
      </c>
      <c r="M1594" t="s">
        <v>28</v>
      </c>
      <c r="N1594" t="s">
        <v>2404</v>
      </c>
      <c r="O1594">
        <v>6</v>
      </c>
      <c r="P1594" s="2">
        <v>43769</v>
      </c>
      <c r="Q1594" s="1">
        <v>32</v>
      </c>
      <c r="R1594" t="s">
        <v>3480</v>
      </c>
      <c r="S1594">
        <v>1107153684</v>
      </c>
    </row>
    <row r="1595" spans="1:19" x14ac:dyDescent="0.2">
      <c r="A1595" t="str">
        <f t="shared" si="170"/>
        <v>Adult Nonfiction</v>
      </c>
      <c r="B1595" t="str">
        <f>"NEW 921 WOO"</f>
        <v>NEW 921 WOO</v>
      </c>
      <c r="C1595" t="str">
        <f>"Scan artist: how Evelyn Wood convinced the world that speed-reading worked"</f>
        <v>Scan artist: how Evelyn Wood convinced the world that speed-reading worked</v>
      </c>
      <c r="D1595">
        <v>358562</v>
      </c>
      <c r="E1595" t="str">
        <f>"Biederman, Marcia,"</f>
        <v>Biederman, Marcia,</v>
      </c>
      <c r="G1595" t="str">
        <f>"xiv, 250 pages, 8 unnumbered pages of plates, 24 cm, illustrations"</f>
        <v>xiv, 250 pages, 8 unnumbered pages of plates, 24 cm, illustrations</v>
      </c>
      <c r="H1595" s="1">
        <v>19</v>
      </c>
      <c r="I1595">
        <v>2019</v>
      </c>
      <c r="J1595" t="str">
        <f t="shared" si="169"/>
        <v>16: 920 - 929</v>
      </c>
      <c r="L1595" t="s">
        <v>2395</v>
      </c>
      <c r="M1595" t="s">
        <v>28</v>
      </c>
      <c r="N1595" t="s">
        <v>2396</v>
      </c>
      <c r="O1595">
        <v>3</v>
      </c>
      <c r="P1595" s="2">
        <v>43756</v>
      </c>
      <c r="Q1595" s="1">
        <v>32</v>
      </c>
      <c r="R1595" t="s">
        <v>3481</v>
      </c>
      <c r="S1595">
        <v>1083675705</v>
      </c>
    </row>
    <row r="1596" spans="1:19" x14ac:dyDescent="0.2">
      <c r="A1596" t="str">
        <f t="shared" si="170"/>
        <v>Adult Nonfiction</v>
      </c>
      <c r="B1596" t="str">
        <f>"NEW 921 WRI"</f>
        <v>NEW 921 WRI</v>
      </c>
      <c r="C1596" t="str">
        <f>"Plagued by fire: the dreams and furies of Frank Lloyd Wright"</f>
        <v>Plagued by fire: the dreams and furies of Frank Lloyd Wright</v>
      </c>
      <c r="D1596">
        <v>358128</v>
      </c>
      <c r="E1596" t="str">
        <f>"Hendrickson, Paul,"</f>
        <v>Hendrickson, Paul,</v>
      </c>
      <c r="G1596" t="str">
        <f>"pages cm"</f>
        <v>pages cm</v>
      </c>
      <c r="H1596" s="1">
        <v>19</v>
      </c>
      <c r="I1596">
        <v>2019</v>
      </c>
      <c r="J1596" t="str">
        <f t="shared" si="169"/>
        <v>16: 920 - 929</v>
      </c>
      <c r="L1596" t="s">
        <v>2403</v>
      </c>
      <c r="M1596" t="s">
        <v>28</v>
      </c>
      <c r="N1596" t="s">
        <v>2404</v>
      </c>
      <c r="O1596">
        <v>4</v>
      </c>
      <c r="P1596" s="2">
        <v>43740</v>
      </c>
      <c r="Q1596" s="1">
        <v>40</v>
      </c>
      <c r="R1596" t="s">
        <v>3482</v>
      </c>
      <c r="S1596">
        <v>1076419165</v>
      </c>
    </row>
    <row r="1597" spans="1:19" x14ac:dyDescent="0.2">
      <c r="A1597" t="str">
        <f t="shared" si="170"/>
        <v>Adult Nonfiction</v>
      </c>
      <c r="B1597" t="str">
        <f>"NEW 921 ZUC"</f>
        <v>NEW 921 ZUC</v>
      </c>
      <c r="C1597" t="str">
        <f>"The man who solved the market: how Jim Simons launched the Quant revolution"</f>
        <v>The man who solved the market: how Jim Simons launched the Quant revolution</v>
      </c>
      <c r="D1597">
        <v>408571</v>
      </c>
      <c r="E1597" t="str">
        <f>"Zuckerman, Gregory."</f>
        <v>Zuckerman, Gregory.</v>
      </c>
      <c r="G1597" t="str">
        <f>"326 p."</f>
        <v>326 p.</v>
      </c>
      <c r="H1597">
        <v>19</v>
      </c>
      <c r="I1597">
        <v>2019</v>
      </c>
      <c r="J1597" t="str">
        <f>"9: 300 - 399"</f>
        <v>9: 300 - 399</v>
      </c>
      <c r="L1597" t="s">
        <v>2395</v>
      </c>
      <c r="M1597" t="s">
        <v>28</v>
      </c>
      <c r="N1597" t="s">
        <v>2404</v>
      </c>
      <c r="O1597">
        <v>3</v>
      </c>
      <c r="P1597" s="2">
        <v>43816</v>
      </c>
      <c r="Q1597" s="1">
        <v>35</v>
      </c>
      <c r="R1597" t="s">
        <v>2384</v>
      </c>
      <c r="S1597">
        <v>1126569133</v>
      </c>
    </row>
    <row r="1598" spans="1:19" x14ac:dyDescent="0.2">
      <c r="A1598" t="str">
        <f t="shared" si="170"/>
        <v>Adult Nonfiction</v>
      </c>
      <c r="B1598" t="str">
        <f>"NEW 921 ZUK"</f>
        <v>NEW 921 ZUK</v>
      </c>
      <c r="C1598" t="str">
        <f>"Like falling through a cloud: a lyrical memoir of coping with forgetfulness, confusion, and a dreaded diagnosis"</f>
        <v>Like falling through a cloud: a lyrical memoir of coping with forgetfulness, confusion, and a dreaded diagnosis</v>
      </c>
      <c r="D1598">
        <v>408494</v>
      </c>
      <c r="E1598" t="str">
        <f>"Zukerman, Eugenia"</f>
        <v>Zukerman, Eugenia</v>
      </c>
      <c r="G1598" t="str">
        <f>"178 pages, 22 cm"</f>
        <v>178 pages, 22 cm</v>
      </c>
      <c r="H1598" s="1">
        <v>19</v>
      </c>
      <c r="I1598">
        <v>2019</v>
      </c>
      <c r="J1598" t="str">
        <f>"16: 920 - 929"</f>
        <v>16: 920 - 929</v>
      </c>
      <c r="L1598" t="s">
        <v>2403</v>
      </c>
      <c r="M1598" t="s">
        <v>28</v>
      </c>
      <c r="N1598" t="s">
        <v>2396</v>
      </c>
      <c r="O1598">
        <v>2</v>
      </c>
      <c r="P1598" s="2">
        <v>43809</v>
      </c>
      <c r="Q1598" s="1">
        <v>27</v>
      </c>
      <c r="R1598" t="s">
        <v>3483</v>
      </c>
      <c r="S1598">
        <v>1104055743</v>
      </c>
    </row>
    <row r="1599" spans="1:19" x14ac:dyDescent="0.2">
      <c r="A1599" t="str">
        <f t="shared" si="170"/>
        <v>Adult Nonfiction</v>
      </c>
      <c r="B1599" t="str">
        <f>"NEW 940.1 JON"</f>
        <v>NEW 940.1 JON</v>
      </c>
      <c r="C1599" t="str">
        <f>"Crusaders: the epic history of the wars for the holy lands"</f>
        <v>Crusaders: the epic history of the wars for the holy lands</v>
      </c>
      <c r="D1599">
        <v>358303</v>
      </c>
      <c r="E1599" t="str">
        <f>"Jones, Dan,"</f>
        <v>Jones, Dan,</v>
      </c>
      <c r="G1599" t="str">
        <f>"xxxvii, 425 pages, 16 unnumbered pages of plates, 25 cm, illustrations, maps"</f>
        <v>xxxvii, 425 pages, 16 unnumbered pages of plates, 25 cm, illustrations, maps</v>
      </c>
      <c r="H1599" s="1">
        <v>19</v>
      </c>
      <c r="I1599">
        <v>2019</v>
      </c>
      <c r="J1599" t="str">
        <f t="shared" ref="J1599:J1609" si="171">"17: 930 - 999"</f>
        <v>17: 930 - 999</v>
      </c>
      <c r="L1599" t="s">
        <v>2403</v>
      </c>
      <c r="M1599" t="s">
        <v>28</v>
      </c>
      <c r="N1599" t="s">
        <v>2404</v>
      </c>
      <c r="O1599">
        <v>5</v>
      </c>
      <c r="P1599" s="2">
        <v>43749</v>
      </c>
      <c r="Q1599" s="1">
        <v>35</v>
      </c>
      <c r="R1599" t="s">
        <v>3484</v>
      </c>
      <c r="S1599">
        <v>1105748569</v>
      </c>
    </row>
    <row r="1600" spans="1:19" x14ac:dyDescent="0.2">
      <c r="A1600" t="str">
        <f t="shared" si="170"/>
        <v>Adult Nonfiction</v>
      </c>
      <c r="B1600" t="str">
        <f>"NEW 940.53 BAI"</f>
        <v>NEW 940.53 BAI</v>
      </c>
      <c r="C1600" t="str">
        <f>"Three days at the brink: FDR's daring gamble to win World War II"</f>
        <v>Three days at the brink: FDR's daring gamble to win World War II</v>
      </c>
      <c r="D1600">
        <v>358898</v>
      </c>
      <c r="E1600" t="str">
        <f>"Baier, Bret."</f>
        <v>Baier, Bret.</v>
      </c>
      <c r="G1600" t="str">
        <f>"xiv, 434 p., 16 unnumbered pages of plates, 24 cm, illustrations"</f>
        <v>xiv, 434 p., 16 unnumbered pages of plates, 24 cm, illustrations</v>
      </c>
      <c r="H1600" s="1">
        <v>19</v>
      </c>
      <c r="I1600">
        <v>2019</v>
      </c>
      <c r="J1600" t="str">
        <f t="shared" si="171"/>
        <v>17: 930 - 999</v>
      </c>
      <c r="L1600" t="s">
        <v>2403</v>
      </c>
      <c r="M1600" t="s">
        <v>28</v>
      </c>
      <c r="N1600" t="s">
        <v>2404</v>
      </c>
      <c r="O1600">
        <v>4</v>
      </c>
      <c r="P1600" s="2">
        <v>43769</v>
      </c>
      <c r="Q1600" s="1">
        <v>34</v>
      </c>
      <c r="R1600" t="s">
        <v>3485</v>
      </c>
      <c r="S1600">
        <v>1083287747</v>
      </c>
    </row>
    <row r="1601" spans="1:19" x14ac:dyDescent="0.2">
      <c r="A1601" t="str">
        <f t="shared" si="170"/>
        <v>Adult Nonfiction</v>
      </c>
      <c r="B1601" t="str">
        <f>"NEW 940.54 MOO"</f>
        <v>NEW 940.54 MOO</v>
      </c>
      <c r="C1601" t="str">
        <f>"First to fight: the Polish War 1939"</f>
        <v>First to fight: the Polish War 1939</v>
      </c>
      <c r="D1601">
        <v>408480</v>
      </c>
      <c r="E1601" t="str">
        <f>"Moorhouse, Roger"</f>
        <v>Moorhouse, Roger</v>
      </c>
      <c r="G1601" t="str">
        <f>"xxii, 343 pages, 16 unnumbered pages of plates, 24 cm, illustrations, maps"</f>
        <v>xxii, 343 pages, 16 unnumbered pages of plates, 24 cm, illustrations, maps</v>
      </c>
      <c r="H1601" s="1">
        <v>19</v>
      </c>
      <c r="I1601">
        <v>2019</v>
      </c>
      <c r="J1601" t="str">
        <f t="shared" si="171"/>
        <v>17: 930 - 999</v>
      </c>
      <c r="L1601" t="s">
        <v>2403</v>
      </c>
      <c r="M1601" t="s">
        <v>28</v>
      </c>
      <c r="N1601" t="s">
        <v>2404</v>
      </c>
      <c r="O1601">
        <v>4</v>
      </c>
      <c r="P1601" s="2">
        <v>43808</v>
      </c>
      <c r="Q1601" s="1">
        <v>32</v>
      </c>
      <c r="R1601" t="s">
        <v>3486</v>
      </c>
      <c r="S1601">
        <v>1108710545</v>
      </c>
    </row>
    <row r="1602" spans="1:19" x14ac:dyDescent="0.2">
      <c r="A1602" t="str">
        <f t="shared" si="170"/>
        <v>Adult Nonfiction</v>
      </c>
      <c r="B1602" t="str">
        <f>"NEW 940.54 PAR"</f>
        <v>NEW 940.54 PAR</v>
      </c>
      <c r="C1602" t="str">
        <f>"A game of birds and wolves: the ingenious young women whose secret board game helped win world war II"</f>
        <v>A game of birds and wolves: the ingenious young women whose secret board game helped win world war II</v>
      </c>
      <c r="D1602">
        <v>360601</v>
      </c>
      <c r="E1602" t="str">
        <f>"Parkin, Simon"</f>
        <v>Parkin, Simon</v>
      </c>
      <c r="H1602" s="1">
        <v>20</v>
      </c>
      <c r="I1602">
        <v>2020</v>
      </c>
      <c r="J1602" t="str">
        <f t="shared" si="171"/>
        <v>17: 930 - 999</v>
      </c>
      <c r="L1602" t="s">
        <v>2395</v>
      </c>
      <c r="M1602" t="s">
        <v>28</v>
      </c>
      <c r="N1602" t="s">
        <v>2495</v>
      </c>
      <c r="O1602">
        <v>0</v>
      </c>
      <c r="P1602" s="2">
        <v>43859</v>
      </c>
      <c r="Q1602" s="1">
        <v>34</v>
      </c>
      <c r="R1602" t="s">
        <v>3487</v>
      </c>
    </row>
    <row r="1603" spans="1:19" x14ac:dyDescent="0.2">
      <c r="A1603" t="str">
        <f t="shared" si="170"/>
        <v>Adult Nonfiction</v>
      </c>
      <c r="B1603" t="str">
        <f>"NEW 940.54 SMI"</f>
        <v>NEW 940.54 SMI</v>
      </c>
      <c r="C1603" t="str">
        <f>"The liberation of Paris: how Eisenhower, De Gaulle, and Von Choltitz saved the City of Light"</f>
        <v>The liberation of Paris: how Eisenhower, De Gaulle, and Von Choltitz saved the City of Light</v>
      </c>
      <c r="D1603">
        <v>357265</v>
      </c>
      <c r="E1603" t="str">
        <f>"Smith, Jean Edward"</f>
        <v>Smith, Jean Edward</v>
      </c>
      <c r="G1603" t="str">
        <f>"242 pages, 22 cm, illustrations, maps"</f>
        <v>242 pages, 22 cm, illustrations, maps</v>
      </c>
      <c r="H1603" s="1">
        <v>19</v>
      </c>
      <c r="I1603">
        <v>2019</v>
      </c>
      <c r="J1603" t="str">
        <f t="shared" si="171"/>
        <v>17: 930 - 999</v>
      </c>
      <c r="L1603" t="s">
        <v>2395</v>
      </c>
      <c r="M1603" t="s">
        <v>28</v>
      </c>
      <c r="N1603" t="s">
        <v>2404</v>
      </c>
      <c r="O1603">
        <v>5</v>
      </c>
      <c r="P1603" s="2">
        <v>43711</v>
      </c>
      <c r="Q1603" s="1">
        <v>32</v>
      </c>
      <c r="R1603" t="s">
        <v>3488</v>
      </c>
      <c r="S1603">
        <v>1056742832</v>
      </c>
    </row>
    <row r="1604" spans="1:19" x14ac:dyDescent="0.2">
      <c r="A1604" t="str">
        <f t="shared" si="170"/>
        <v>Adult Nonfiction</v>
      </c>
      <c r="B1604" t="str">
        <f>"NEW 941.07 DAM"</f>
        <v>NEW 941.07 DAM</v>
      </c>
      <c r="C1604" t="str">
        <f>"The Club: Johnson, Boswell, and the friends who shaped an age"</f>
        <v>The Club: Johnson, Boswell, and the friends who shaped an age</v>
      </c>
      <c r="D1604">
        <v>408501</v>
      </c>
      <c r="E1604" t="str">
        <f>"Damrosch, Leopold."</f>
        <v>Damrosch, Leopold.</v>
      </c>
      <c r="G1604" t="str">
        <f>"vi, 473 pages, 16 unnumbered pages of plates, 25 cm, illustrations (some color), map, portraits (some color), facsimiles, photographs"</f>
        <v>vi, 473 pages, 16 unnumbered pages of plates, 25 cm, illustrations (some color), map, portraits (some color), facsimiles, photographs</v>
      </c>
      <c r="H1604" s="1">
        <v>19</v>
      </c>
      <c r="I1604">
        <v>2019</v>
      </c>
      <c r="J1604" t="str">
        <f t="shared" si="171"/>
        <v>17: 930 - 999</v>
      </c>
      <c r="L1604" t="s">
        <v>2403</v>
      </c>
      <c r="M1604" t="s">
        <v>28</v>
      </c>
      <c r="N1604" t="s">
        <v>2404</v>
      </c>
      <c r="O1604">
        <v>3</v>
      </c>
      <c r="P1604" s="2">
        <v>43809</v>
      </c>
      <c r="Q1604" s="1">
        <v>35</v>
      </c>
      <c r="R1604" t="s">
        <v>3489</v>
      </c>
      <c r="S1604">
        <v>1048941286</v>
      </c>
    </row>
    <row r="1605" spans="1:19" x14ac:dyDescent="0.2">
      <c r="A1605" t="str">
        <f t="shared" si="170"/>
        <v>Adult Nonfiction</v>
      </c>
      <c r="B1605" t="str">
        <f>"NEW 941.07 DAM"</f>
        <v>NEW 941.07 DAM</v>
      </c>
      <c r="C1605" t="str">
        <f>"The Club: Johnson, Boswell, and the friends who shaped an age"</f>
        <v>The Club: Johnson, Boswell, and the friends who shaped an age</v>
      </c>
      <c r="D1605">
        <v>360305</v>
      </c>
      <c r="E1605" t="str">
        <f>"Damrosch, Leopold."</f>
        <v>Damrosch, Leopold.</v>
      </c>
      <c r="G1605" t="str">
        <f>"vi, 473 pages, 16 unnumbered pages of plates, 25 cm, illustrations (some color), map, portraits (some color), facsimiles, photographs"</f>
        <v>vi, 473 pages, 16 unnumbered pages of plates, 25 cm, illustrations (some color), map, portraits (some color), facsimiles, photographs</v>
      </c>
      <c r="H1605" s="1">
        <v>19</v>
      </c>
      <c r="I1605">
        <v>2019</v>
      </c>
      <c r="J1605" t="str">
        <f t="shared" si="171"/>
        <v>17: 930 - 999</v>
      </c>
      <c r="L1605" t="s">
        <v>2395</v>
      </c>
      <c r="M1605" t="s">
        <v>28</v>
      </c>
      <c r="N1605" t="s">
        <v>2404</v>
      </c>
      <c r="O1605">
        <v>1</v>
      </c>
      <c r="P1605" s="2">
        <v>43844</v>
      </c>
      <c r="Q1605" s="1">
        <v>35</v>
      </c>
      <c r="R1605" t="s">
        <v>3489</v>
      </c>
      <c r="S1605">
        <v>1048941286</v>
      </c>
    </row>
    <row r="1606" spans="1:19" x14ac:dyDescent="0.2">
      <c r="A1606" t="str">
        <f t="shared" si="170"/>
        <v>Adult Nonfiction</v>
      </c>
      <c r="B1606" t="str">
        <f>"NEW 944.04 POP"</f>
        <v>NEW 944.04 POP</v>
      </c>
      <c r="C1606" t="str">
        <f>"A new world begins: the history of the French Revolution"</f>
        <v>A new world begins: the history of the French Revolution</v>
      </c>
      <c r="D1606">
        <v>360627</v>
      </c>
      <c r="E1606" t="str">
        <f>"Popkin, Jeremy"</f>
        <v>Popkin, Jeremy</v>
      </c>
      <c r="G1606" t="str">
        <f>"viii, 627 pages, 25 cm, illustrations, maps"</f>
        <v>viii, 627 pages, 25 cm, illustrations, maps</v>
      </c>
      <c r="H1606" s="1">
        <v>20</v>
      </c>
      <c r="I1606">
        <v>2019</v>
      </c>
      <c r="J1606" t="str">
        <f t="shared" si="171"/>
        <v>17: 930 - 999</v>
      </c>
      <c r="L1606" t="s">
        <v>2395</v>
      </c>
      <c r="M1606" t="s">
        <v>28</v>
      </c>
      <c r="N1606" t="s">
        <v>2495</v>
      </c>
      <c r="O1606">
        <v>0</v>
      </c>
      <c r="P1606" s="2">
        <v>43859</v>
      </c>
      <c r="Q1606" s="1">
        <v>40</v>
      </c>
      <c r="R1606" t="s">
        <v>3490</v>
      </c>
      <c r="S1606">
        <v>1129003126</v>
      </c>
    </row>
    <row r="1607" spans="1:19" x14ac:dyDescent="0.2">
      <c r="A1607" t="str">
        <f t="shared" si="170"/>
        <v>Adult Nonfiction</v>
      </c>
      <c r="B1607" t="str">
        <f>"NEW 947.086 MAC"</f>
        <v>NEW 947.086 MAC</v>
      </c>
      <c r="C1607" t="str">
        <f>"Pravda ha ha: true travels to the end of Europe"</f>
        <v>Pravda ha ha: true travels to the end of Europe</v>
      </c>
      <c r="D1607">
        <v>360240</v>
      </c>
      <c r="E1607" t="str">
        <f>"MacLean, Rory."</f>
        <v>MacLean, Rory.</v>
      </c>
      <c r="G1607" t="str">
        <f>"368 p."</f>
        <v>368 p.</v>
      </c>
      <c r="H1607" s="1">
        <v>19</v>
      </c>
      <c r="I1607">
        <v>2020</v>
      </c>
      <c r="J1607" t="str">
        <f t="shared" si="171"/>
        <v>17: 930 - 999</v>
      </c>
      <c r="L1607" t="s">
        <v>2395</v>
      </c>
      <c r="M1607" t="s">
        <v>28</v>
      </c>
      <c r="N1607" t="s">
        <v>2495</v>
      </c>
      <c r="O1607">
        <v>0</v>
      </c>
      <c r="P1607" s="2">
        <v>43844</v>
      </c>
      <c r="Q1607" s="1">
        <v>32</v>
      </c>
      <c r="R1607" t="s">
        <v>3491</v>
      </c>
      <c r="S1607">
        <v>1090370283</v>
      </c>
    </row>
    <row r="1608" spans="1:19" x14ac:dyDescent="0.2">
      <c r="A1608" t="str">
        <f t="shared" si="170"/>
        <v>Adult Nonfiction</v>
      </c>
      <c r="B1608" t="str">
        <f>"NEW 947.086 YAF"</f>
        <v>NEW 947.086 YAF</v>
      </c>
      <c r="C1608" t="str">
        <f>"Between two fires: truth, ambition, and compromise in Putin's Russia"</f>
        <v>Between two fires: truth, ambition, and compromise in Putin's Russia</v>
      </c>
      <c r="D1608">
        <v>360592</v>
      </c>
      <c r="E1608" t="str">
        <f>"Yaffa, Joshua,"</f>
        <v>Yaffa, Joshua,</v>
      </c>
      <c r="G1608" t="str">
        <f>"356 pages, 25 cm, map"</f>
        <v>356 pages, 25 cm, map</v>
      </c>
      <c r="H1608" s="1">
        <v>20</v>
      </c>
      <c r="I1608">
        <v>2020</v>
      </c>
      <c r="J1608" t="str">
        <f t="shared" si="171"/>
        <v>17: 930 - 999</v>
      </c>
      <c r="L1608" t="s">
        <v>2395</v>
      </c>
      <c r="M1608" t="s">
        <v>28</v>
      </c>
      <c r="N1608" t="s">
        <v>2495</v>
      </c>
      <c r="O1608">
        <v>0</v>
      </c>
      <c r="P1608" s="2">
        <v>43859</v>
      </c>
      <c r="Q1608" s="1">
        <v>33</v>
      </c>
      <c r="R1608" t="s">
        <v>3492</v>
      </c>
      <c r="S1608">
        <v>1112142113</v>
      </c>
    </row>
    <row r="1609" spans="1:19" x14ac:dyDescent="0.2">
      <c r="A1609" t="str">
        <f t="shared" si="170"/>
        <v>Adult Nonfiction</v>
      </c>
      <c r="B1609" t="str">
        <f>"NEW 951.05 LIA"</f>
        <v>NEW 951.05 LIA</v>
      </c>
      <c r="C1609" t="str">
        <f>"Bullets and opium: real-life stories of China after the Tiananmen Square Massacre"</f>
        <v>Bullets and opium: real-life stories of China after the Tiananmen Square Massacre</v>
      </c>
      <c r="D1609">
        <v>357327</v>
      </c>
      <c r="E1609" t="str">
        <f>"Liao, Yiwu,"</f>
        <v>Liao, Yiwu,</v>
      </c>
      <c r="G1609" t="str">
        <f>"254 p."</f>
        <v>254 p.</v>
      </c>
      <c r="H1609" s="1">
        <v>19</v>
      </c>
      <c r="I1609">
        <v>2019</v>
      </c>
      <c r="J1609" t="str">
        <f t="shared" si="171"/>
        <v>17: 930 - 999</v>
      </c>
      <c r="L1609" t="s">
        <v>2395</v>
      </c>
      <c r="M1609" t="s">
        <v>28</v>
      </c>
      <c r="N1609" t="s">
        <v>2396</v>
      </c>
      <c r="O1609">
        <v>3</v>
      </c>
      <c r="P1609" s="2">
        <v>43711</v>
      </c>
      <c r="Q1609" s="1">
        <v>35</v>
      </c>
      <c r="R1609" t="s">
        <v>3493</v>
      </c>
      <c r="S1609">
        <v>1089261020</v>
      </c>
    </row>
    <row r="1610" spans="1:19" x14ac:dyDescent="0.2">
      <c r="A1610" t="str">
        <f t="shared" si="170"/>
        <v>Adult Nonfiction</v>
      </c>
      <c r="B1610" t="str">
        <f>"NEW 951.93 PAL"</f>
        <v>NEW 951.93 PAL</v>
      </c>
      <c r="C1610" t="str">
        <f>"North Korea journal"</f>
        <v>North Korea journal</v>
      </c>
      <c r="D1610">
        <v>359040</v>
      </c>
      <c r="E1610" t="str">
        <f>"Palin, Michael"</f>
        <v>Palin, Michael</v>
      </c>
      <c r="G1610" t="str">
        <f>"170 p."</f>
        <v>170 p.</v>
      </c>
      <c r="H1610" s="1">
        <v>19</v>
      </c>
      <c r="I1610">
        <v>2019</v>
      </c>
      <c r="J1610" t="str">
        <f>"16: 920 - 929"</f>
        <v>16: 920 - 929</v>
      </c>
      <c r="L1610" t="s">
        <v>2395</v>
      </c>
      <c r="M1610" t="s">
        <v>28</v>
      </c>
      <c r="N1610" t="s">
        <v>2404</v>
      </c>
      <c r="O1610">
        <v>5</v>
      </c>
      <c r="P1610" s="2">
        <v>43776</v>
      </c>
      <c r="Q1610" s="1">
        <v>30</v>
      </c>
      <c r="R1610" t="s">
        <v>3494</v>
      </c>
      <c r="S1610">
        <v>1102783769</v>
      </c>
    </row>
    <row r="1611" spans="1:19" x14ac:dyDescent="0.2">
      <c r="A1611" t="str">
        <f t="shared" si="170"/>
        <v>Adult Nonfiction</v>
      </c>
      <c r="B1611" t="str">
        <f>"NEW 954 ANA"</f>
        <v>NEW 954 ANA</v>
      </c>
      <c r="C1611" t="str">
        <f>"The patient assassin: a true tale of massacre, revenge, and India's quest for independence"</f>
        <v>The patient assassin: a true tale of massacre, revenge, and India's quest for independence</v>
      </c>
      <c r="D1611">
        <v>360169</v>
      </c>
      <c r="E1611" t="str">
        <f>"Anand, Anita"</f>
        <v>Anand, Anita</v>
      </c>
      <c r="G1611" t="str">
        <f>"x, 374 pages, 24 cm, illustrations"</f>
        <v>x, 374 pages, 24 cm, illustrations</v>
      </c>
      <c r="H1611" s="1">
        <v>19</v>
      </c>
      <c r="I1611">
        <v>2019</v>
      </c>
      <c r="J1611" t="str">
        <f t="shared" ref="J1611:J1619" si="172">"17: 930 - 999"</f>
        <v>17: 930 - 999</v>
      </c>
      <c r="L1611" t="s">
        <v>2395</v>
      </c>
      <c r="M1611" t="s">
        <v>28</v>
      </c>
      <c r="N1611" t="s">
        <v>2404</v>
      </c>
      <c r="O1611">
        <v>1</v>
      </c>
      <c r="P1611" s="2">
        <v>43833</v>
      </c>
      <c r="Q1611" s="1">
        <v>35</v>
      </c>
      <c r="R1611" t="s">
        <v>3495</v>
      </c>
      <c r="S1611">
        <v>1104794736</v>
      </c>
    </row>
    <row r="1612" spans="1:19" x14ac:dyDescent="0.2">
      <c r="A1612" t="str">
        <f t="shared" si="170"/>
        <v>Adult Nonfiction</v>
      </c>
      <c r="B1612" t="str">
        <f>"NEW 954 DAL"</f>
        <v>NEW 954 DAL</v>
      </c>
      <c r="C1612" t="str">
        <f>"The anarchy: the relentless rise of the East India Company"</f>
        <v>The anarchy: the relentless rise of the East India Company</v>
      </c>
      <c r="D1612">
        <v>357880</v>
      </c>
      <c r="E1612" t="str">
        <f>"Dalrymple, William."</f>
        <v>Dalrymple, William.</v>
      </c>
      <c r="G1612" t="str">
        <f>"xxxv, 522 pages, 48 unnumbered pages of plates, 25 cm, color illustrations, maps"</f>
        <v>xxxv, 522 pages, 48 unnumbered pages of plates, 25 cm, color illustrations, maps</v>
      </c>
      <c r="H1612" s="1">
        <v>19</v>
      </c>
      <c r="I1612">
        <v>2019</v>
      </c>
      <c r="J1612" t="str">
        <f t="shared" si="172"/>
        <v>17: 930 - 999</v>
      </c>
      <c r="L1612" t="s">
        <v>2395</v>
      </c>
      <c r="M1612" t="s">
        <v>28</v>
      </c>
      <c r="N1612" t="s">
        <v>2404</v>
      </c>
      <c r="O1612">
        <v>7</v>
      </c>
      <c r="P1612" s="2">
        <v>43733</v>
      </c>
      <c r="Q1612" s="1">
        <v>40</v>
      </c>
      <c r="R1612" t="s">
        <v>3496</v>
      </c>
      <c r="S1612">
        <v>1076511649</v>
      </c>
    </row>
    <row r="1613" spans="1:19" x14ac:dyDescent="0.2">
      <c r="A1613" t="str">
        <f t="shared" si="170"/>
        <v>Adult Nonfiction</v>
      </c>
      <c r="B1613" t="str">
        <f>"NEW 956.05 MOA"</f>
        <v>NEW 956.05 MOA</v>
      </c>
      <c r="C1613" t="str">
        <f>"Guest house for young widows: among the women of ISIS"</f>
        <v>Guest house for young widows: among the women of ISIS</v>
      </c>
      <c r="D1613">
        <v>359666</v>
      </c>
      <c r="E1613" t="str">
        <f>"Moaveni, Azadeh,"</f>
        <v>Moaveni, Azadeh,</v>
      </c>
      <c r="G1613" t="str">
        <f>"xii, 338 pages, 24 cm"</f>
        <v>xii, 338 pages, 24 cm</v>
      </c>
      <c r="H1613" s="1">
        <v>19</v>
      </c>
      <c r="I1613">
        <v>2019</v>
      </c>
      <c r="J1613" t="str">
        <f t="shared" si="172"/>
        <v>17: 930 - 999</v>
      </c>
      <c r="L1613" t="s">
        <v>2395</v>
      </c>
      <c r="M1613" t="s">
        <v>28</v>
      </c>
      <c r="N1613" t="s">
        <v>2404</v>
      </c>
      <c r="O1613">
        <v>2</v>
      </c>
      <c r="P1613" s="2">
        <v>43804</v>
      </c>
      <c r="Q1613" s="1">
        <v>33</v>
      </c>
      <c r="R1613" t="s">
        <v>3497</v>
      </c>
      <c r="S1613">
        <v>1090285213</v>
      </c>
    </row>
    <row r="1614" spans="1:19" x14ac:dyDescent="0.2">
      <c r="A1614" t="str">
        <f t="shared" si="170"/>
        <v>Adult Nonfiction</v>
      </c>
      <c r="B1614" t="str">
        <f>"NEW 958.1 SCH"</f>
        <v>NEW 958.1 SCH</v>
      </c>
      <c r="C1614" t="str">
        <f>"Alone at dawn: Medal of Honor Recipient John Chapman and the untold story of the world's deadliest special operations force"</f>
        <v>Alone at dawn: Medal of Honor Recipient John Chapman and the untold story of the world's deadliest special operations force</v>
      </c>
      <c r="D1614">
        <v>356487</v>
      </c>
      <c r="E1614" t="str">
        <f>"Schilling, Dan"</f>
        <v>Schilling, Dan</v>
      </c>
      <c r="G1614" t="str">
        <f>"xviii, 333 pages, 24 cm, illustrations"</f>
        <v>xviii, 333 pages, 24 cm, illustrations</v>
      </c>
      <c r="H1614" s="1">
        <v>19</v>
      </c>
      <c r="I1614">
        <v>2019</v>
      </c>
      <c r="J1614" t="str">
        <f t="shared" si="172"/>
        <v>17: 930 - 999</v>
      </c>
      <c r="L1614" t="s">
        <v>2395</v>
      </c>
      <c r="M1614" t="s">
        <v>28</v>
      </c>
      <c r="N1614" t="s">
        <v>2404</v>
      </c>
      <c r="O1614">
        <v>9</v>
      </c>
      <c r="P1614" s="2">
        <v>43675</v>
      </c>
      <c r="Q1614" s="1">
        <v>34</v>
      </c>
      <c r="R1614" t="s">
        <v>3498</v>
      </c>
      <c r="S1614">
        <v>1053866134</v>
      </c>
    </row>
    <row r="1615" spans="1:19" x14ac:dyDescent="0.2">
      <c r="A1615" t="str">
        <f t="shared" ref="A1615:A1647" si="173">"Adult Nonfiction"</f>
        <v>Adult Nonfiction</v>
      </c>
      <c r="B1615" t="str">
        <f>"NEW 959.1 THA"</f>
        <v>NEW 959.1 THA</v>
      </c>
      <c r="C1615" t="str">
        <f>"The hidden history of Burma: race, capitalism, and the crisis of democracy in the 21st century"</f>
        <v>The hidden history of Burma: race, capitalism, and the crisis of democracy in the 21st century</v>
      </c>
      <c r="D1615">
        <v>359195</v>
      </c>
      <c r="E1615" t="str">
        <f>"Thant Myint-U"</f>
        <v>Thant Myint-U</v>
      </c>
      <c r="G1615" t="str">
        <f>"pages cm"</f>
        <v>pages cm</v>
      </c>
      <c r="H1615" s="1">
        <v>19</v>
      </c>
      <c r="I1615">
        <v>2020</v>
      </c>
      <c r="J1615" t="str">
        <f t="shared" si="172"/>
        <v>17: 930 - 999</v>
      </c>
      <c r="L1615" t="s">
        <v>2395</v>
      </c>
      <c r="M1615" t="s">
        <v>28</v>
      </c>
      <c r="N1615" t="s">
        <v>2404</v>
      </c>
      <c r="O1615">
        <v>3</v>
      </c>
      <c r="P1615" s="2">
        <v>43782</v>
      </c>
      <c r="Q1615" s="1">
        <v>33</v>
      </c>
      <c r="R1615" t="s">
        <v>3499</v>
      </c>
      <c r="S1615">
        <v>1105738450</v>
      </c>
    </row>
    <row r="1616" spans="1:19" x14ac:dyDescent="0.2">
      <c r="A1616" t="str">
        <f t="shared" si="173"/>
        <v>Adult Nonfiction</v>
      </c>
      <c r="B1616" t="str">
        <f>"NEW 970.1 DOR"</f>
        <v>NEW 970.1 DOR</v>
      </c>
      <c r="C1616" t="str">
        <f>"The girl in the photograph: the true story of a Native American child, lost and found in America"</f>
        <v>The girl in the photograph: the true story of a Native American child, lost and found in America</v>
      </c>
      <c r="D1616">
        <v>359555</v>
      </c>
      <c r="E1616" t="str">
        <f>"Dorgan, Byron L."</f>
        <v>Dorgan, Byron L.</v>
      </c>
      <c r="G1616" t="str">
        <f>"x, 196 pages, 22 cm"</f>
        <v>x, 196 pages, 22 cm</v>
      </c>
      <c r="H1616" s="1">
        <v>19</v>
      </c>
      <c r="I1616">
        <v>2019</v>
      </c>
      <c r="J1616" t="str">
        <f t="shared" si="172"/>
        <v>17: 930 - 999</v>
      </c>
      <c r="L1616" t="s">
        <v>2395</v>
      </c>
      <c r="M1616" t="s">
        <v>28</v>
      </c>
      <c r="N1616" t="s">
        <v>2404</v>
      </c>
      <c r="O1616">
        <v>2</v>
      </c>
      <c r="P1616" s="2">
        <v>43802</v>
      </c>
      <c r="Q1616" s="1">
        <v>33</v>
      </c>
      <c r="R1616" t="s">
        <v>3500</v>
      </c>
      <c r="S1616">
        <v>1124793208</v>
      </c>
    </row>
    <row r="1617" spans="1:19" x14ac:dyDescent="0.2">
      <c r="A1617" t="str">
        <f t="shared" si="173"/>
        <v>Adult Nonfiction</v>
      </c>
      <c r="B1617" t="str">
        <f>"NEW 970.3 LAK"</f>
        <v>NEW 970.3 LAK</v>
      </c>
      <c r="C1617" t="str">
        <f>"Lakota America: a new history of indigenous power"</f>
        <v>Lakota America: a new history of indigenous power</v>
      </c>
      <c r="D1617">
        <v>359030</v>
      </c>
      <c r="E1617" t="str">
        <f>"H�m�l�inen, Pekka,"</f>
        <v>H�m�l�inen, Pekka,</v>
      </c>
      <c r="G1617" t="str">
        <f>"ix, 530 pages, 25 cm, illustrations, maps"</f>
        <v>ix, 530 pages, 25 cm, illustrations, maps</v>
      </c>
      <c r="H1617" s="1">
        <v>19</v>
      </c>
      <c r="I1617">
        <v>2019</v>
      </c>
      <c r="J1617" t="str">
        <f t="shared" si="172"/>
        <v>17: 930 - 999</v>
      </c>
      <c r="L1617" t="s">
        <v>2395</v>
      </c>
      <c r="M1617" t="s">
        <v>28</v>
      </c>
      <c r="N1617" t="s">
        <v>2404</v>
      </c>
      <c r="O1617">
        <v>2</v>
      </c>
      <c r="P1617" s="2">
        <v>43776</v>
      </c>
      <c r="Q1617" s="1">
        <v>40</v>
      </c>
      <c r="R1617" t="s">
        <v>3501</v>
      </c>
      <c r="S1617">
        <v>1089959340</v>
      </c>
    </row>
    <row r="1618" spans="1:19" x14ac:dyDescent="0.2">
      <c r="A1618" t="str">
        <f t="shared" si="173"/>
        <v>Adult Nonfiction</v>
      </c>
      <c r="B1618" t="str">
        <f>"NEW 972 THE"</f>
        <v>NEW 972 THE</v>
      </c>
      <c r="C1618" t="str">
        <f>"On the plain of snakes: a Mexican journey"</f>
        <v>On the plain of snakes: a Mexican journey</v>
      </c>
      <c r="D1618">
        <v>358332</v>
      </c>
      <c r="E1618" t="str">
        <f>"Theroux, Paul"</f>
        <v>Theroux, Paul</v>
      </c>
      <c r="G1618" t="str">
        <f>"436 pages, 8 unnumbered pages of plates, 24 cm, color illustrations"</f>
        <v>436 pages, 8 unnumbered pages of plates, 24 cm, color illustrations</v>
      </c>
      <c r="H1618" s="1">
        <v>19</v>
      </c>
      <c r="I1618">
        <v>2019</v>
      </c>
      <c r="J1618" t="str">
        <f t="shared" si="172"/>
        <v>17: 930 - 999</v>
      </c>
      <c r="L1618" t="s">
        <v>2395</v>
      </c>
      <c r="M1618" t="s">
        <v>28</v>
      </c>
      <c r="N1618" t="s">
        <v>2404</v>
      </c>
      <c r="O1618">
        <v>5</v>
      </c>
      <c r="P1618" s="2">
        <v>43749</v>
      </c>
      <c r="Q1618" s="1">
        <v>35</v>
      </c>
      <c r="R1618" t="s">
        <v>3502</v>
      </c>
      <c r="S1618">
        <v>1120725357</v>
      </c>
    </row>
    <row r="1619" spans="1:19" x14ac:dyDescent="0.2">
      <c r="A1619" t="str">
        <f t="shared" si="173"/>
        <v>Adult Nonfiction</v>
      </c>
      <c r="B1619" t="str">
        <f>"NEW 973 LOE"</f>
        <v>NEW 973 LOE</v>
      </c>
      <c r="C1619" t="str">
        <f>"Lies across America: what our historic sites get wrong"</f>
        <v>Lies across America: what our historic sites get wrong</v>
      </c>
      <c r="D1619">
        <v>358268</v>
      </c>
      <c r="E1619" t="str">
        <f>"Loewen, James W."</f>
        <v>Loewen, James W.</v>
      </c>
      <c r="G1619" t="str">
        <f>"460 p."</f>
        <v>460 p.</v>
      </c>
      <c r="H1619" s="1">
        <v>19</v>
      </c>
      <c r="I1619">
        <v>2019</v>
      </c>
      <c r="J1619" t="str">
        <f t="shared" si="172"/>
        <v>17: 930 - 999</v>
      </c>
      <c r="L1619" t="s">
        <v>2395</v>
      </c>
      <c r="M1619" t="s">
        <v>28</v>
      </c>
      <c r="N1619" t="s">
        <v>2396</v>
      </c>
      <c r="O1619">
        <v>2</v>
      </c>
      <c r="P1619" s="2">
        <v>43745</v>
      </c>
      <c r="Q1619" s="1">
        <v>33</v>
      </c>
      <c r="R1619" t="s">
        <v>3503</v>
      </c>
      <c r="S1619">
        <v>1084500245</v>
      </c>
    </row>
    <row r="1620" spans="1:19" x14ac:dyDescent="0.2">
      <c r="A1620" t="str">
        <f t="shared" si="173"/>
        <v>Adult Nonfiction</v>
      </c>
      <c r="B1620" t="str">
        <f>"NEW 973 RUB"</f>
        <v>NEW 973 RUB</v>
      </c>
      <c r="C1620" t="str">
        <f>"The American story: conversations with master historians"</f>
        <v>The American story: conversations with master historians</v>
      </c>
      <c r="D1620">
        <v>359354</v>
      </c>
      <c r="E1620" t="str">
        <f>"Rubenstein, David M.,"</f>
        <v>Rubenstein, David M.,</v>
      </c>
      <c r="G1620" t="str">
        <f>"396 p., 25 cm, illustrations"</f>
        <v>396 p., 25 cm, illustrations</v>
      </c>
      <c r="H1620" s="1">
        <v>19</v>
      </c>
      <c r="I1620">
        <v>2019</v>
      </c>
      <c r="J1620" t="str">
        <f>"15: 900 - 919"</f>
        <v>15: 900 - 919</v>
      </c>
      <c r="L1620" t="s">
        <v>2395</v>
      </c>
      <c r="M1620" t="s">
        <v>28</v>
      </c>
      <c r="N1620" t="s">
        <v>2404</v>
      </c>
      <c r="O1620">
        <v>3</v>
      </c>
      <c r="P1620" s="2">
        <v>43788</v>
      </c>
      <c r="Q1620" s="1">
        <v>35</v>
      </c>
      <c r="R1620" t="s">
        <v>3504</v>
      </c>
      <c r="S1620">
        <v>1122870695</v>
      </c>
    </row>
    <row r="1621" spans="1:19" x14ac:dyDescent="0.2">
      <c r="A1621" t="str">
        <f t="shared" si="173"/>
        <v>Adult Nonfiction</v>
      </c>
      <c r="B1621" t="str">
        <f>"NEW 973 WEI"</f>
        <v>NEW 973 WEI</v>
      </c>
      <c r="C1621" t="str">
        <f>"One day: the extraordinary story of an ordinary 24 hours in America"</f>
        <v>One day: the extraordinary story of an ordinary 24 hours in America</v>
      </c>
      <c r="D1621">
        <v>358655</v>
      </c>
      <c r="E1621" t="str">
        <f>"Weingarten, Gene"</f>
        <v>Weingarten, Gene</v>
      </c>
      <c r="G1621" t="str">
        <f>"375 pages, 24 cm"</f>
        <v>375 pages, 24 cm</v>
      </c>
      <c r="H1621" s="1">
        <v>19</v>
      </c>
      <c r="I1621">
        <v>2019</v>
      </c>
      <c r="J1621" t="str">
        <f>"17: 930 - 999"</f>
        <v>17: 930 - 999</v>
      </c>
      <c r="L1621" t="s">
        <v>2395</v>
      </c>
      <c r="M1621" t="s">
        <v>28</v>
      </c>
      <c r="N1621" t="s">
        <v>2404</v>
      </c>
      <c r="O1621">
        <v>2</v>
      </c>
      <c r="P1621" s="2">
        <v>43760</v>
      </c>
      <c r="Q1621" s="1">
        <v>33</v>
      </c>
      <c r="R1621" t="s">
        <v>3505</v>
      </c>
      <c r="S1621">
        <v>1099539300</v>
      </c>
    </row>
    <row r="1622" spans="1:19" x14ac:dyDescent="0.2">
      <c r="A1622" t="str">
        <f t="shared" si="173"/>
        <v>Adult Nonfiction</v>
      </c>
      <c r="B1622" t="str">
        <f>"NEW 973.2 SIL"</f>
        <v>NEW 973.2 SIL</v>
      </c>
      <c r="C1622" t="str">
        <f>"This land is their land: the Wampanoag Indians, Plymouth Colony, and the troubled history of Thanksgiving"</f>
        <v>This land is their land: the Wampanoag Indians, Plymouth Colony, and the troubled history of Thanksgiving</v>
      </c>
      <c r="D1622">
        <v>359887</v>
      </c>
      <c r="E1622" t="str">
        <f>"Silverman, David J."</f>
        <v>Silverman, David J.</v>
      </c>
      <c r="G1622" t="str">
        <f>"x, 514 pages, 25 cm, illustrations, maps"</f>
        <v>x, 514 pages, 25 cm, illustrations, maps</v>
      </c>
      <c r="H1622" s="1">
        <v>19</v>
      </c>
      <c r="I1622">
        <v>2019</v>
      </c>
      <c r="J1622" t="str">
        <f>"17: 930 - 999"</f>
        <v>17: 930 - 999</v>
      </c>
      <c r="L1622" t="s">
        <v>2395</v>
      </c>
      <c r="M1622" t="s">
        <v>28</v>
      </c>
      <c r="N1622" t="s">
        <v>2396</v>
      </c>
      <c r="O1622">
        <v>0</v>
      </c>
      <c r="P1622" s="2">
        <v>43815</v>
      </c>
      <c r="Q1622" s="1">
        <v>37</v>
      </c>
      <c r="R1622" t="s">
        <v>3506</v>
      </c>
      <c r="S1622">
        <v>1076501179</v>
      </c>
    </row>
    <row r="1623" spans="1:19" x14ac:dyDescent="0.2">
      <c r="A1623" t="str">
        <f t="shared" si="173"/>
        <v>Adult Nonfiction</v>
      </c>
      <c r="B1623" t="str">
        <f>"NEW 973.3 BER"</f>
        <v>NEW 973.3 BER</v>
      </c>
      <c r="C1623" t="str">
        <f>"A sovereign people: the crises of the 1790s and the birth of American nationalism"</f>
        <v>A sovereign people: the crises of the 1790s and the birth of American nationalism</v>
      </c>
      <c r="D1623">
        <v>358751</v>
      </c>
      <c r="E1623" t="str">
        <f>"Berkin, Carol"</f>
        <v>Berkin, Carol</v>
      </c>
      <c r="G1623" t="str">
        <f>"307 pages, 25 cm"</f>
        <v>307 pages, 25 cm</v>
      </c>
      <c r="H1623" s="1">
        <v>19</v>
      </c>
      <c r="I1623">
        <v>2017</v>
      </c>
      <c r="J1623" t="str">
        <f>"17: 930 - 999"</f>
        <v>17: 930 - 999</v>
      </c>
      <c r="L1623" t="s">
        <v>2403</v>
      </c>
      <c r="M1623" t="s">
        <v>28</v>
      </c>
      <c r="N1623" t="s">
        <v>2404</v>
      </c>
      <c r="O1623">
        <v>1</v>
      </c>
      <c r="P1623" s="2">
        <v>43760</v>
      </c>
      <c r="Q1623" s="1">
        <v>35</v>
      </c>
      <c r="R1623" t="s">
        <v>3507</v>
      </c>
      <c r="S1623">
        <v>958798629</v>
      </c>
    </row>
    <row r="1624" spans="1:19" x14ac:dyDescent="0.2">
      <c r="A1624" t="str">
        <f t="shared" si="173"/>
        <v>Adult Nonfiction</v>
      </c>
      <c r="B1624" t="str">
        <f>"NEW 973.3 GOD"</f>
        <v>NEW 973.3 GOD</v>
      </c>
      <c r="C1624" t="str">
        <f>"World of trouble: a Philadelphia Quaker family's journey through the American Revolution"</f>
        <v>World of trouble: a Philadelphia Quaker family's journey through the American Revolution</v>
      </c>
      <c r="D1624">
        <v>360186</v>
      </c>
      <c r="E1624" t="str">
        <f>"Godbeer, Richard."</f>
        <v>Godbeer, Richard.</v>
      </c>
      <c r="G1624" t="str">
        <f>"384 p."</f>
        <v>384 p.</v>
      </c>
      <c r="H1624" s="1">
        <v>19</v>
      </c>
      <c r="I1624">
        <v>2019</v>
      </c>
      <c r="J1624" t="str">
        <f>"17: 930 - 999"</f>
        <v>17: 930 - 999</v>
      </c>
      <c r="L1624" t="s">
        <v>2395</v>
      </c>
      <c r="M1624" t="s">
        <v>28</v>
      </c>
      <c r="N1624" t="s">
        <v>2396</v>
      </c>
      <c r="O1624">
        <v>0</v>
      </c>
      <c r="P1624" s="2">
        <v>43833</v>
      </c>
      <c r="Q1624" s="1">
        <v>43</v>
      </c>
      <c r="R1624" t="s">
        <v>3508</v>
      </c>
      <c r="S1624">
        <v>1090429714</v>
      </c>
    </row>
    <row r="1625" spans="1:19" x14ac:dyDescent="0.2">
      <c r="A1625" t="str">
        <f t="shared" si="173"/>
        <v>Adult Nonfiction</v>
      </c>
      <c r="B1625" t="str">
        <f>"NEW 973.3 SCU"</f>
        <v>NEW 973.3 SCU</v>
      </c>
      <c r="C1625" t="str">
        <f>"The contest for liberty: military leadership in the Continental Army, 1775-1783"</f>
        <v>The contest for liberty: military leadership in the Continental Army, 1775-1783</v>
      </c>
      <c r="D1625">
        <v>358910</v>
      </c>
      <c r="E1625" t="str">
        <f>"Sculley, Seanegan P."</f>
        <v>Sculley, Seanegan P.</v>
      </c>
      <c r="G1625" t="str">
        <f>"162 p."</f>
        <v>162 p.</v>
      </c>
      <c r="H1625" s="1">
        <v>19</v>
      </c>
      <c r="I1625">
        <v>2019</v>
      </c>
      <c r="J1625" t="str">
        <f>"17: 930 - 999"</f>
        <v>17: 930 - 999</v>
      </c>
      <c r="L1625" t="s">
        <v>2395</v>
      </c>
      <c r="M1625" t="s">
        <v>28</v>
      </c>
      <c r="N1625" t="s">
        <v>2396</v>
      </c>
      <c r="O1625">
        <v>3</v>
      </c>
      <c r="P1625" s="2">
        <v>43767</v>
      </c>
      <c r="Q1625" s="1">
        <v>35</v>
      </c>
      <c r="R1625" t="s">
        <v>3509</v>
      </c>
      <c r="S1625">
        <v>1083466011</v>
      </c>
    </row>
    <row r="1626" spans="1:19" x14ac:dyDescent="0.2">
      <c r="A1626" t="str">
        <f t="shared" si="173"/>
        <v>Adult Nonfiction</v>
      </c>
      <c r="B1626" t="str">
        <f>"NEW 973.333 TRU"</f>
        <v>NEW 973.333 TRU</v>
      </c>
      <c r="C1626" t="str">
        <f>"All the President's women: Donald Trump and the making of a predator"</f>
        <v>All the President's women: Donald Trump and the making of a predator</v>
      </c>
      <c r="D1626">
        <v>358518</v>
      </c>
      <c r="E1626" t="str">
        <f>"Levine, Barry."</f>
        <v>Levine, Barry.</v>
      </c>
      <c r="H1626" s="1">
        <v>19</v>
      </c>
      <c r="I1626">
        <v>2019</v>
      </c>
      <c r="J1626" t="str">
        <f>"16: 920 - 929"</f>
        <v>16: 920 - 929</v>
      </c>
      <c r="L1626" t="s">
        <v>2403</v>
      </c>
      <c r="M1626" t="s">
        <v>28</v>
      </c>
      <c r="N1626" t="s">
        <v>2396</v>
      </c>
      <c r="O1626">
        <v>4</v>
      </c>
      <c r="P1626" s="2">
        <v>43756</v>
      </c>
      <c r="Q1626" s="1">
        <v>34</v>
      </c>
      <c r="R1626" t="s">
        <v>3510</v>
      </c>
      <c r="S1626">
        <v>1088540874</v>
      </c>
    </row>
    <row r="1627" spans="1:19" x14ac:dyDescent="0.2">
      <c r="A1627" t="str">
        <f t="shared" si="173"/>
        <v>Adult Nonfiction</v>
      </c>
      <c r="B1627" t="str">
        <f>"NEW 973.5 DAV"</f>
        <v>NEW 973.5 DAV</v>
      </c>
      <c r="C1627" t="str">
        <f>"The greatest fury: the Battle of New Orleans and the rebirth of America"</f>
        <v>The greatest fury: the Battle of New Orleans and the rebirth of America</v>
      </c>
      <c r="D1627">
        <v>359372</v>
      </c>
      <c r="E1627" t="str">
        <f>"Davis, William C."</f>
        <v>Davis, William C.</v>
      </c>
      <c r="G1627" t="str">
        <f>"496 p., 25 cm, illustrations, maps"</f>
        <v>496 p., 25 cm, illustrations, maps</v>
      </c>
      <c r="H1627" s="1">
        <v>19</v>
      </c>
      <c r="I1627">
        <v>2019</v>
      </c>
      <c r="J1627" t="str">
        <f t="shared" ref="J1627:J1645" si="174">"17: 930 - 999"</f>
        <v>17: 930 - 999</v>
      </c>
      <c r="L1627" t="s">
        <v>2395</v>
      </c>
      <c r="M1627" t="s">
        <v>28</v>
      </c>
      <c r="N1627" t="s">
        <v>2404</v>
      </c>
      <c r="O1627">
        <v>2</v>
      </c>
      <c r="P1627" s="2">
        <v>43788</v>
      </c>
      <c r="Q1627" s="1">
        <v>37</v>
      </c>
      <c r="R1627" t="s">
        <v>3511</v>
      </c>
      <c r="S1627">
        <v>1104854985</v>
      </c>
    </row>
    <row r="1628" spans="1:19" x14ac:dyDescent="0.2">
      <c r="A1628" t="str">
        <f t="shared" si="173"/>
        <v>Adult Nonfiction</v>
      </c>
      <c r="B1628" t="str">
        <f>"NEW 973.7 GWY"</f>
        <v>NEW 973.7 GWY</v>
      </c>
      <c r="C1628" t="str">
        <f>"Hymns of the Republic: the story of the final year of the American Civil War"</f>
        <v>Hymns of the Republic: the story of the final year of the American Civil War</v>
      </c>
      <c r="D1628">
        <v>358878</v>
      </c>
      <c r="E1628" t="str">
        <f>"Gwynne, S. C."</f>
        <v>Gwynne, S. C.</v>
      </c>
      <c r="G1628" t="str">
        <f>"xii, 395 pages, 16 unnumbered pages of plates, 24 cm, illustrations, maps"</f>
        <v>xii, 395 pages, 16 unnumbered pages of plates, 24 cm, illustrations, maps</v>
      </c>
      <c r="H1628" s="1">
        <v>19</v>
      </c>
      <c r="I1628">
        <v>2019</v>
      </c>
      <c r="J1628" t="str">
        <f t="shared" si="174"/>
        <v>17: 930 - 999</v>
      </c>
      <c r="L1628" t="s">
        <v>2395</v>
      </c>
      <c r="M1628" t="s">
        <v>28</v>
      </c>
      <c r="N1628" t="s">
        <v>2404</v>
      </c>
      <c r="O1628">
        <v>3</v>
      </c>
      <c r="P1628" s="2">
        <v>43769</v>
      </c>
      <c r="Q1628" s="1">
        <v>37</v>
      </c>
      <c r="R1628" t="s">
        <v>3512</v>
      </c>
      <c r="S1628">
        <v>1085219983</v>
      </c>
    </row>
    <row r="1629" spans="1:19" x14ac:dyDescent="0.2">
      <c r="A1629" t="str">
        <f t="shared" si="173"/>
        <v>Adult Nonfiction</v>
      </c>
      <c r="B1629" t="str">
        <f>"NEW 973.7 MIL"</f>
        <v>NEW 973.7 MIL</v>
      </c>
      <c r="C1629" t="str">
        <f>"Vicksburg: Grant's campaign that broke the Confederacy"</f>
        <v>Vicksburg: Grant's campaign that broke the Confederacy</v>
      </c>
      <c r="D1629">
        <v>359093</v>
      </c>
      <c r="E1629" t="str">
        <f>"Miller, Donald L.,"</f>
        <v>Miller, Donald L.,</v>
      </c>
      <c r="G1629" t="str">
        <f>"xx, 663 pages, 16 unnumbered pages of plates, 24 cm, illustrations, maps"</f>
        <v>xx, 663 pages, 16 unnumbered pages of plates, 24 cm, illustrations, maps</v>
      </c>
      <c r="H1629" s="1">
        <v>19</v>
      </c>
      <c r="I1629">
        <v>2019</v>
      </c>
      <c r="J1629" t="str">
        <f t="shared" si="174"/>
        <v>17: 930 - 999</v>
      </c>
      <c r="L1629" t="s">
        <v>2395</v>
      </c>
      <c r="M1629" t="s">
        <v>28</v>
      </c>
      <c r="N1629" t="s">
        <v>2404</v>
      </c>
      <c r="O1629">
        <v>2</v>
      </c>
      <c r="P1629" s="2">
        <v>43780</v>
      </c>
      <c r="Q1629" s="1">
        <v>40</v>
      </c>
      <c r="R1629" t="s">
        <v>3513</v>
      </c>
      <c r="S1629">
        <v>1085160871</v>
      </c>
    </row>
    <row r="1630" spans="1:19" x14ac:dyDescent="0.2">
      <c r="A1630" t="str">
        <f t="shared" si="173"/>
        <v>Adult Nonfiction</v>
      </c>
      <c r="B1630" t="str">
        <f>"NEW 973.7 VAR"</f>
        <v>NEW 973.7 VAR</v>
      </c>
      <c r="C1630" t="str">
        <f>"Armies of deliverance: a new history of the Civil War"</f>
        <v>Armies of deliverance: a new history of the Civil War</v>
      </c>
      <c r="D1630">
        <v>360147</v>
      </c>
      <c r="E1630" t="str">
        <f>"Varon, Elizabeth R.,"</f>
        <v>Varon, Elizabeth R.,</v>
      </c>
      <c r="G1630" t="str">
        <f>"viii, 513 pages, 25 cm, illustrations, maps"</f>
        <v>viii, 513 pages, 25 cm, illustrations, maps</v>
      </c>
      <c r="H1630" s="1">
        <v>19</v>
      </c>
      <c r="I1630">
        <v>2019</v>
      </c>
      <c r="J1630" t="str">
        <f t="shared" si="174"/>
        <v>17: 930 - 999</v>
      </c>
      <c r="L1630" t="s">
        <v>2395</v>
      </c>
      <c r="M1630" t="s">
        <v>28</v>
      </c>
      <c r="N1630" t="s">
        <v>2396</v>
      </c>
      <c r="O1630">
        <v>0</v>
      </c>
      <c r="P1630" s="2">
        <v>43833</v>
      </c>
      <c r="Q1630" s="1">
        <v>40</v>
      </c>
      <c r="R1630" t="s">
        <v>3514</v>
      </c>
      <c r="S1630">
        <v>1042076722</v>
      </c>
    </row>
    <row r="1631" spans="1:19" x14ac:dyDescent="0.2">
      <c r="A1631" t="str">
        <f t="shared" si="173"/>
        <v>Adult Nonfiction</v>
      </c>
      <c r="B1631" t="str">
        <f>"NEW 973.931 GRA"</f>
        <v>NEW 973.931 GRA</v>
      </c>
      <c r="C1631" t="str">
        <f>"The only plane in the sky: an oral history of September 11, 2001"</f>
        <v>The only plane in the sky: an oral history of September 11, 2001</v>
      </c>
      <c r="D1631">
        <v>357522</v>
      </c>
      <c r="E1631" t="str">
        <f>"Graff, Garrett M.,"</f>
        <v>Graff, Garrett M.,</v>
      </c>
      <c r="G1631" t="str">
        <f>"xxii, 483 pages, 24 cm, illustrations, maps"</f>
        <v>xxii, 483 pages, 24 cm, illustrations, maps</v>
      </c>
      <c r="H1631" s="1">
        <v>19</v>
      </c>
      <c r="I1631">
        <v>2019</v>
      </c>
      <c r="J1631" t="str">
        <f t="shared" si="174"/>
        <v>17: 930 - 999</v>
      </c>
      <c r="L1631" t="s">
        <v>2395</v>
      </c>
      <c r="M1631" t="s">
        <v>28</v>
      </c>
      <c r="N1631" t="s">
        <v>2404</v>
      </c>
      <c r="O1631">
        <v>7</v>
      </c>
      <c r="P1631" s="2">
        <v>43719</v>
      </c>
      <c r="Q1631" s="1">
        <v>35</v>
      </c>
      <c r="R1631" t="s">
        <v>3515</v>
      </c>
      <c r="S1631">
        <v>1107435031</v>
      </c>
    </row>
    <row r="1632" spans="1:19" x14ac:dyDescent="0.2">
      <c r="A1632" t="str">
        <f t="shared" si="173"/>
        <v>Adult Nonfiction</v>
      </c>
      <c r="B1632" t="str">
        <f>"NEW 973.933 ABR"</f>
        <v>NEW 973.933 ABR</v>
      </c>
      <c r="C1632" t="str">
        <f>"Proof of conspiracy: how Trump's international collusion is threatening American democracy"</f>
        <v>Proof of conspiracy: how Trump's international collusion is threatening American democracy</v>
      </c>
      <c r="D1632">
        <v>357722</v>
      </c>
      <c r="E1632" t="str">
        <f>"Abramson, Seth,"</f>
        <v>Abramson, Seth,</v>
      </c>
      <c r="G1632" t="str">
        <f>"582 pages, 25 cm"</f>
        <v>582 pages, 25 cm</v>
      </c>
      <c r="H1632" s="1">
        <v>19</v>
      </c>
      <c r="I1632">
        <v>2019</v>
      </c>
      <c r="J1632" t="str">
        <f t="shared" si="174"/>
        <v>17: 930 - 999</v>
      </c>
      <c r="L1632" t="s">
        <v>2403</v>
      </c>
      <c r="M1632" t="s">
        <v>28</v>
      </c>
      <c r="N1632" t="s">
        <v>2404</v>
      </c>
      <c r="O1632">
        <v>3</v>
      </c>
      <c r="P1632" s="2">
        <v>43725</v>
      </c>
      <c r="Q1632" s="1">
        <v>35</v>
      </c>
      <c r="R1632" t="s">
        <v>3516</v>
      </c>
      <c r="S1632">
        <v>1089267498</v>
      </c>
    </row>
    <row r="1633" spans="1:19" x14ac:dyDescent="0.2">
      <c r="A1633" t="str">
        <f t="shared" si="173"/>
        <v>Adult Nonfiction</v>
      </c>
      <c r="B1633" t="str">
        <f>"NEW 973.933 ANO"</f>
        <v>NEW 973.933 ANO</v>
      </c>
      <c r="C1633" t="str">
        <f>"A warning"</f>
        <v>A warning</v>
      </c>
      <c r="D1633">
        <v>359227</v>
      </c>
      <c r="E1633" t="s">
        <v>3517</v>
      </c>
      <c r="H1633" s="1">
        <v>19</v>
      </c>
      <c r="I1633">
        <v>2019</v>
      </c>
      <c r="J1633" t="str">
        <f t="shared" si="174"/>
        <v>17: 930 - 999</v>
      </c>
      <c r="L1633" t="s">
        <v>2395</v>
      </c>
      <c r="M1633" t="s">
        <v>28</v>
      </c>
      <c r="N1633" t="s">
        <v>2404</v>
      </c>
      <c r="O1633">
        <v>5</v>
      </c>
      <c r="P1633" s="2">
        <v>43782</v>
      </c>
      <c r="Q1633" s="1">
        <v>35</v>
      </c>
      <c r="R1633" t="s">
        <v>3518</v>
      </c>
      <c r="S1633">
        <v>1121606490</v>
      </c>
    </row>
    <row r="1634" spans="1:19" x14ac:dyDescent="0.2">
      <c r="A1634" t="str">
        <f t="shared" si="173"/>
        <v>Adult Nonfiction</v>
      </c>
      <c r="B1634" t="str">
        <f>"NEW 973.933 ANO"</f>
        <v>NEW 973.933 ANO</v>
      </c>
      <c r="C1634" t="str">
        <f>"A warning"</f>
        <v>A warning</v>
      </c>
      <c r="D1634">
        <v>359578</v>
      </c>
      <c r="E1634" t="s">
        <v>3517</v>
      </c>
      <c r="H1634" s="1">
        <v>19</v>
      </c>
      <c r="I1634">
        <v>2019</v>
      </c>
      <c r="J1634" t="str">
        <f t="shared" si="174"/>
        <v>17: 930 - 999</v>
      </c>
      <c r="L1634" t="s">
        <v>2403</v>
      </c>
      <c r="M1634" t="s">
        <v>28</v>
      </c>
      <c r="N1634" t="s">
        <v>2404</v>
      </c>
      <c r="O1634">
        <v>2</v>
      </c>
      <c r="P1634" s="2">
        <v>43802</v>
      </c>
      <c r="Q1634" s="1">
        <v>35</v>
      </c>
      <c r="R1634" t="s">
        <v>3518</v>
      </c>
      <c r="S1634">
        <v>1121606490</v>
      </c>
    </row>
    <row r="1635" spans="1:19" x14ac:dyDescent="0.2">
      <c r="A1635" t="str">
        <f t="shared" si="173"/>
        <v>Adult Nonfiction</v>
      </c>
      <c r="B1635" t="str">
        <f>"NEW 973.933 DAN"</f>
        <v>NEW 973.933 DAN</v>
      </c>
      <c r="C1635" t="str">
        <f>"The art of the lie: how the manipulation of language affects our mind"</f>
        <v>The art of the lie: how the manipulation of language affects our mind</v>
      </c>
      <c r="D1635">
        <v>360477</v>
      </c>
      <c r="E1635" t="str">
        <f>"Danesi, Marcel"</f>
        <v>Danesi, Marcel</v>
      </c>
      <c r="G1635" t="str">
        <f>"pages cm"</f>
        <v>pages cm</v>
      </c>
      <c r="H1635" s="1">
        <v>20</v>
      </c>
      <c r="I1635">
        <v>2019</v>
      </c>
      <c r="J1635" t="str">
        <f t="shared" si="174"/>
        <v>17: 930 - 999</v>
      </c>
      <c r="L1635" t="s">
        <v>2395</v>
      </c>
      <c r="M1635" t="s">
        <v>28</v>
      </c>
      <c r="N1635" t="s">
        <v>2396</v>
      </c>
      <c r="O1635">
        <v>0</v>
      </c>
      <c r="P1635" s="2">
        <v>43851</v>
      </c>
      <c r="Q1635" s="1">
        <v>23</v>
      </c>
      <c r="R1635" t="s">
        <v>3519</v>
      </c>
      <c r="S1635">
        <v>1083690368</v>
      </c>
    </row>
    <row r="1636" spans="1:19" x14ac:dyDescent="0.2">
      <c r="A1636" t="str">
        <f t="shared" si="173"/>
        <v>Adult Nonfiction</v>
      </c>
      <c r="B1636" t="str">
        <f>"NEW 973.933 KAT"</f>
        <v>NEW 973.933 KAT</v>
      </c>
      <c r="C1636" t="str">
        <f>"Impeach: the case against Donald Trump"</f>
        <v>Impeach: the case against Donald Trump</v>
      </c>
      <c r="D1636">
        <v>360224</v>
      </c>
      <c r="E1636" t="str">
        <f>"Katyal, Neal"</f>
        <v>Katyal, Neal</v>
      </c>
      <c r="G1636" t="str">
        <f>"214 pages, 21 cm"</f>
        <v>214 pages, 21 cm</v>
      </c>
      <c r="H1636" s="1">
        <v>19</v>
      </c>
      <c r="I1636">
        <v>2019</v>
      </c>
      <c r="J1636" t="str">
        <f t="shared" si="174"/>
        <v>17: 930 - 999</v>
      </c>
      <c r="L1636" t="s">
        <v>2395</v>
      </c>
      <c r="M1636" t="s">
        <v>28</v>
      </c>
      <c r="N1636" t="s">
        <v>2396</v>
      </c>
      <c r="O1636">
        <v>0</v>
      </c>
      <c r="P1636" s="2">
        <v>43844</v>
      </c>
      <c r="Q1636" s="1">
        <v>20</v>
      </c>
      <c r="R1636" t="s">
        <v>3520</v>
      </c>
      <c r="S1636">
        <v>1125348033</v>
      </c>
    </row>
    <row r="1637" spans="1:19" x14ac:dyDescent="0.2">
      <c r="A1637" t="str">
        <f t="shared" si="173"/>
        <v>Adult Nonfiction</v>
      </c>
      <c r="B1637" t="str">
        <f>"NEW 973.933 LEV"</f>
        <v>NEW 973.933 LEV</v>
      </c>
      <c r="C1637" t="str">
        <f>"The liberty amendments: restoring the American Republic"</f>
        <v>The liberty amendments: restoring the American Republic</v>
      </c>
      <c r="D1637">
        <v>358882</v>
      </c>
      <c r="E1637" t="str">
        <f>"Levin, Mark R"</f>
        <v>Levin, Mark R</v>
      </c>
      <c r="G1637" t="str">
        <f>"257 p."</f>
        <v>257 p.</v>
      </c>
      <c r="H1637" s="1">
        <v>19</v>
      </c>
      <c r="I1637">
        <v>2014</v>
      </c>
      <c r="J1637" t="str">
        <f t="shared" si="174"/>
        <v>17: 930 - 999</v>
      </c>
      <c r="L1637" t="s">
        <v>2403</v>
      </c>
      <c r="M1637" t="s">
        <v>28</v>
      </c>
      <c r="N1637" t="s">
        <v>2404</v>
      </c>
      <c r="O1637">
        <v>4</v>
      </c>
      <c r="P1637" s="2">
        <v>43769</v>
      </c>
      <c r="Q1637" s="1">
        <v>21</v>
      </c>
      <c r="R1637" t="s">
        <v>3521</v>
      </c>
    </row>
    <row r="1638" spans="1:19" x14ac:dyDescent="0.2">
      <c r="A1638" t="str">
        <f t="shared" si="173"/>
        <v>Adult Nonfiction</v>
      </c>
      <c r="B1638" t="str">
        <f>"NEW 973.933 LIT"</f>
        <v>NEW 973.933 LIT</v>
      </c>
      <c r="C1638" t="str">
        <f>"Dumpty: the age of Trump in verse"</f>
        <v>Dumpty: the age of Trump in verse</v>
      </c>
      <c r="D1638">
        <v>359487</v>
      </c>
      <c r="E1638" t="str">
        <f>"Lithgow, John"</f>
        <v>Lithgow, John</v>
      </c>
      <c r="G1638" t="str">
        <f>"111 pages, 22 cm, illustrations"</f>
        <v>111 pages, 22 cm, illustrations</v>
      </c>
      <c r="H1638" s="1">
        <v>19</v>
      </c>
      <c r="I1638">
        <v>2019</v>
      </c>
      <c r="J1638" t="str">
        <f t="shared" si="174"/>
        <v>17: 930 - 999</v>
      </c>
      <c r="L1638" t="s">
        <v>2395</v>
      </c>
      <c r="M1638" t="s">
        <v>28</v>
      </c>
      <c r="N1638" t="s">
        <v>2404</v>
      </c>
      <c r="O1638">
        <v>5</v>
      </c>
      <c r="P1638" s="2">
        <v>43802</v>
      </c>
      <c r="Q1638" s="1">
        <v>25</v>
      </c>
      <c r="R1638" t="s">
        <v>3522</v>
      </c>
      <c r="S1638">
        <v>1107803337</v>
      </c>
    </row>
    <row r="1639" spans="1:19" x14ac:dyDescent="0.2">
      <c r="A1639" t="str">
        <f t="shared" si="173"/>
        <v>Adult Nonfiction</v>
      </c>
      <c r="B1639" t="str">
        <f>"NEW 973.933 SAN"</f>
        <v>NEW 973.933 SAN</v>
      </c>
      <c r="C1639" t="str">
        <f>"Where we go from here: two years in the resistance"</f>
        <v>Where we go from here: two years in the resistance</v>
      </c>
      <c r="D1639">
        <v>408569</v>
      </c>
      <c r="E1639" t="str">
        <f>"Sanders, Bernard"</f>
        <v>Sanders, Bernard</v>
      </c>
      <c r="G1639" t="str">
        <f>"ix, 270 pages, 25 cm"</f>
        <v>ix, 270 pages, 25 cm</v>
      </c>
      <c r="H1639" s="1">
        <v>19</v>
      </c>
      <c r="I1639">
        <v>2018</v>
      </c>
      <c r="J1639" t="str">
        <f t="shared" si="174"/>
        <v>17: 930 - 999</v>
      </c>
      <c r="L1639" t="s">
        <v>2395</v>
      </c>
      <c r="M1639" t="s">
        <v>28</v>
      </c>
      <c r="N1639" t="s">
        <v>2404</v>
      </c>
      <c r="O1639">
        <v>1</v>
      </c>
      <c r="P1639" s="2">
        <v>43815</v>
      </c>
      <c r="Q1639" s="1">
        <v>24</v>
      </c>
      <c r="R1639" t="s">
        <v>3523</v>
      </c>
      <c r="S1639">
        <v>1062397464</v>
      </c>
    </row>
    <row r="1640" spans="1:19" x14ac:dyDescent="0.2">
      <c r="A1640" t="str">
        <f t="shared" si="173"/>
        <v>Adult Nonfiction</v>
      </c>
      <c r="B1640" t="str">
        <f>"NEW 976.4 HAR"</f>
        <v>NEW 976.4 HAR</v>
      </c>
      <c r="C1640" t="str">
        <f>"Big wonderful thing: a history of Texas"</f>
        <v>Big wonderful thing: a history of Texas</v>
      </c>
      <c r="D1640">
        <v>358270</v>
      </c>
      <c r="E1640" t="str">
        <f>"Harrigan, Stephen"</f>
        <v>Harrigan, Stephen</v>
      </c>
      <c r="G1640" t="str">
        <f>"pages cm"</f>
        <v>pages cm</v>
      </c>
      <c r="H1640" s="1">
        <v>19</v>
      </c>
      <c r="I1640">
        <v>2019</v>
      </c>
      <c r="J1640" t="str">
        <f t="shared" si="174"/>
        <v>17: 930 - 999</v>
      </c>
      <c r="L1640" t="s">
        <v>2403</v>
      </c>
      <c r="M1640" t="s">
        <v>28</v>
      </c>
      <c r="N1640" t="s">
        <v>2404</v>
      </c>
      <c r="O1640">
        <v>6</v>
      </c>
      <c r="P1640" s="2">
        <v>43745</v>
      </c>
      <c r="Q1640" s="1">
        <v>40</v>
      </c>
      <c r="R1640" t="s">
        <v>2405</v>
      </c>
      <c r="S1640">
        <v>1083675527</v>
      </c>
    </row>
    <row r="1641" spans="1:19" x14ac:dyDescent="0.2">
      <c r="A1641" t="str">
        <f t="shared" si="173"/>
        <v>Adult Nonfiction</v>
      </c>
      <c r="B1641" t="str">
        <f>"NEW 976.42 HOU"</f>
        <v>NEW 976.42 HOU</v>
      </c>
      <c r="C1641" t="str">
        <f>"Sam Houston and the Alamo avengers: the Texas victory that changed American history"</f>
        <v>Sam Houston and the Alamo avengers: the Texas victory that changed American history</v>
      </c>
      <c r="D1641">
        <v>359051</v>
      </c>
      <c r="E1641" t="str">
        <f>"Kilmeade, Brian"</f>
        <v>Kilmeade, Brian</v>
      </c>
      <c r="G1641" t="str">
        <f>"272 pages, 16 unnumbered leaves of plates, 24 cm, illustrations (some color), maps"</f>
        <v>272 pages, 16 unnumbered leaves of plates, 24 cm, illustrations (some color), maps</v>
      </c>
      <c r="H1641" s="1">
        <v>19</v>
      </c>
      <c r="I1641">
        <v>2019</v>
      </c>
      <c r="J1641" t="str">
        <f t="shared" si="174"/>
        <v>17: 930 - 999</v>
      </c>
      <c r="L1641" t="s">
        <v>2403</v>
      </c>
      <c r="M1641" t="s">
        <v>28</v>
      </c>
      <c r="N1641" t="s">
        <v>2396</v>
      </c>
      <c r="O1641">
        <v>7</v>
      </c>
      <c r="P1641" s="2">
        <v>43776</v>
      </c>
      <c r="Q1641" s="1">
        <v>33</v>
      </c>
      <c r="R1641" t="s">
        <v>3524</v>
      </c>
      <c r="S1641">
        <v>1104215158</v>
      </c>
    </row>
    <row r="1642" spans="1:19" x14ac:dyDescent="0.2">
      <c r="A1642" t="str">
        <f t="shared" si="173"/>
        <v>Adult Nonfiction</v>
      </c>
      <c r="B1642" t="str">
        <f>"NEW 978 BRA"</f>
        <v>NEW 978 BRA</v>
      </c>
      <c r="C1642" t="str">
        <f>"Dreams of El Dorado: a history of the American West"</f>
        <v>Dreams of El Dorado: a history of the American West</v>
      </c>
      <c r="D1642">
        <v>359014</v>
      </c>
      <c r="E1642" t="str">
        <f>"Brands, H. W."</f>
        <v>Brands, H. W.</v>
      </c>
      <c r="G1642" t="str">
        <f>"xvi, 524 pages, 25 cm, illustrations, maps"</f>
        <v>xvi, 524 pages, 25 cm, illustrations, maps</v>
      </c>
      <c r="H1642" s="1">
        <v>19</v>
      </c>
      <c r="I1642">
        <v>2019</v>
      </c>
      <c r="J1642" t="str">
        <f t="shared" si="174"/>
        <v>17: 930 - 999</v>
      </c>
      <c r="L1642" t="s">
        <v>2395</v>
      </c>
      <c r="M1642" t="s">
        <v>28</v>
      </c>
      <c r="N1642" t="s">
        <v>2404</v>
      </c>
      <c r="O1642">
        <v>4</v>
      </c>
      <c r="P1642" s="2">
        <v>43776</v>
      </c>
      <c r="Q1642" s="1">
        <v>37</v>
      </c>
      <c r="R1642" t="s">
        <v>3525</v>
      </c>
      <c r="S1642">
        <v>1057730722</v>
      </c>
    </row>
    <row r="1643" spans="1:19" x14ac:dyDescent="0.2">
      <c r="A1643" t="str">
        <f t="shared" si="173"/>
        <v>Adult Nonfiction</v>
      </c>
      <c r="B1643" t="str">
        <f>"NEW 979.4 LEV"</f>
        <v>NEW 979.4 LEV</v>
      </c>
      <c r="C1643" t="str">
        <f>"The castle on Sunset: life, death, love, art, and scandal at Hollywood's Chateau Marmont"</f>
        <v>The castle on Sunset: life, death, love, art, and scandal at Hollywood's Chateau Marmont</v>
      </c>
      <c r="D1643">
        <v>358300</v>
      </c>
      <c r="E1643" t="str">
        <f>"Levy, Shawn"</f>
        <v>Levy, Shawn</v>
      </c>
      <c r="G1643" t="str">
        <f>"366 pages, 8 unnumbered pages of plates, 25 cm, illustrations (some color)"</f>
        <v>366 pages, 8 unnumbered pages of plates, 25 cm, illustrations (some color)</v>
      </c>
      <c r="H1643" s="1">
        <v>19</v>
      </c>
      <c r="I1643">
        <v>2019</v>
      </c>
      <c r="J1643" t="str">
        <f t="shared" si="174"/>
        <v>17: 930 - 999</v>
      </c>
      <c r="L1643" t="s">
        <v>2395</v>
      </c>
      <c r="M1643" t="s">
        <v>28</v>
      </c>
      <c r="N1643" t="s">
        <v>2404</v>
      </c>
      <c r="O1643">
        <v>7</v>
      </c>
      <c r="P1643" s="2">
        <v>43749</v>
      </c>
      <c r="Q1643" s="1">
        <v>34</v>
      </c>
      <c r="R1643" t="s">
        <v>3526</v>
      </c>
      <c r="S1643">
        <v>1037897234</v>
      </c>
    </row>
    <row r="1644" spans="1:19" x14ac:dyDescent="0.2">
      <c r="A1644" t="str">
        <f t="shared" si="173"/>
        <v>Adult Nonfiction</v>
      </c>
      <c r="B1644" t="str">
        <f>"NEW 980 ARA"</f>
        <v>NEW 980 ARA</v>
      </c>
      <c r="C1644" t="str">
        <f>"Silver, sword, and stone"</f>
        <v>Silver, sword, and stone</v>
      </c>
      <c r="D1644">
        <v>357533</v>
      </c>
      <c r="E1644" t="str">
        <f>"Arana, Marie"</f>
        <v>Arana, Marie</v>
      </c>
      <c r="G1644" t="str">
        <f>"477 pages, 24 cm, maps"</f>
        <v>477 pages, 24 cm, maps</v>
      </c>
      <c r="H1644" s="1">
        <v>19</v>
      </c>
      <c r="I1644">
        <v>2019</v>
      </c>
      <c r="J1644" t="str">
        <f t="shared" si="174"/>
        <v>17: 930 - 999</v>
      </c>
      <c r="L1644" t="s">
        <v>2403</v>
      </c>
      <c r="M1644" t="s">
        <v>28</v>
      </c>
      <c r="N1644" t="s">
        <v>2396</v>
      </c>
      <c r="O1644">
        <v>0</v>
      </c>
      <c r="P1644" s="2">
        <v>43719</v>
      </c>
      <c r="Q1644" s="1">
        <v>35</v>
      </c>
      <c r="R1644" t="s">
        <v>3527</v>
      </c>
      <c r="S1644">
        <v>1056741888</v>
      </c>
    </row>
    <row r="1645" spans="1:19" x14ac:dyDescent="0.2">
      <c r="A1645" t="str">
        <f t="shared" si="173"/>
        <v>Adult Nonfiction</v>
      </c>
      <c r="B1645" t="str">
        <f>"NEW 981 BRU"</f>
        <v>NEW 981 BRU</v>
      </c>
      <c r="C1645" t="str">
        <f>"The collector of leftover souls: field notes on Brazil's everyday insurrections"</f>
        <v>The collector of leftover souls: field notes on Brazil's everyday insurrections</v>
      </c>
      <c r="D1645">
        <v>358529</v>
      </c>
      <c r="E1645" t="str">
        <f>"Brum, Eliane."</f>
        <v>Brum, Eliane.</v>
      </c>
      <c r="G1645" t="str">
        <f>"232 p."</f>
        <v>232 p.</v>
      </c>
      <c r="H1645" s="1">
        <v>19</v>
      </c>
      <c r="I1645">
        <v>2019</v>
      </c>
      <c r="J1645" t="str">
        <f t="shared" si="174"/>
        <v>17: 930 - 999</v>
      </c>
      <c r="L1645" t="s">
        <v>2395</v>
      </c>
      <c r="M1645" t="s">
        <v>28</v>
      </c>
      <c r="N1645" t="s">
        <v>2396</v>
      </c>
      <c r="O1645">
        <v>1</v>
      </c>
      <c r="P1645" s="2">
        <v>43756</v>
      </c>
      <c r="Q1645" s="1">
        <v>21</v>
      </c>
      <c r="R1645" t="s">
        <v>3528</v>
      </c>
      <c r="S1645">
        <v>1080276151</v>
      </c>
    </row>
    <row r="1646" spans="1:19" x14ac:dyDescent="0.2">
      <c r="A1646" t="str">
        <f t="shared" si="173"/>
        <v>Adult Nonfiction</v>
      </c>
      <c r="B1646" t="str">
        <f>"NEW ADULT GN ALDEG"</f>
        <v>NEW ADULT GN ALDEG</v>
      </c>
      <c r="C1646" t="str">
        <f>"After the spring: a story of Tunisian youth"</f>
        <v>After the spring: a story of Tunisian youth</v>
      </c>
      <c r="D1646">
        <v>359543</v>
      </c>
      <c r="E1646" t="str">
        <f>"Aldeguer, H�l�ne,"</f>
        <v>Aldeguer, H�l�ne,</v>
      </c>
      <c r="G1646" t="str">
        <f>"136 p., 24 cm, chiefly illustrations"</f>
        <v>136 p., 24 cm, chiefly illustrations</v>
      </c>
      <c r="H1646" s="1">
        <v>19</v>
      </c>
      <c r="I1646">
        <v>2019</v>
      </c>
      <c r="J1646" t="str">
        <f>"13: 700 - 799"</f>
        <v>13: 700 - 799</v>
      </c>
      <c r="L1646" t="s">
        <v>2395</v>
      </c>
      <c r="M1646" t="s">
        <v>28</v>
      </c>
      <c r="N1646" t="s">
        <v>2404</v>
      </c>
      <c r="O1646">
        <v>2</v>
      </c>
      <c r="P1646" s="2">
        <v>43802</v>
      </c>
      <c r="Q1646" s="1">
        <v>27</v>
      </c>
      <c r="R1646" t="s">
        <v>3529</v>
      </c>
      <c r="S1646">
        <v>1120190149</v>
      </c>
    </row>
    <row r="1647" spans="1:19" x14ac:dyDescent="0.2">
      <c r="A1647" t="str">
        <f t="shared" si="173"/>
        <v>Adult Nonfiction</v>
      </c>
      <c r="B1647" t="str">
        <f>"NEW F MARRS"</f>
        <v>NEW F MARRS</v>
      </c>
      <c r="C1647" t="str">
        <f>"The passengers"</f>
        <v>The passengers</v>
      </c>
      <c r="D1647">
        <v>357525</v>
      </c>
      <c r="E1647" t="str">
        <f>"Marrs, John"</f>
        <v>Marrs, John</v>
      </c>
      <c r="G1647" t="str">
        <f>"340 pages, 24 cm"</f>
        <v>340 pages, 24 cm</v>
      </c>
      <c r="H1647" s="1">
        <v>19</v>
      </c>
      <c r="I1647">
        <v>2019</v>
      </c>
      <c r="J1647" t="str">
        <f>"2: Fiction"</f>
        <v>2: Fiction</v>
      </c>
      <c r="L1647" t="s">
        <v>2403</v>
      </c>
      <c r="M1647" t="s">
        <v>28</v>
      </c>
      <c r="N1647" t="s">
        <v>2396</v>
      </c>
      <c r="O1647">
        <v>6</v>
      </c>
      <c r="P1647" s="2">
        <v>43719</v>
      </c>
      <c r="Q1647" s="1">
        <v>31</v>
      </c>
      <c r="R1647" t="s">
        <v>3530</v>
      </c>
      <c r="S1647">
        <v>1085592329</v>
      </c>
    </row>
    <row r="1648" spans="1:19" x14ac:dyDescent="0.2">
      <c r="A1648" t="str">
        <f>"Oversize Nonfiction"</f>
        <v>Oversize Nonfiction</v>
      </c>
      <c r="B1648" t="str">
        <f>"NEW OS 590 SAR"</f>
        <v>NEW OS 590 SAR</v>
      </c>
      <c r="C1648" t="str">
        <f>"The photo ark vanishing: the world's most vulnerable animals"</f>
        <v>The photo ark vanishing: the world's most vulnerable animals</v>
      </c>
      <c r="D1648">
        <v>357718</v>
      </c>
      <c r="E1648" t="str">
        <f>"Sartore, Joel"</f>
        <v>Sartore, Joel</v>
      </c>
      <c r="G1648" t="str">
        <f>"397 pages, 26 cm, color illustrations"</f>
        <v>397 pages, 26 cm, color illustrations</v>
      </c>
      <c r="H1648" s="1">
        <v>19</v>
      </c>
      <c r="I1648">
        <v>2019</v>
      </c>
      <c r="J1648" t="str">
        <f>"40: Oversize Nonfiction"</f>
        <v>40: Oversize Nonfiction</v>
      </c>
      <c r="L1648" t="s">
        <v>2395</v>
      </c>
      <c r="M1648" t="s">
        <v>28</v>
      </c>
      <c r="N1648" t="s">
        <v>2396</v>
      </c>
      <c r="O1648">
        <v>5</v>
      </c>
      <c r="P1648" s="2">
        <v>43725</v>
      </c>
      <c r="Q1648" s="1">
        <v>45</v>
      </c>
      <c r="R1648" t="s">
        <v>3531</v>
      </c>
      <c r="S1648">
        <v>1114601402</v>
      </c>
    </row>
    <row r="1649" spans="1:19" x14ac:dyDescent="0.2">
      <c r="A1649" t="str">
        <f>"Oversize Nonfiction"</f>
        <v>Oversize Nonfiction</v>
      </c>
      <c r="B1649" t="str">
        <f>"NEW OS 704 GRE"</f>
        <v>NEW OS 704 GRE</v>
      </c>
      <c r="C1649" t="str">
        <f>"Great women artists"</f>
        <v>Great women artists</v>
      </c>
      <c r="D1649">
        <v>408904</v>
      </c>
      <c r="G1649" t="str">
        <f>"463 pages, 30 x 26 cm, illustrations (chiefly color)"</f>
        <v>463 pages, 30 x 26 cm, illustrations (chiefly color)</v>
      </c>
      <c r="H1649" s="1">
        <v>20</v>
      </c>
      <c r="I1649">
        <v>2019</v>
      </c>
      <c r="J1649" t="str">
        <f>"40: Oversize Nonfiction"</f>
        <v>40: Oversize Nonfiction</v>
      </c>
      <c r="L1649" t="s">
        <v>2395</v>
      </c>
      <c r="M1649" t="s">
        <v>28</v>
      </c>
      <c r="N1649" t="s">
        <v>2495</v>
      </c>
      <c r="O1649">
        <v>0</v>
      </c>
      <c r="P1649" s="2">
        <v>43861</v>
      </c>
      <c r="Q1649" s="1">
        <v>65</v>
      </c>
      <c r="R1649" t="s">
        <v>3532</v>
      </c>
      <c r="S1649">
        <v>1099690505</v>
      </c>
    </row>
    <row r="1650" spans="1:19" x14ac:dyDescent="0.2">
      <c r="A1650" t="str">
        <f>"Oversize Nonfiction"</f>
        <v>Oversize Nonfiction</v>
      </c>
      <c r="B1650" t="str">
        <f>"NEW OS 779 LAN"</f>
        <v>NEW OS 779 LAN</v>
      </c>
      <c r="C1650" t="str">
        <f>"Highway 61"</f>
        <v>Highway 61</v>
      </c>
      <c r="D1650">
        <v>358732</v>
      </c>
      <c r="E1650" t="str">
        <f>"Lange, Jessica"</f>
        <v>Lange, Jessica</v>
      </c>
      <c r="G1650" t="str">
        <f>"170 p."</f>
        <v>170 p.</v>
      </c>
      <c r="H1650" s="1">
        <v>19</v>
      </c>
      <c r="I1650">
        <v>2019</v>
      </c>
      <c r="J1650" t="str">
        <f>"40: Oversize Nonfiction"</f>
        <v>40: Oversize Nonfiction</v>
      </c>
      <c r="L1650" t="s">
        <v>2395</v>
      </c>
      <c r="M1650" t="s">
        <v>28</v>
      </c>
      <c r="N1650" t="s">
        <v>2396</v>
      </c>
      <c r="O1650">
        <v>1</v>
      </c>
      <c r="P1650" s="2">
        <v>43762</v>
      </c>
      <c r="Q1650" s="1">
        <v>80</v>
      </c>
      <c r="R1650" t="s">
        <v>3533</v>
      </c>
      <c r="S1650">
        <v>1083226243</v>
      </c>
    </row>
    <row r="1651" spans="1:19" x14ac:dyDescent="0.2">
      <c r="A1651" t="str">
        <f>"Oversize Nonfiction"</f>
        <v>Oversize Nonfiction</v>
      </c>
      <c r="B1651" t="str">
        <f>"NEW OS 976.4 SAU"</f>
        <v>NEW OS 976.4 SAU</v>
      </c>
      <c r="C1651" t="str">
        <f>"A mile above Texas"</f>
        <v>A mile above Texas</v>
      </c>
      <c r="D1651">
        <v>351407</v>
      </c>
      <c r="E1651" t="str">
        <f>"Sauceda, Jay B."</f>
        <v>Sauceda, Jay B.</v>
      </c>
      <c r="F1651" t="str">
        <f>"Bridwell Texas History Series"</f>
        <v>Bridwell Texas History Series</v>
      </c>
      <c r="G1651" t="str">
        <f>"1 volume (unpaged), 34 cm, chiefly color illustrations, color maps"</f>
        <v>1 volume (unpaged), 34 cm, chiefly color illustrations, color maps</v>
      </c>
      <c r="H1651" s="1">
        <v>18</v>
      </c>
      <c r="I1651">
        <v>2018</v>
      </c>
      <c r="J1651" t="str">
        <f>"40: Oversize Nonfiction"</f>
        <v>40: Oversize Nonfiction</v>
      </c>
      <c r="L1651" t="s">
        <v>2395</v>
      </c>
      <c r="M1651" t="s">
        <v>28</v>
      </c>
      <c r="N1651" t="s">
        <v>2401</v>
      </c>
      <c r="O1651">
        <v>9</v>
      </c>
      <c r="P1651" s="2">
        <v>43424</v>
      </c>
      <c r="Q1651" s="1">
        <v>50</v>
      </c>
      <c r="R1651" t="s">
        <v>3534</v>
      </c>
      <c r="S1651">
        <v>1027770382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D22A6-1245-4EF4-8253-77D0C46789FD}">
  <sheetPr>
    <tabColor theme="7" tint="0.39997558519241921"/>
  </sheetPr>
  <dimension ref="A1"/>
  <sheetViews>
    <sheetView workbookViewId="0">
      <selection activeCell="F1" sqref="F1"/>
    </sheetView>
  </sheetViews>
  <sheetFormatPr baseColWidth="10" defaultColWidth="8.83203125" defaultRowHeight="15" x14ac:dyDescent="0.2"/>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1D58D-171E-4D17-96D3-C10281189992}">
  <sheetPr>
    <tabColor theme="7" tint="0.39997558519241921"/>
  </sheetPr>
  <dimension ref="A1:K726"/>
  <sheetViews>
    <sheetView zoomScale="90" zoomScaleNormal="90" workbookViewId="0"/>
  </sheetViews>
  <sheetFormatPr baseColWidth="10" defaultColWidth="8.83203125" defaultRowHeight="15" x14ac:dyDescent="0.2"/>
  <cols>
    <col min="1" max="1" width="10.1640625" customWidth="1"/>
    <col min="2" max="2" width="17" customWidth="1"/>
    <col min="3" max="3" width="14" customWidth="1"/>
    <col min="4" max="4" width="13" customWidth="1"/>
    <col min="5" max="5" width="9.83203125" customWidth="1"/>
    <col min="6" max="6" width="80.6640625" style="3" customWidth="1"/>
    <col min="7" max="7" width="50.6640625" style="3" customWidth="1"/>
    <col min="8" max="8" width="40.33203125" customWidth="1"/>
    <col min="9" max="9" width="12.83203125" customWidth="1"/>
    <col min="10" max="10" width="12" customWidth="1"/>
    <col min="11" max="11" width="9.5" customWidth="1"/>
  </cols>
  <sheetData>
    <row r="1" spans="1:11" x14ac:dyDescent="0.2">
      <c r="A1" t="s">
        <v>3535</v>
      </c>
    </row>
    <row r="2" spans="1:11" x14ac:dyDescent="0.2">
      <c r="A2" t="s">
        <v>3536</v>
      </c>
    </row>
    <row r="3" spans="1:11" x14ac:dyDescent="0.2">
      <c r="A3" t="s">
        <v>3537</v>
      </c>
    </row>
    <row r="4" spans="1:11" x14ac:dyDescent="0.2">
      <c r="A4" t="s">
        <v>3538</v>
      </c>
    </row>
    <row r="6" spans="1:11" ht="16" x14ac:dyDescent="0.2">
      <c r="A6" t="s">
        <v>7</v>
      </c>
      <c r="B6" t="s">
        <v>5</v>
      </c>
      <c r="C6" t="s">
        <v>12</v>
      </c>
      <c r="D6" t="s">
        <v>14</v>
      </c>
      <c r="E6" t="s">
        <v>3539</v>
      </c>
      <c r="F6" s="3" t="s">
        <v>19</v>
      </c>
      <c r="G6" s="3" t="s">
        <v>6</v>
      </c>
      <c r="H6" t="s">
        <v>8</v>
      </c>
      <c r="I6" t="s">
        <v>22</v>
      </c>
      <c r="J6" t="s">
        <v>25</v>
      </c>
      <c r="K6" t="s">
        <v>3540</v>
      </c>
    </row>
    <row r="7" spans="1:11" ht="32" x14ac:dyDescent="0.2">
      <c r="A7">
        <v>23357</v>
      </c>
      <c r="B7" t="str">
        <f>"F TWAIN"</f>
        <v>F TWAIN</v>
      </c>
      <c r="C7" t="s">
        <v>3541</v>
      </c>
      <c r="D7" t="s">
        <v>3542</v>
      </c>
      <c r="E7">
        <v>5151846</v>
      </c>
      <c r="F7" s="3" t="str">
        <f>"2019-12-26  - PayPal - Paid    12-17-2019  - Due: 11-18-2019. Notified: 11-25-2019, 12-2-2019, 12-9-2019"</f>
        <v>2019-12-26  - PayPal - Paid    12-17-2019  - Due: 11-18-2019. Notified: 11-25-2019, 12-2-2019, 12-9-2019</v>
      </c>
      <c r="G7" s="3" t="str">
        <f>"Mississippi writings"</f>
        <v>Mississippi writings</v>
      </c>
      <c r="H7" t="str">
        <f>"Twain, Mark (1835-1910.)"</f>
        <v>Twain, Mark (1835-1910.)</v>
      </c>
      <c r="I7">
        <v>43</v>
      </c>
      <c r="J7" s="2">
        <v>43757</v>
      </c>
      <c r="K7" s="1">
        <v>14.95</v>
      </c>
    </row>
    <row r="8" spans="1:11" ht="16" x14ac:dyDescent="0.2">
      <c r="A8">
        <v>31487</v>
      </c>
      <c r="B8" t="str">
        <f>"E HEOS"</f>
        <v>E HEOS</v>
      </c>
      <c r="C8" t="s">
        <v>3543</v>
      </c>
      <c r="D8" t="s">
        <v>3542</v>
      </c>
      <c r="E8">
        <v>5102733</v>
      </c>
      <c r="F8" s="3" t="str">
        <f>"2019-07-13  - ec - WB -    5-17-2019  - Due: 7-15-2019."</f>
        <v>2019-07-13  - ec - WB -    5-17-2019  - Due: 7-15-2019.</v>
      </c>
      <c r="G8" s="3" t="str">
        <f>"Mustache Baby"</f>
        <v>Mustache Baby</v>
      </c>
      <c r="I8">
        <v>1</v>
      </c>
      <c r="J8" s="2">
        <v>43561</v>
      </c>
      <c r="K8" s="1">
        <v>0</v>
      </c>
    </row>
    <row r="9" spans="1:11" ht="16" x14ac:dyDescent="0.2">
      <c r="A9">
        <v>52807</v>
      </c>
      <c r="B9" t="str">
        <f>"J 921 HOO"</f>
        <v>J 921 HOO</v>
      </c>
      <c r="C9" t="s">
        <v>3541</v>
      </c>
      <c r="D9" t="s">
        <v>3542</v>
      </c>
      <c r="E9" t="s">
        <v>3544</v>
      </c>
      <c r="F9" s="3" t="str">
        <f>"2019-11-15  - Inventory - "</f>
        <v xml:space="preserve">2019-11-15  - Inventory - </v>
      </c>
      <c r="G9" s="3" t="str">
        <f>"Herbert Hoover"</f>
        <v>Herbert Hoover</v>
      </c>
      <c r="H9" t="str">
        <f>"Clinton, Susan"</f>
        <v>Clinton, Susan</v>
      </c>
      <c r="I9">
        <v>12</v>
      </c>
      <c r="J9" s="2">
        <v>38406</v>
      </c>
      <c r="K9" s="1">
        <v>22.28</v>
      </c>
    </row>
    <row r="10" spans="1:11" ht="16" x14ac:dyDescent="0.2">
      <c r="A10">
        <v>53520</v>
      </c>
      <c r="B10" t="str">
        <f>"J SCARY"</f>
        <v>J SCARY</v>
      </c>
      <c r="C10" t="s">
        <v>3541</v>
      </c>
      <c r="D10" t="s">
        <v>3542</v>
      </c>
      <c r="E10">
        <v>5102392</v>
      </c>
      <c r="F10" s="3" t="str">
        <f>"2020-01-30  - ss - WB - cannot find    1-30-2020  - Due: 1-11-2020. Notified: 1-18-2020, 1-25-2020"</f>
        <v>2020-01-30  - ss - WB - cannot find    1-30-2020  - Due: 1-11-2020. Notified: 1-18-2020, 1-25-2020</v>
      </c>
      <c r="G10" s="3" t="str">
        <f>"The Scary Book"</f>
        <v>The Scary Book</v>
      </c>
      <c r="H10" t="str">
        <f>"Cole, Joanna"</f>
        <v>Cole, Joanna</v>
      </c>
      <c r="I10">
        <v>60</v>
      </c>
      <c r="J10" s="2">
        <v>43769</v>
      </c>
      <c r="K10" s="1">
        <v>10.95</v>
      </c>
    </row>
    <row r="11" spans="1:11" ht="16" x14ac:dyDescent="0.2">
      <c r="A11">
        <v>56011</v>
      </c>
      <c r="B11" t="str">
        <f>"B VANLE"</f>
        <v>B VANLE</v>
      </c>
      <c r="C11" t="s">
        <v>3545</v>
      </c>
      <c r="D11" t="str">
        <f>"Tech Serv"</f>
        <v>Tech Serv</v>
      </c>
      <c r="E11" t="s">
        <v>3544</v>
      </c>
      <c r="F11" s="3" t="str">
        <f>"2020-01-23  - rm - Check In - LL - Broken spine"</f>
        <v>2020-01-23  - rm - Check In - LL - Broken spine</v>
      </c>
      <c r="G11" s="3" t="str">
        <f>"More tales of Oliver Pig"</f>
        <v>More tales of Oliver Pig</v>
      </c>
      <c r="H11" t="str">
        <f>"Van Leeuwen, Jean"</f>
        <v>Van Leeuwen, Jean</v>
      </c>
      <c r="I11">
        <v>146</v>
      </c>
      <c r="J11" s="2">
        <v>43815</v>
      </c>
      <c r="K11" s="1">
        <v>7.95</v>
      </c>
    </row>
    <row r="12" spans="1:11" ht="48" x14ac:dyDescent="0.2">
      <c r="A12">
        <v>68726</v>
      </c>
      <c r="B12" t="str">
        <f>"YA FEARL"</f>
        <v>YA FEARL</v>
      </c>
      <c r="C12" t="s">
        <v>3541</v>
      </c>
      <c r="D12" t="s">
        <v>3542</v>
      </c>
      <c r="E12">
        <v>5211482</v>
      </c>
      <c r="F12" s="3" t="str">
        <f>"2019-06-21  - Due: 5-25-2019. Notified: 6-1-2019, 6-8-2019, 6-17-2019, 8-6-2019"</f>
        <v>2019-06-21  - Due: 5-25-2019. Notified: 6-1-2019, 6-8-2019, 6-17-2019, 8-6-2019</v>
      </c>
      <c r="G12" s="3" t="str">
        <f>"Fearless girls, wise women, and beloved sisters : heroines in folktales from around the world: heroines in folktales from around the world"</f>
        <v>Fearless girls, wise women, and beloved sisters : heroines in folktales from around the world: heroines in folktales from around the world</v>
      </c>
      <c r="I12">
        <v>59</v>
      </c>
      <c r="J12" s="2">
        <v>43596</v>
      </c>
      <c r="K12" s="1">
        <v>35</v>
      </c>
    </row>
    <row r="13" spans="1:11" ht="32" x14ac:dyDescent="0.2">
      <c r="A13">
        <v>71919</v>
      </c>
      <c r="B13" t="str">
        <f>"J GN LIMKE"</f>
        <v>J GN LIMKE</v>
      </c>
      <c r="C13" t="s">
        <v>3541</v>
      </c>
      <c r="D13" t="s">
        <v>3542</v>
      </c>
      <c r="E13">
        <v>5170768</v>
      </c>
      <c r="F13" s="3" t="str">
        <f>"2019-11-11  - mbw - WB - member paid $14 on 11/11/19    11-11-2019  - mew - member can't find item    11-11-2019  - Due: 11-18-2019."</f>
        <v>2019-11-11  - mbw - WB - member paid $14 on 11/11/19    11-11-2019  - mew - member can't find item    11-11-2019  - Due: 11-18-2019.</v>
      </c>
      <c r="G13" s="3" t="str">
        <f>"Theseus: battling the Minotaur"</f>
        <v>Theseus: battling the Minotaur</v>
      </c>
      <c r="H13" t="str">
        <f>"Limke, Jeff"</f>
        <v>Limke, Jeff</v>
      </c>
      <c r="I13">
        <v>38</v>
      </c>
      <c r="J13" s="2">
        <v>43694</v>
      </c>
      <c r="K13" s="1">
        <v>14</v>
      </c>
    </row>
    <row r="14" spans="1:11" ht="16" x14ac:dyDescent="0.2">
      <c r="A14">
        <v>73441</v>
      </c>
      <c r="B14" t="str">
        <f>"E KALMA"</f>
        <v>E KALMA</v>
      </c>
      <c r="C14" t="s">
        <v>3541</v>
      </c>
      <c r="D14" t="s">
        <v>3542</v>
      </c>
      <c r="E14" t="s">
        <v>3544</v>
      </c>
      <c r="F14" s="3" t="str">
        <f>"2019-06-14  - Inventory - "</f>
        <v xml:space="preserve">2019-06-14  - Inventory - </v>
      </c>
      <c r="G14" s="3" t="str">
        <f>"Next stop, Grand Central"</f>
        <v>Next stop, Grand Central</v>
      </c>
      <c r="H14" t="str">
        <f>"Kalman, Maira"</f>
        <v>Kalman, Maira</v>
      </c>
      <c r="I14">
        <v>93</v>
      </c>
      <c r="J14" s="2">
        <v>43509</v>
      </c>
      <c r="K14" s="1">
        <v>21</v>
      </c>
    </row>
    <row r="15" spans="1:11" ht="16" x14ac:dyDescent="0.2">
      <c r="A15">
        <v>74003</v>
      </c>
      <c r="B15" t="str">
        <f>"J 391 HOO"</f>
        <v>J 391 HOO</v>
      </c>
      <c r="C15" t="s">
        <v>3541</v>
      </c>
      <c r="D15" t="s">
        <v>3542</v>
      </c>
      <c r="E15">
        <v>5138640</v>
      </c>
      <c r="F15" s="3" t="str">
        <f>"2019-05-18  - Due: 4-22-2019. Notified: 4-29-2019, 5-6-2019, 5-13-2019, 7-9-2019"</f>
        <v>2019-05-18  - Due: 4-22-2019. Notified: 4-29-2019, 5-6-2019, 5-13-2019, 7-9-2019</v>
      </c>
      <c r="G15" s="3" t="str">
        <f>"Vanity rules: a history of American fashion and beauty"</f>
        <v>Vanity rules: a history of American fashion and beauty</v>
      </c>
      <c r="H15" t="str">
        <f>"Hoobler, Dorothy"</f>
        <v>Hoobler, Dorothy</v>
      </c>
      <c r="I15">
        <v>23</v>
      </c>
      <c r="J15" s="2">
        <v>43562</v>
      </c>
      <c r="K15" s="1">
        <v>31</v>
      </c>
    </row>
    <row r="16" spans="1:11" ht="16" x14ac:dyDescent="0.2">
      <c r="A16">
        <v>74415</v>
      </c>
      <c r="B16" t="str">
        <f>"B WORDF"</f>
        <v>B WORDF</v>
      </c>
      <c r="C16" t="s">
        <v>3541</v>
      </c>
      <c r="D16" t="s">
        <v>3542</v>
      </c>
      <c r="E16">
        <v>5209147</v>
      </c>
      <c r="F16" s="3" t="str">
        <f>"2019-05-25  - BD - LL - paid by cc    5-25-2019  - Due: 5-11-2019. Notified: 5-18-2019, 5-25-2019"</f>
        <v>2019-05-25  - BD - LL - paid by cc    5-25-2019  - Due: 5-11-2019. Notified: 5-18-2019, 5-25-2019</v>
      </c>
      <c r="G16" s="3" t="str">
        <f>"ore as in core"</f>
        <v>ore as in core</v>
      </c>
      <c r="H16" t="str">
        <f>"Rondeau, Amanda (1974-)"</f>
        <v>Rondeau, Amanda (1974-)</v>
      </c>
      <c r="I16">
        <v>49</v>
      </c>
      <c r="J16" s="2">
        <v>43574</v>
      </c>
      <c r="K16" s="1">
        <v>18</v>
      </c>
    </row>
    <row r="17" spans="1:11" ht="32" x14ac:dyDescent="0.2">
      <c r="A17">
        <v>74561</v>
      </c>
      <c r="B17" t="str">
        <f>"J 741.5 LIM"</f>
        <v>J 741.5 LIM</v>
      </c>
      <c r="C17" t="s">
        <v>3545</v>
      </c>
      <c r="D17" t="str">
        <f>"Tech Serv"</f>
        <v>Tech Serv</v>
      </c>
      <c r="E17" t="s">
        <v>3544</v>
      </c>
      <c r="F17" s="3" t="str">
        <f>"2020-01-22  - BD - Check In - LL - another item in the same series (74552) is in J GN - should this be there too?"</f>
        <v>2020-01-22  - BD - Check In - LL - another item in the same series (74552) is in J GN - should this be there too?</v>
      </c>
      <c r="G17" s="3" t="str">
        <f>"Tristan &amp; Isolde: the warrior and the princess : a British legend"</f>
        <v>Tristan &amp; Isolde: the warrior and the princess : a British legend</v>
      </c>
      <c r="H17" t="str">
        <f>"Limke, Jeff"</f>
        <v>Limke, Jeff</v>
      </c>
      <c r="I17">
        <v>28</v>
      </c>
      <c r="J17" s="2">
        <v>43842</v>
      </c>
      <c r="K17" s="1">
        <v>32</v>
      </c>
    </row>
    <row r="18" spans="1:11" ht="16" x14ac:dyDescent="0.2">
      <c r="A18">
        <v>74596</v>
      </c>
      <c r="B18" t="str">
        <f>"J 599.53 WAL"</f>
        <v>J 599.53 WAL</v>
      </c>
      <c r="C18" t="s">
        <v>3541</v>
      </c>
      <c r="D18" t="s">
        <v>3542</v>
      </c>
      <c r="E18">
        <v>5178520</v>
      </c>
      <c r="F18" s="3" t="str">
        <f>"2019-08-12  - Due: 7-17-2019. Notified: 7-24-2019, 7-31-2019, 8-7-2019, 9-24-2019"</f>
        <v>2019-08-12  - Due: 7-17-2019. Notified: 7-24-2019, 7-31-2019, 8-7-2019, 9-24-2019</v>
      </c>
      <c r="G18" s="3" t="s">
        <v>3546</v>
      </c>
      <c r="H18" t="str">
        <f>"Walker, Sally M."</f>
        <v>Walker, Sally M.</v>
      </c>
      <c r="I18">
        <v>51</v>
      </c>
      <c r="J18" s="2">
        <v>43649</v>
      </c>
      <c r="K18" s="1">
        <v>32</v>
      </c>
    </row>
    <row r="19" spans="1:11" ht="16" x14ac:dyDescent="0.2">
      <c r="A19">
        <v>74788</v>
      </c>
      <c r="B19" t="str">
        <f>"J 537 BAL"</f>
        <v>J 537 BAL</v>
      </c>
      <c r="C19" t="s">
        <v>3541</v>
      </c>
      <c r="D19" t="s">
        <v>3542</v>
      </c>
      <c r="E19">
        <v>5100392</v>
      </c>
      <c r="F19" s="3" t="str">
        <f>"2020-01-24  - Due: 12-27-2019. Notified: 1-3-2020, 1-10-2020, 1-17-2020"</f>
        <v>2020-01-24  - Due: 12-27-2019. Notified: 1-3-2020, 1-10-2020, 1-17-2020</v>
      </c>
      <c r="G19" s="3" t="str">
        <f>"Exploring electricity"</f>
        <v>Exploring electricity</v>
      </c>
      <c r="H19" t="str">
        <f>"Ballard, Carol."</f>
        <v>Ballard, Carol.</v>
      </c>
      <c r="I19">
        <v>26</v>
      </c>
      <c r="J19" s="2">
        <v>43774</v>
      </c>
      <c r="K19" s="1">
        <v>22</v>
      </c>
    </row>
    <row r="20" spans="1:11" ht="16" x14ac:dyDescent="0.2">
      <c r="A20">
        <v>75284</v>
      </c>
      <c r="B20" t="str">
        <f>"J 599.25 OTF"</f>
        <v>J 599.25 OTF</v>
      </c>
      <c r="C20" t="s">
        <v>3541</v>
      </c>
      <c r="D20" t="s">
        <v>3542</v>
      </c>
      <c r="E20">
        <v>5178311</v>
      </c>
      <c r="F20" s="3" t="str">
        <f>"2019-08-12  - Due: 7-17-2019. Notified: 7-24-2019, 7-31-2019, 8-7-2019, 9-24-2019"</f>
        <v>2019-08-12  - Due: 7-17-2019. Notified: 7-24-2019, 7-31-2019, 8-7-2019, 9-24-2019</v>
      </c>
      <c r="G20" s="3" t="s">
        <v>3547</v>
      </c>
      <c r="H20" t="str">
        <f>"Otfinoski, Steven"</f>
        <v>Otfinoski, Steven</v>
      </c>
      <c r="I20">
        <v>16</v>
      </c>
      <c r="J20" s="2">
        <v>43649</v>
      </c>
      <c r="K20" s="1">
        <v>34</v>
      </c>
    </row>
    <row r="21" spans="1:11" ht="16" x14ac:dyDescent="0.2">
      <c r="A21">
        <v>75390</v>
      </c>
      <c r="B21" t="str">
        <f>"J 629.25 BEC"</f>
        <v>J 629.25 BEC</v>
      </c>
      <c r="C21" t="s">
        <v>3541</v>
      </c>
      <c r="D21" t="s">
        <v>3542</v>
      </c>
      <c r="E21">
        <v>5157440</v>
      </c>
      <c r="F21" s="3" t="str">
        <f>"2019-03-05  - Due: 2-6-2019. Notified: 2-13-2019, 2-20-2019, 2-27-2019, 4-17-2019"</f>
        <v>2019-03-05  - Due: 2-6-2019. Notified: 2-13-2019, 2-20-2019, 2-27-2019, 4-17-2019</v>
      </c>
      <c r="G21" s="3" t="s">
        <v>3548</v>
      </c>
      <c r="H21" t="str">
        <f>"Becker, Ann, (1965-)"</f>
        <v>Becker, Ann, (1965-)</v>
      </c>
      <c r="I21">
        <v>38</v>
      </c>
      <c r="J21" s="2">
        <v>43488</v>
      </c>
      <c r="K21" s="1">
        <v>34</v>
      </c>
    </row>
    <row r="22" spans="1:11" ht="16" x14ac:dyDescent="0.2">
      <c r="A22">
        <v>75788</v>
      </c>
      <c r="B22" t="str">
        <f>"J 599.88 DAV"</f>
        <v>J 599.88 DAV</v>
      </c>
      <c r="C22" t="s">
        <v>3541</v>
      </c>
      <c r="D22" t="s">
        <v>3542</v>
      </c>
      <c r="E22">
        <v>89555</v>
      </c>
      <c r="F22" s="3" t="str">
        <f>"2020-01-20  - Due: 12-21-2019. Notified: 12-28-2019, 1-4-2020, 1-13-2020"</f>
        <v>2020-01-20  - Due: 12-21-2019. Notified: 12-28-2019, 1-4-2020, 1-13-2020</v>
      </c>
      <c r="G22" s="3" t="s">
        <v>3549</v>
      </c>
      <c r="H22" t="str">
        <f>"Davis, Patricia"</f>
        <v>Davis, Patricia</v>
      </c>
      <c r="I22">
        <v>13</v>
      </c>
      <c r="J22" s="2">
        <v>43806</v>
      </c>
      <c r="K22" s="1">
        <v>21</v>
      </c>
    </row>
    <row r="23" spans="1:11" ht="16" x14ac:dyDescent="0.2">
      <c r="A23">
        <v>76163</v>
      </c>
      <c r="B23" t="str">
        <f>"J 616.86 FRE"</f>
        <v>J 616.86 FRE</v>
      </c>
      <c r="C23" t="s">
        <v>3541</v>
      </c>
      <c r="D23" t="s">
        <v>3542</v>
      </c>
      <c r="E23" t="s">
        <v>3544</v>
      </c>
      <c r="F23" s="3" t="str">
        <f>"2019-11-08  - Inventory - "</f>
        <v xml:space="preserve">2019-11-08  - Inventory - </v>
      </c>
      <c r="G23" s="3" t="str">
        <f>"Steroids: high-risk performance drugs"</f>
        <v>Steroids: high-risk performance drugs</v>
      </c>
      <c r="H23" t="str">
        <f>"Freedman, Jeri"</f>
        <v>Freedman, Jeri</v>
      </c>
      <c r="I23">
        <v>2</v>
      </c>
      <c r="J23" s="2">
        <v>41840</v>
      </c>
      <c r="K23" s="1">
        <v>27</v>
      </c>
    </row>
    <row r="24" spans="1:11" ht="32" x14ac:dyDescent="0.2">
      <c r="A24">
        <v>89001</v>
      </c>
      <c r="B24" t="str">
        <f>"E MCDON"</f>
        <v>E MCDON</v>
      </c>
      <c r="C24" t="s">
        <v>3541</v>
      </c>
      <c r="D24" t="s">
        <v>3542</v>
      </c>
      <c r="E24">
        <v>5206086</v>
      </c>
      <c r="F24" s="3" t="str">
        <f>"2020-01-17  - Tess - WB - Patron says they turned it in, it is not in the library.    1-17-2020  - Due: 1-13-2020."</f>
        <v>2020-01-17  - Tess - WB - Patron says they turned it in, it is not in the library.    1-17-2020  - Due: 1-13-2020.</v>
      </c>
      <c r="G24" s="3" t="str">
        <f>"Is this a house for Hermit Crab"</f>
        <v>Is this a house for Hermit Crab</v>
      </c>
      <c r="H24" t="str">
        <f>"McDonald, Megan"</f>
        <v>McDonald, Megan</v>
      </c>
      <c r="I24">
        <v>126</v>
      </c>
      <c r="J24" s="2">
        <v>43774</v>
      </c>
      <c r="K24" s="1">
        <v>11</v>
      </c>
    </row>
    <row r="25" spans="1:11" ht="16" x14ac:dyDescent="0.2">
      <c r="A25">
        <v>91426</v>
      </c>
      <c r="B25" t="str">
        <f>"J 394.2 THA BUN"</f>
        <v>J 394.2 THA BUN</v>
      </c>
      <c r="C25" t="s">
        <v>3541</v>
      </c>
      <c r="D25" t="s">
        <v>3542</v>
      </c>
      <c r="E25">
        <v>5117807</v>
      </c>
      <c r="F25" s="3" t="str">
        <f>"2019-12-29  - Due: 11-30-2019. Notified: 12-7-2019, 12-14-2019, 12-23-2019"</f>
        <v>2019-12-29  - Due: 11-30-2019. Notified: 12-7-2019, 12-14-2019, 12-23-2019</v>
      </c>
      <c r="G25" s="3" t="str">
        <f>"A turkey for Thanksgiving"</f>
        <v>A turkey for Thanksgiving</v>
      </c>
      <c r="H25" t="str">
        <f>"Bunting, Eve (1928-)"</f>
        <v>Bunting, Eve (1928-)</v>
      </c>
      <c r="I25">
        <v>25</v>
      </c>
      <c r="J25" s="2">
        <v>43785</v>
      </c>
      <c r="K25" s="1">
        <v>0</v>
      </c>
    </row>
    <row r="26" spans="1:11" ht="16" x14ac:dyDescent="0.2">
      <c r="A26">
        <v>93376</v>
      </c>
      <c r="B26" t="str">
        <f>"J 643 DEL"</f>
        <v>J 643 DEL</v>
      </c>
      <c r="C26" t="s">
        <v>3545</v>
      </c>
      <c r="D26" t="str">
        <f>"Tech Serv"</f>
        <v>Tech Serv</v>
      </c>
      <c r="E26" t="s">
        <v>3544</v>
      </c>
      <c r="F26" s="3" t="str">
        <f>"2020-01-21  - TL - Check In - WB - Looks pretty bad, and has a broken spine. Weed?"</f>
        <v>2020-01-21  - TL - Check In - WB - Looks pretty bad, and has a broken spine. Weed?</v>
      </c>
      <c r="G26" s="3" t="s">
        <v>3550</v>
      </c>
      <c r="H26" t="str">
        <f>"Delafosse, Claude"</f>
        <v>Delafosse, Claude</v>
      </c>
      <c r="I26">
        <v>29</v>
      </c>
      <c r="J26" s="2">
        <v>43834</v>
      </c>
      <c r="K26" s="1">
        <v>17</v>
      </c>
    </row>
    <row r="27" spans="1:11" ht="16" x14ac:dyDescent="0.2">
      <c r="A27">
        <v>93503</v>
      </c>
      <c r="B27" t="str">
        <f>"J 468 ALC"</f>
        <v>J 468 ALC</v>
      </c>
      <c r="C27" t="s">
        <v>3541</v>
      </c>
      <c r="D27" t="s">
        <v>3542</v>
      </c>
      <c r="E27" t="s">
        <v>3544</v>
      </c>
      <c r="F27" s="3" t="str">
        <f>"2019-04-05  - Inventory - "</f>
        <v xml:space="preserve">2019-04-05  - Inventory - </v>
      </c>
      <c r="G27" s="3" t="s">
        <v>3551</v>
      </c>
      <c r="H27" t="str">
        <f>"Alcott, Louisa May (1832-1888.)"</f>
        <v>Alcott, Louisa May (1832-1888.)</v>
      </c>
      <c r="I27">
        <v>22</v>
      </c>
      <c r="J27" s="2">
        <v>42662</v>
      </c>
      <c r="K27" s="1">
        <v>20</v>
      </c>
    </row>
    <row r="28" spans="1:11" ht="16" x14ac:dyDescent="0.2">
      <c r="A28">
        <v>97764</v>
      </c>
      <c r="B28" t="str">
        <f>"E BOURG"</f>
        <v>E BOURG</v>
      </c>
      <c r="C28" t="s">
        <v>3545</v>
      </c>
      <c r="D28" t="str">
        <f>"Tech Serv"</f>
        <v>Tech Serv</v>
      </c>
      <c r="E28" t="s">
        <v>3544</v>
      </c>
      <c r="F28" s="3" t="str">
        <f>"2019-09-17  - dbj - Check In - LL - ripped pages"</f>
        <v>2019-09-17  - dbj - Check In - LL - ripped pages</v>
      </c>
      <c r="G28" s="3" t="str">
        <f>"Franklin's neighborhood"</f>
        <v>Franklin's neighborhood</v>
      </c>
      <c r="H28" t="str">
        <f>"Jennings, Sharon"</f>
        <v>Jennings, Sharon</v>
      </c>
      <c r="I28">
        <v>237</v>
      </c>
      <c r="J28" s="2">
        <v>43617</v>
      </c>
      <c r="K28" s="1">
        <v>10</v>
      </c>
    </row>
    <row r="29" spans="1:11" ht="16" x14ac:dyDescent="0.2">
      <c r="A29">
        <v>101099</v>
      </c>
      <c r="B29" t="str">
        <f>"J 551 BLO"</f>
        <v>J 551 BLO</v>
      </c>
      <c r="C29" t="s">
        <v>3541</v>
      </c>
      <c r="D29" t="s">
        <v>3542</v>
      </c>
      <c r="E29">
        <v>5031172</v>
      </c>
      <c r="F29" s="3" t="str">
        <f>"2020-01-14  - Due: 12-15-2019. Notified: 12-22-2019, 12-29-2019, 1-6-2020"</f>
        <v>2020-01-14  - Due: 12-15-2019. Notified: 12-22-2019, 12-29-2019, 1-6-2020</v>
      </c>
      <c r="G29" s="3" t="str">
        <f>"Geology rocks: 50 hands-on activities to explore the earth"</f>
        <v>Geology rocks: 50 hands-on activities to explore the earth</v>
      </c>
      <c r="H29" t="str">
        <f>"Blobaum, Cindy (1966-)"</f>
        <v>Blobaum, Cindy (1966-)</v>
      </c>
      <c r="I29">
        <v>15</v>
      </c>
      <c r="J29" s="2">
        <v>43800</v>
      </c>
      <c r="K29" s="1">
        <v>16</v>
      </c>
    </row>
    <row r="30" spans="1:11" ht="16" x14ac:dyDescent="0.2">
      <c r="A30">
        <v>102982</v>
      </c>
      <c r="B30" t="str">
        <f>"811 HOM"</f>
        <v>811 HOM</v>
      </c>
      <c r="C30" t="s">
        <v>3541</v>
      </c>
      <c r="D30" t="s">
        <v>3542</v>
      </c>
      <c r="E30">
        <v>5164684</v>
      </c>
      <c r="F30" s="3" t="str">
        <f>"2020-01-17  - Due: 12-18-2019. Notified: 12-27-2019, 1-2-2020, 1-8-2020"</f>
        <v>2020-01-17  - Due: 12-18-2019. Notified: 12-27-2019, 1-2-2020, 1-8-2020</v>
      </c>
      <c r="G30" s="3" t="str">
        <f>"The Odyssey"</f>
        <v>The Odyssey</v>
      </c>
      <c r="H30" t="s">
        <v>3552</v>
      </c>
      <c r="I30">
        <v>20</v>
      </c>
      <c r="J30" s="2">
        <v>43755</v>
      </c>
      <c r="K30" s="1">
        <v>15</v>
      </c>
    </row>
    <row r="31" spans="1:11" ht="16" x14ac:dyDescent="0.2">
      <c r="A31">
        <v>109571</v>
      </c>
      <c r="B31" t="str">
        <f>"J 921 KEN"</f>
        <v>J 921 KEN</v>
      </c>
      <c r="C31" t="s">
        <v>3541</v>
      </c>
      <c r="D31" t="s">
        <v>3542</v>
      </c>
      <c r="E31">
        <v>5210674</v>
      </c>
      <c r="F31" s="3" t="str">
        <f>"2019-06-05  - crd - member paid for item    6-5-2019  - Due: 6-1-2019."</f>
        <v>2019-06-05  - crd - member paid for item    6-5-2019  - Due: 6-1-2019.</v>
      </c>
      <c r="G31" s="3" t="str">
        <f>"Jack: the early years of John F. Kennedy"</f>
        <v>Jack: the early years of John F. Kennedy</v>
      </c>
      <c r="H31" t="str">
        <f>"Cooper, Ilene"</f>
        <v>Cooper, Ilene</v>
      </c>
      <c r="I31">
        <v>19</v>
      </c>
      <c r="J31" s="2">
        <v>43583</v>
      </c>
      <c r="K31" s="1">
        <v>28</v>
      </c>
    </row>
    <row r="32" spans="1:11" ht="16" x14ac:dyDescent="0.2">
      <c r="A32">
        <v>111788</v>
      </c>
      <c r="B32" t="str">
        <f>"KIT J LITHG"</f>
        <v>KIT J LITHG</v>
      </c>
      <c r="C32" t="s">
        <v>3545</v>
      </c>
      <c r="D32" t="str">
        <f>"Tech Serv"</f>
        <v>Tech Serv</v>
      </c>
      <c r="E32" t="s">
        <v>3544</v>
      </c>
      <c r="F32" s="3" t="str">
        <f>"2019-10-04  - BD - Check In - WB - disc doesn't have number, case has a barcode but it's for a different kit"</f>
        <v>2019-10-04  - BD - Check In - WB - disc doesn't have number, case has a barcode but it's for a different kit</v>
      </c>
      <c r="G32" s="3" t="str">
        <f>"I'm a manatee"</f>
        <v>I'm a manatee</v>
      </c>
      <c r="H32" t="str">
        <f>"Lithgow, John (1945-)"</f>
        <v>Lithgow, John (1945-)</v>
      </c>
      <c r="I32">
        <v>90</v>
      </c>
      <c r="J32" s="2">
        <v>43731</v>
      </c>
      <c r="K32" s="1">
        <v>29</v>
      </c>
    </row>
    <row r="33" spans="1:11" ht="16" x14ac:dyDescent="0.2">
      <c r="A33">
        <v>112391</v>
      </c>
      <c r="B33" t="str">
        <f>"B ECKAR"</f>
        <v>B ECKAR</v>
      </c>
      <c r="C33" t="s">
        <v>3545</v>
      </c>
      <c r="D33" t="s">
        <v>3542</v>
      </c>
      <c r="E33">
        <v>5160759</v>
      </c>
      <c r="F33" s="4" t="e">
        <v>#N/A</v>
      </c>
      <c r="G33" s="3" t="str">
        <f>"King cobra"</f>
        <v>King cobra</v>
      </c>
      <c r="H33" t="str">
        <f>"Eckart, Edana"</f>
        <v>Eckart, Edana</v>
      </c>
      <c r="I33">
        <v>123</v>
      </c>
      <c r="J33" s="2">
        <v>43661</v>
      </c>
      <c r="K33" s="1">
        <v>20</v>
      </c>
    </row>
    <row r="34" spans="1:11" ht="16" x14ac:dyDescent="0.2">
      <c r="A34">
        <v>113032</v>
      </c>
      <c r="B34" t="str">
        <f>"E COOPE"</f>
        <v>E COOPE</v>
      </c>
      <c r="C34" t="s">
        <v>3541</v>
      </c>
      <c r="D34" t="s">
        <v>3542</v>
      </c>
      <c r="E34">
        <v>5076560</v>
      </c>
      <c r="F34" s="3" t="str">
        <f>"2019-12-06  - Due: 11-7-2019. Notified: 11-14-2019, 11-21-2019, 12-2-2019, 1-21-2020"</f>
        <v>2019-12-06  - Due: 11-7-2019. Notified: 11-14-2019, 11-21-2019, 12-2-2019, 1-21-2020</v>
      </c>
      <c r="G34" s="3" t="s">
        <v>3553</v>
      </c>
      <c r="H34" t="str">
        <f>"Cooper, Helen (Helen F.)"</f>
        <v>Cooper, Helen (Helen F.)</v>
      </c>
      <c r="I34">
        <v>102</v>
      </c>
      <c r="J34" s="2">
        <v>43703</v>
      </c>
      <c r="K34" s="1">
        <v>21</v>
      </c>
    </row>
    <row r="35" spans="1:11" ht="16" x14ac:dyDescent="0.2">
      <c r="A35">
        <v>114013</v>
      </c>
      <c r="B35" t="str">
        <f>"F QUIND LARGE PRINT"</f>
        <v>F QUIND LARGE PRINT</v>
      </c>
      <c r="C35" t="s">
        <v>3541</v>
      </c>
      <c r="D35" t="s">
        <v>3542</v>
      </c>
      <c r="E35">
        <v>5058</v>
      </c>
      <c r="F35" s="3" t="str">
        <f>"2019-12-04  - Due: 6-9-2019. Notified: 6-16-2019, 6-23-2019, 7-1-2019, 9-24-2019"</f>
        <v>2019-12-04  - Due: 6-9-2019. Notified: 6-16-2019, 6-23-2019, 7-1-2019, 9-24-2019</v>
      </c>
      <c r="G35" s="3" t="str">
        <f>"Loud and clear"</f>
        <v>Loud and clear</v>
      </c>
      <c r="H35" t="str">
        <f>"Quindlen, Anna"</f>
        <v>Quindlen, Anna</v>
      </c>
      <c r="I35">
        <v>18</v>
      </c>
      <c r="J35" s="2">
        <v>42705</v>
      </c>
      <c r="K35" s="1">
        <v>32</v>
      </c>
    </row>
    <row r="36" spans="1:11" ht="32" x14ac:dyDescent="0.2">
      <c r="A36">
        <v>115196</v>
      </c>
      <c r="B36" t="str">
        <f>"623.4 GUR"</f>
        <v>623.4 GUR</v>
      </c>
      <c r="C36" t="s">
        <v>3541</v>
      </c>
      <c r="D36" t="s">
        <v>3542</v>
      </c>
      <c r="E36">
        <v>5018378</v>
      </c>
      <c r="F36" s="3" t="str">
        <f>"2019-06-15  - kl - WB - paid $22.00 for lost book    3-11-2019  - Due: 2-12-2019. Notified: 2-19-2019, 2-26-2019, 3-6-2019, 4-17-2019"</f>
        <v>2019-06-15  - kl - WB - paid $22.00 for lost book    3-11-2019  - Due: 2-12-2019. Notified: 2-19-2019, 2-26-2019, 3-6-2019, 4-17-2019</v>
      </c>
      <c r="G36" s="3" t="str">
        <f>"The art of the catapult: build Greek ballistae, Roman onagers, English trebuchets, and more ancient artillery"</f>
        <v>The art of the catapult: build Greek ballistae, Roman onagers, English trebuchets, and more ancient artillery</v>
      </c>
      <c r="H36" t="str">
        <f>"Gurstelle, William"</f>
        <v>Gurstelle, William</v>
      </c>
      <c r="I36">
        <v>14</v>
      </c>
      <c r="J36" s="2">
        <v>43461</v>
      </c>
      <c r="K36" s="1">
        <v>22</v>
      </c>
    </row>
    <row r="37" spans="1:11" ht="16" x14ac:dyDescent="0.2">
      <c r="A37">
        <v>117293</v>
      </c>
      <c r="B37" t="str">
        <f>"F WOLFE"</f>
        <v>F WOLFE</v>
      </c>
      <c r="C37" t="s">
        <v>3541</v>
      </c>
      <c r="D37" t="s">
        <v>3542</v>
      </c>
      <c r="E37">
        <v>5022</v>
      </c>
      <c r="F37" s="3" t="str">
        <f>"2019-12-04  - Due: 6-9-2019. Notified: 6-16-2019, 6-23-2019, 7-1-2019, 9-24-2019"</f>
        <v>2019-12-04  - Due: 6-9-2019. Notified: 6-16-2019, 6-23-2019, 7-1-2019, 9-24-2019</v>
      </c>
      <c r="G37" s="3" t="str">
        <f>"The electric Kool-Aid acid test"</f>
        <v>The electric Kool-Aid acid test</v>
      </c>
      <c r="H37" t="str">
        <f>"Wolfe, Tom"</f>
        <v>Wolfe, Tom</v>
      </c>
      <c r="I37">
        <v>40</v>
      </c>
      <c r="J37" s="2">
        <v>43370</v>
      </c>
      <c r="K37" s="1">
        <v>20</v>
      </c>
    </row>
    <row r="38" spans="1:11" ht="16" x14ac:dyDescent="0.2">
      <c r="A38">
        <v>119437</v>
      </c>
      <c r="B38" t="str">
        <f>"E BRIDW"</f>
        <v>E BRIDW</v>
      </c>
      <c r="C38" t="s">
        <v>3545</v>
      </c>
      <c r="D38" t="str">
        <f>"Tech Serv"</f>
        <v>Tech Serv</v>
      </c>
      <c r="E38" t="s">
        <v>3544</v>
      </c>
      <c r="F38" s="3" t="str">
        <f>"2020-01-31  - JW - Check In - WB - Page falling out."</f>
        <v>2020-01-31  - JW - Check In - WB - Page falling out.</v>
      </c>
      <c r="G38" s="3" t="str">
        <f>"Clifford goes to Washington"</f>
        <v>Clifford goes to Washington</v>
      </c>
      <c r="H38" t="str">
        <f>"Bridwell, Norman"</f>
        <v>Bridwell, Norman</v>
      </c>
      <c r="I38">
        <v>143</v>
      </c>
      <c r="J38" s="2">
        <v>43849</v>
      </c>
      <c r="K38" s="1">
        <v>9</v>
      </c>
    </row>
    <row r="39" spans="1:11" ht="16" x14ac:dyDescent="0.2">
      <c r="A39">
        <v>120462</v>
      </c>
      <c r="B39" t="str">
        <f>"B LESIE"</f>
        <v>B LESIE</v>
      </c>
      <c r="C39" t="s">
        <v>3541</v>
      </c>
      <c r="D39" t="s">
        <v>3542</v>
      </c>
      <c r="E39">
        <v>5213353</v>
      </c>
      <c r="F39" s="3" t="str">
        <f>"2019-11-01  - Due: 10-6-2019. Notified: 10-13-2019, 10-20-2019, 10-28-2019, 12-10-2019"</f>
        <v>2019-11-01  - Due: 10-6-2019. Notified: 10-13-2019, 10-20-2019, 10-28-2019, 12-10-2019</v>
      </c>
      <c r="G39" s="3" t="str">
        <f>"Wacky Wednesday"</f>
        <v>Wacky Wednesday</v>
      </c>
      <c r="H39" t="str">
        <f>"LeSieg, Theo (1904-)"</f>
        <v>LeSieg, Theo (1904-)</v>
      </c>
      <c r="I39">
        <v>185</v>
      </c>
      <c r="J39" s="2">
        <v>43730</v>
      </c>
      <c r="K39" s="1">
        <v>23</v>
      </c>
    </row>
    <row r="40" spans="1:11" ht="48" x14ac:dyDescent="0.2">
      <c r="A40">
        <v>121343</v>
      </c>
      <c r="B40" t="str">
        <f>"F GOLDI"</f>
        <v>F GOLDI</v>
      </c>
      <c r="C40" t="s">
        <v>3541</v>
      </c>
      <c r="D40" t="s">
        <v>3542</v>
      </c>
      <c r="E40">
        <v>5129605</v>
      </c>
      <c r="F40" s="3" t="str">
        <f>"2019-10-09  - kmf - WB - Item was mailed back and patron has receipt from USPS that item was delivered to mailbox. Not charging patron for book.    9-17-2019  - Due: 8-20-2019. Notified: 8-27-2019, 9-3-2019, 9-11-2019"</f>
        <v>2019-10-09  - kmf - WB - Item was mailed back and patron has receipt from USPS that item was delivered to mailbox. Not charging patron for book.    9-17-2019  - Due: 8-20-2019. Notified: 8-27-2019, 9-3-2019, 9-11-2019</v>
      </c>
      <c r="G40" s="3" t="str">
        <f>"Lord of the flies: a novel"</f>
        <v>Lord of the flies: a novel</v>
      </c>
      <c r="H40" t="str">
        <f>"Golding, William (1911-)"</f>
        <v>Golding, William (1911-)</v>
      </c>
      <c r="I40">
        <v>82</v>
      </c>
      <c r="J40" s="2">
        <v>43683</v>
      </c>
      <c r="K40" s="1">
        <v>18</v>
      </c>
    </row>
    <row r="41" spans="1:11" ht="16" x14ac:dyDescent="0.2">
      <c r="A41">
        <v>121638</v>
      </c>
      <c r="B41" t="str">
        <f>"J KONIG"</f>
        <v>J KONIG</v>
      </c>
      <c r="C41" t="s">
        <v>3541</v>
      </c>
      <c r="D41" t="s">
        <v>3542</v>
      </c>
      <c r="E41" t="s">
        <v>3544</v>
      </c>
      <c r="F41" s="3" t="str">
        <f>"2019-09-13  - Inventory - "</f>
        <v xml:space="preserve">2019-09-13  - Inventory - </v>
      </c>
      <c r="G41" s="3" t="str">
        <f>"The view from Saturday"</f>
        <v>The view from Saturday</v>
      </c>
      <c r="H41" t="str">
        <f>"Konigsburg, E. L."</f>
        <v>Konigsburg, E. L.</v>
      </c>
      <c r="I41">
        <v>34</v>
      </c>
      <c r="J41" s="2">
        <v>43666</v>
      </c>
      <c r="K41" s="1">
        <v>11</v>
      </c>
    </row>
    <row r="42" spans="1:11" ht="16" x14ac:dyDescent="0.2">
      <c r="A42">
        <v>122111</v>
      </c>
      <c r="B42" t="str">
        <f>"E COUSI"</f>
        <v>E COUSI</v>
      </c>
      <c r="C42" t="s">
        <v>3541</v>
      </c>
      <c r="D42" t="s">
        <v>3542</v>
      </c>
      <c r="E42">
        <v>5134505</v>
      </c>
      <c r="F42" s="3" t="str">
        <f>"2020-01-24  - Due: 12-27-2019. Notified: 1-3-2020, 1-10-2020, 1-17-2020"</f>
        <v>2020-01-24  - Due: 12-27-2019. Notified: 1-3-2020, 1-10-2020, 1-17-2020</v>
      </c>
      <c r="G42" s="3" t="str">
        <f>"Maisy at the fair"</f>
        <v>Maisy at the fair</v>
      </c>
      <c r="H42" t="str">
        <f>"Cousins, Lucy"</f>
        <v>Cousins, Lucy</v>
      </c>
      <c r="I42">
        <v>91</v>
      </c>
      <c r="J42" s="2">
        <v>43799</v>
      </c>
      <c r="K42" s="1">
        <v>9</v>
      </c>
    </row>
    <row r="43" spans="1:11" ht="16" x14ac:dyDescent="0.2">
      <c r="A43">
        <v>124076</v>
      </c>
      <c r="B43" t="str">
        <f>"B ADLER"</f>
        <v>B ADLER</v>
      </c>
      <c r="C43" t="s">
        <v>3541</v>
      </c>
      <c r="D43" t="s">
        <v>3542</v>
      </c>
      <c r="E43" t="s">
        <v>3544</v>
      </c>
      <c r="F43" s="3" t="str">
        <f>"2019-05-07  - cab - on reserve list 3 days"</f>
        <v>2019-05-07  - cab - on reserve list 3 days</v>
      </c>
      <c r="G43" s="3" t="str">
        <f>"Young Cam Jansen and the ice skate mystery"</f>
        <v>Young Cam Jansen and the ice skate mystery</v>
      </c>
      <c r="H43" t="str">
        <f>"Adler, David A."</f>
        <v>Adler, David A.</v>
      </c>
      <c r="I43">
        <v>74</v>
      </c>
      <c r="J43" s="2">
        <v>42416</v>
      </c>
      <c r="K43" s="1">
        <v>3.99</v>
      </c>
    </row>
    <row r="44" spans="1:11" ht="16" x14ac:dyDescent="0.2">
      <c r="A44">
        <v>129814</v>
      </c>
      <c r="B44" t="str">
        <f>"658 FIT"</f>
        <v>658 FIT</v>
      </c>
      <c r="C44" t="s">
        <v>3541</v>
      </c>
      <c r="D44" t="s">
        <v>3542</v>
      </c>
      <c r="E44">
        <v>5102086</v>
      </c>
      <c r="F44" s="3" t="str">
        <f>"2019-12-11  - Due: 11-12-2019. Notified: 11-19-2019, 11-26-2019, 12-4-2019, 1-21-2020"</f>
        <v>2019-12-11  - Due: 11-12-2019. Notified: 11-19-2019, 11-26-2019, 12-4-2019, 1-21-2020</v>
      </c>
      <c r="G44" s="3" t="str">
        <f>"The work from home handbook: flex your time, improve your life"</f>
        <v>The work from home handbook: flex your time, improve your life</v>
      </c>
      <c r="H44" t="str">
        <f>"Fitzpatrick, Diana"</f>
        <v>Fitzpatrick, Diana</v>
      </c>
      <c r="I44">
        <v>22</v>
      </c>
      <c r="J44" s="2">
        <v>43767</v>
      </c>
      <c r="K44" s="1">
        <v>25</v>
      </c>
    </row>
    <row r="45" spans="1:11" ht="32" x14ac:dyDescent="0.2">
      <c r="A45">
        <v>130475</v>
      </c>
      <c r="B45" t="str">
        <f>"658.8 GIT"</f>
        <v>658.8 GIT</v>
      </c>
      <c r="C45" t="s">
        <v>3541</v>
      </c>
      <c r="D45" t="s">
        <v>3542</v>
      </c>
      <c r="E45">
        <v>5102012</v>
      </c>
      <c r="F45" s="3" t="str">
        <f>"2019-12-11  - Due: 11-12-2019. Notified: 11-19-2019, 11-26-2019, 12-4-2019, 1-21-2020"</f>
        <v>2019-12-11  - Due: 11-12-2019. Notified: 11-19-2019, 11-26-2019, 12-4-2019, 1-21-2020</v>
      </c>
      <c r="G45" s="3" t="str">
        <f>"Jeffrey Gitomer's sales bible: the ultimate sales resource, including the 10.5 commandments of sales success"</f>
        <v>Jeffrey Gitomer's sales bible: the ultimate sales resource, including the 10.5 commandments of sales success</v>
      </c>
      <c r="H45" t="str">
        <f>"Gitomer, Jeffrey H"</f>
        <v>Gitomer, Jeffrey H</v>
      </c>
      <c r="I45">
        <v>24</v>
      </c>
      <c r="J45" s="2">
        <v>43767</v>
      </c>
      <c r="K45" s="1">
        <v>35</v>
      </c>
    </row>
    <row r="46" spans="1:11" ht="16" x14ac:dyDescent="0.2">
      <c r="A46">
        <v>130646</v>
      </c>
      <c r="B46" t="str">
        <f>"914.5 DEB"</f>
        <v>914.5 DEB</v>
      </c>
      <c r="C46" t="s">
        <v>3541</v>
      </c>
      <c r="D46" t="s">
        <v>3542</v>
      </c>
      <c r="E46">
        <v>5205977</v>
      </c>
      <c r="F46" s="3" t="str">
        <f>"2020-01-18  - Due: 12-19-2019. Notified: 12-27-2019, 1-2-2020, 1-10-2020"</f>
        <v>2020-01-18  - Due: 12-19-2019. Notified: 12-27-2019, 1-2-2020, 1-10-2020</v>
      </c>
      <c r="G46" s="3" t="str">
        <f>"That summer in Sicily: a love story"</f>
        <v>That summer in Sicily: a love story</v>
      </c>
      <c r="H46" t="str">
        <f>"De Blasi, Marlena"</f>
        <v>De Blasi, Marlena</v>
      </c>
      <c r="I46">
        <v>32</v>
      </c>
      <c r="J46" s="2">
        <v>43781</v>
      </c>
      <c r="K46" s="1">
        <v>29</v>
      </c>
    </row>
    <row r="47" spans="1:11" ht="16" x14ac:dyDescent="0.2">
      <c r="A47">
        <v>131474</v>
      </c>
      <c r="B47" t="str">
        <f>"J 641.5 BEE"</f>
        <v>J 641.5 BEE</v>
      </c>
      <c r="C47" t="s">
        <v>3541</v>
      </c>
      <c r="D47" t="s">
        <v>3542</v>
      </c>
      <c r="E47">
        <v>5121760</v>
      </c>
      <c r="F47" s="3" t="str">
        <f>"2019-05-20  - ec - WB -    5-7-2019  - Due: 6-3-2019."</f>
        <v>2019-05-20  - ec - WB -    5-7-2019  - Due: 6-3-2019.</v>
      </c>
      <c r="G47" s="3" t="str">
        <f>"Mermaid cookbook"</f>
        <v>Mermaid cookbook</v>
      </c>
      <c r="H47" t="str">
        <f>"Beery, Barbara (1954-)"</f>
        <v>Beery, Barbara (1954-)</v>
      </c>
      <c r="I47">
        <v>92</v>
      </c>
      <c r="J47" s="2">
        <v>43526</v>
      </c>
      <c r="K47" s="1">
        <v>20</v>
      </c>
    </row>
    <row r="48" spans="1:11" ht="16" x14ac:dyDescent="0.2">
      <c r="A48">
        <v>132544</v>
      </c>
      <c r="B48" t="str">
        <f>"J 921 LIN"</f>
        <v>J 921 LIN</v>
      </c>
      <c r="C48" t="s">
        <v>3541</v>
      </c>
      <c r="D48" t="s">
        <v>3542</v>
      </c>
      <c r="E48">
        <v>5204886</v>
      </c>
      <c r="F48" s="3" t="str">
        <f>"2019-02-08  - Due: 1-12-2019. Notified: 1-19-2019, 1-26-2019, 2-4-2019, 3-19-2019"</f>
        <v>2019-02-08  - Due: 1-12-2019. Notified: 1-19-2019, 1-26-2019, 2-4-2019, 3-19-2019</v>
      </c>
      <c r="G48" s="3" t="str">
        <f>"Lincoln shot: a president's life remembered"</f>
        <v>Lincoln shot: a president's life remembered</v>
      </c>
      <c r="H48" t="str">
        <f>"Denenberg, Barry"</f>
        <v>Denenberg, Barry</v>
      </c>
      <c r="I48">
        <v>55</v>
      </c>
      <c r="J48" s="2">
        <v>43463</v>
      </c>
      <c r="K48" s="1">
        <v>30</v>
      </c>
    </row>
    <row r="49" spans="1:11" ht="16" x14ac:dyDescent="0.2">
      <c r="A49">
        <v>134164</v>
      </c>
      <c r="B49" t="str">
        <f>"YA MALLE"</f>
        <v>YA MALLE</v>
      </c>
      <c r="C49" t="s">
        <v>3541</v>
      </c>
      <c r="D49" t="s">
        <v>3542</v>
      </c>
      <c r="E49">
        <v>5170985</v>
      </c>
      <c r="F49" s="3" t="str">
        <f>"2019-08-27  - Due: 8-1-2019. Notified: 8-9-2019, 8-15-2019, 8-23-2019, 10-29-2019"</f>
        <v>2019-08-27  - Due: 8-1-2019. Notified: 8-9-2019, 8-15-2019, 8-23-2019, 10-29-2019</v>
      </c>
      <c r="G49" s="3" t="str">
        <f>"The resistance"</f>
        <v>The resistance</v>
      </c>
      <c r="H49" t="str">
        <f>"Malley, Gemma."</f>
        <v>Malley, Gemma.</v>
      </c>
      <c r="I49">
        <v>27</v>
      </c>
      <c r="J49" s="2">
        <v>43664</v>
      </c>
      <c r="K49" s="1">
        <v>22</v>
      </c>
    </row>
    <row r="50" spans="1:11" ht="16" x14ac:dyDescent="0.2">
      <c r="A50">
        <v>135539</v>
      </c>
      <c r="B50" t="str">
        <f>"YA SHUST"</f>
        <v>YA SHUST</v>
      </c>
      <c r="C50" t="s">
        <v>3541</v>
      </c>
      <c r="D50" t="s">
        <v>3542</v>
      </c>
      <c r="E50" t="s">
        <v>3544</v>
      </c>
      <c r="F50" s="3" t="str">
        <f>"2019-09-13  - Inventory - "</f>
        <v xml:space="preserve">2019-09-13  - Inventory - </v>
      </c>
      <c r="G50" s="3" t="str">
        <f>"The shadow club"</f>
        <v>The shadow club</v>
      </c>
      <c r="H50" t="str">
        <f>"Shusterman, Neal"</f>
        <v>Shusterman, Neal</v>
      </c>
      <c r="I50">
        <v>11</v>
      </c>
      <c r="J50" s="2">
        <v>43526</v>
      </c>
      <c r="K50" s="1">
        <v>11</v>
      </c>
    </row>
    <row r="51" spans="1:11" ht="16" x14ac:dyDescent="0.2">
      <c r="A51">
        <v>135542</v>
      </c>
      <c r="B51" t="str">
        <f>"YA SORRE"</f>
        <v>YA SORRE</v>
      </c>
      <c r="C51" t="s">
        <v>3541</v>
      </c>
      <c r="D51" t="s">
        <v>3542</v>
      </c>
      <c r="E51">
        <v>5081206</v>
      </c>
      <c r="F51" s="3" t="str">
        <f>"2020-01-24  - Due: 12-27-2019. Notified: 1-3-2020, 1-10-2020, 1-17-2020"</f>
        <v>2020-01-24  - Due: 12-27-2019. Notified: 1-3-2020, 1-10-2020, 1-17-2020</v>
      </c>
      <c r="G51" s="3" t="str">
        <f>"Fake ID"</f>
        <v>Fake ID</v>
      </c>
      <c r="H51" t="str">
        <f>"Sorrells, Walter"</f>
        <v>Sorrells, Walter</v>
      </c>
      <c r="I51">
        <v>14</v>
      </c>
      <c r="J51" s="2">
        <v>43812</v>
      </c>
      <c r="K51" s="1">
        <v>12</v>
      </c>
    </row>
    <row r="52" spans="1:11" ht="16" x14ac:dyDescent="0.2">
      <c r="A52">
        <v>135856</v>
      </c>
      <c r="B52" t="str">
        <f>"KIT J PARIS"</f>
        <v>KIT J PARIS</v>
      </c>
      <c r="C52" t="s">
        <v>3545</v>
      </c>
      <c r="D52" t="str">
        <f>"Tech Serv"</f>
        <v>Tech Serv</v>
      </c>
      <c r="E52" t="s">
        <v>3544</v>
      </c>
      <c r="F52" s="3" t="str">
        <f>"2020-01-28  - rm - Check In - WB - Part of red bag kit and missing catalog label"</f>
        <v>2020-01-28  - rm - Check In - WB - Part of red bag kit and missing catalog label</v>
      </c>
      <c r="G52" s="3" t="str">
        <f>"Amelia Bedelia and the surprise shower"</f>
        <v>Amelia Bedelia and the surprise shower</v>
      </c>
      <c r="H52" t="str">
        <f>"Parish, Peggy"</f>
        <v>Parish, Peggy</v>
      </c>
      <c r="I52">
        <v>54</v>
      </c>
      <c r="J52" s="2">
        <v>43782</v>
      </c>
      <c r="K52" s="1">
        <v>26</v>
      </c>
    </row>
    <row r="53" spans="1:11" ht="16" x14ac:dyDescent="0.2">
      <c r="A53">
        <v>135866</v>
      </c>
      <c r="B53" t="str">
        <f>"KIT J FREEM"</f>
        <v>KIT J FREEM</v>
      </c>
      <c r="C53" t="s">
        <v>3541</v>
      </c>
      <c r="D53" t="s">
        <v>3542</v>
      </c>
      <c r="E53" t="s">
        <v>3544</v>
      </c>
      <c r="F53" s="3" t="str">
        <f>"2019-11-15  - Inventory - "</f>
        <v xml:space="preserve">2019-11-15  - Inventory - </v>
      </c>
      <c r="G53" s="3" t="s">
        <v>3554</v>
      </c>
      <c r="H53" t="str">
        <f>"Freeman, Don (1908-1978.)"</f>
        <v>Freeman, Don (1908-1978.)</v>
      </c>
      <c r="I53">
        <v>48</v>
      </c>
      <c r="J53" s="2">
        <v>43683</v>
      </c>
      <c r="K53" s="1">
        <v>26</v>
      </c>
    </row>
    <row r="54" spans="1:11" ht="16" x14ac:dyDescent="0.2">
      <c r="A54">
        <v>137209</v>
      </c>
      <c r="B54" t="str">
        <f>"E LUEBS"</f>
        <v>E LUEBS</v>
      </c>
      <c r="C54" t="s">
        <v>3541</v>
      </c>
      <c r="D54" t="s">
        <v>3542</v>
      </c>
      <c r="E54">
        <v>5151102</v>
      </c>
      <c r="F54" s="3" t="str">
        <f>"2019-12-29  - Due: 11-30-2019. Notified: 12-7-2019, 12-14-2019, 12-23-2019"</f>
        <v>2019-12-29  - Due: 11-30-2019. Notified: 12-7-2019, 12-14-2019, 12-23-2019</v>
      </c>
      <c r="G54" s="3" t="str">
        <f>"Please pick me up, Mama!"</f>
        <v>Please pick me up, Mama!</v>
      </c>
      <c r="H54" t="str">
        <f>"Luebs, Robin,"</f>
        <v>Luebs, Robin,</v>
      </c>
      <c r="I54">
        <v>49</v>
      </c>
      <c r="J54" s="2">
        <v>43739</v>
      </c>
      <c r="K54" s="1">
        <v>21</v>
      </c>
    </row>
    <row r="55" spans="1:11" ht="16" x14ac:dyDescent="0.2">
      <c r="A55">
        <v>138778</v>
      </c>
      <c r="B55" t="str">
        <f>"E HOPGO"</f>
        <v>E HOPGO</v>
      </c>
      <c r="C55" t="s">
        <v>3541</v>
      </c>
      <c r="D55" t="s">
        <v>3542</v>
      </c>
      <c r="E55">
        <v>5151179</v>
      </c>
      <c r="F55" s="3" t="str">
        <f>"2019-12-29  - Due: 11-30-2019. Notified: 12-7-2019, 12-14-2019, 12-23-2019"</f>
        <v>2019-12-29  - Due: 11-30-2019. Notified: 12-7-2019, 12-14-2019, 12-23-2019</v>
      </c>
      <c r="G55" s="3" t="str">
        <f>"Wow! said the owl"</f>
        <v>Wow! said the owl</v>
      </c>
      <c r="H55" t="str">
        <f>"Hopgood, Tim."</f>
        <v>Hopgood, Tim.</v>
      </c>
      <c r="I55">
        <v>73</v>
      </c>
      <c r="J55" s="2">
        <v>43739</v>
      </c>
      <c r="K55" s="1">
        <v>20</v>
      </c>
    </row>
    <row r="56" spans="1:11" ht="16" x14ac:dyDescent="0.2">
      <c r="A56">
        <v>139879</v>
      </c>
      <c r="B56" t="str">
        <f>"J BARAT"</f>
        <v>J BARAT</v>
      </c>
      <c r="C56" t="s">
        <v>3541</v>
      </c>
      <c r="D56" t="s">
        <v>3542</v>
      </c>
      <c r="E56" t="s">
        <v>3544</v>
      </c>
      <c r="F56" s="3" t="str">
        <f>"2019-12-04  - kt - searched 3 times at WB"</f>
        <v>2019-12-04  - kt - searched 3 times at WB</v>
      </c>
      <c r="G56" s="3" t="str">
        <f>"Jackie's jokes"</f>
        <v>Jackie's jokes</v>
      </c>
      <c r="H56" t="str">
        <f>"Baratz-Logsted, Lauren"</f>
        <v>Baratz-Logsted, Lauren</v>
      </c>
      <c r="I56">
        <v>19</v>
      </c>
      <c r="J56" s="2">
        <v>42522</v>
      </c>
      <c r="K56" s="1">
        <v>10</v>
      </c>
    </row>
    <row r="57" spans="1:11" ht="16" x14ac:dyDescent="0.2">
      <c r="A57">
        <v>139888</v>
      </c>
      <c r="B57" t="str">
        <f>"E ROTH"</f>
        <v>E ROTH</v>
      </c>
      <c r="C57" t="s">
        <v>3545</v>
      </c>
      <c r="D57" t="str">
        <f>"Tech Serv"</f>
        <v>Tech Serv</v>
      </c>
      <c r="E57" t="s">
        <v>3544</v>
      </c>
      <c r="F57" s="3" t="str">
        <f>"2020-01-14  - ms - Check In - WB - pages separating from spine"</f>
        <v>2020-01-14  - ms - Check In - WB - pages separating from spine</v>
      </c>
      <c r="G57" s="3" t="str">
        <f>"All aboard to work--choo-choo!"</f>
        <v>All aboard to work--choo-choo!</v>
      </c>
      <c r="H57" t="str">
        <f>"Roth, Carol"</f>
        <v>Roth, Carol</v>
      </c>
      <c r="I57">
        <v>78</v>
      </c>
      <c r="J57" s="2">
        <v>43832</v>
      </c>
      <c r="K57" s="1">
        <v>22</v>
      </c>
    </row>
    <row r="58" spans="1:11" ht="16" x14ac:dyDescent="0.2">
      <c r="A58">
        <v>141041</v>
      </c>
      <c r="B58" t="str">
        <f>"J HORSE"</f>
        <v>J HORSE</v>
      </c>
      <c r="C58" t="s">
        <v>3541</v>
      </c>
      <c r="D58" t="s">
        <v>3542</v>
      </c>
      <c r="E58">
        <v>5136410</v>
      </c>
      <c r="F58" s="3" t="str">
        <f>"2019-11-14  - Due: 10-19-2019. Notified: 10-26-2019, 11-2-2019, 11-11-2019, 12-31-2019"</f>
        <v>2019-11-14  - Due: 10-19-2019. Notified: 10-26-2019, 11-2-2019, 11-11-2019, 12-31-2019</v>
      </c>
      <c r="G58" s="3" t="s">
        <v>3555</v>
      </c>
      <c r="H58" t="str">
        <f>"Hapka, Cathy"</f>
        <v>Hapka, Cathy</v>
      </c>
      <c r="I58">
        <v>38</v>
      </c>
      <c r="J58" s="2">
        <v>43743</v>
      </c>
      <c r="K58" s="1">
        <v>11</v>
      </c>
    </row>
    <row r="59" spans="1:11" ht="16" x14ac:dyDescent="0.2">
      <c r="A59">
        <v>141494</v>
      </c>
      <c r="B59" t="str">
        <f>"E WILLE"</f>
        <v>E WILLE</v>
      </c>
      <c r="C59" t="s">
        <v>3545</v>
      </c>
      <c r="D59" t="str">
        <f>"Tech Serv"</f>
        <v>Tech Serv</v>
      </c>
      <c r="E59" t="s">
        <v>3544</v>
      </c>
      <c r="F59" s="3" t="str">
        <f>"2019-06-11  - JW - Check In - WB - Loose pages/spine."</f>
        <v>2019-06-11  - JW - Check In - WB - Loose pages/spine.</v>
      </c>
      <c r="G59" s="3" t="str">
        <f>"Let's say hi to friends who fly!"</f>
        <v>Let's say hi to friends who fly!</v>
      </c>
      <c r="H59" t="str">
        <f>"Willems, Mo"</f>
        <v>Willems, Mo</v>
      </c>
      <c r="I59">
        <v>110</v>
      </c>
      <c r="J59" s="2">
        <v>43592</v>
      </c>
      <c r="K59" s="1">
        <v>16</v>
      </c>
    </row>
    <row r="60" spans="1:11" ht="16" x14ac:dyDescent="0.2">
      <c r="A60">
        <v>142614</v>
      </c>
      <c r="B60" t="str">
        <f>"E HARRI"</f>
        <v>E HARRI</v>
      </c>
      <c r="C60" t="s">
        <v>3545</v>
      </c>
      <c r="D60" t="str">
        <f>"Tech Serv"</f>
        <v>Tech Serv</v>
      </c>
      <c r="E60" t="s">
        <v>3544</v>
      </c>
      <c r="F60" s="3" t="str">
        <f>"2020-01-29  - mtc - Check In - WB - Pages are coming out"</f>
        <v>2020-01-29  - mtc - Check In - WB - Pages are coming out</v>
      </c>
      <c r="G60" s="3" t="str">
        <f>"Ballroom bonanza: a hidden pictures ABC book"</f>
        <v>Ballroom bonanza: a hidden pictures ABC book</v>
      </c>
      <c r="H60" t="str">
        <f>"Harris, Stephen, (1959-)"</f>
        <v>Harris, Stephen, (1959-)</v>
      </c>
      <c r="I60">
        <v>28</v>
      </c>
      <c r="J60" s="2">
        <v>43417</v>
      </c>
      <c r="K60" s="1">
        <v>22</v>
      </c>
    </row>
    <row r="61" spans="1:11" ht="16" x14ac:dyDescent="0.2">
      <c r="A61">
        <v>142987</v>
      </c>
      <c r="B61" t="str">
        <f>"J BARAT"</f>
        <v>J BARAT</v>
      </c>
      <c r="C61" t="s">
        <v>3541</v>
      </c>
      <c r="D61" t="s">
        <v>3542</v>
      </c>
      <c r="E61" t="s">
        <v>3544</v>
      </c>
      <c r="F61" s="3" t="str">
        <f>"2019-12-04  - kt - searched 3 times at WB"</f>
        <v>2019-12-04  - kt - searched 3 times at WB</v>
      </c>
      <c r="G61" s="3" t="str">
        <f>"Marcia's madness"</f>
        <v>Marcia's madness</v>
      </c>
      <c r="H61" t="str">
        <f>"Baratz-Logsted, Lauren"</f>
        <v>Baratz-Logsted, Lauren</v>
      </c>
      <c r="I61">
        <v>18</v>
      </c>
      <c r="J61" s="2">
        <v>42537</v>
      </c>
      <c r="K61" s="1">
        <v>10</v>
      </c>
    </row>
    <row r="62" spans="1:11" ht="16" x14ac:dyDescent="0.2">
      <c r="A62">
        <v>143558</v>
      </c>
      <c r="B62" t="str">
        <f>"E OCONN"</f>
        <v>E OCONN</v>
      </c>
      <c r="C62" t="s">
        <v>3541</v>
      </c>
      <c r="D62" t="s">
        <v>3542</v>
      </c>
      <c r="E62" t="s">
        <v>3544</v>
      </c>
      <c r="F62" s="3" t="str">
        <f>"2019-06-14  - Inventory - "</f>
        <v xml:space="preserve">2019-06-14  - Inventory - </v>
      </c>
      <c r="G62" s="3" t="str">
        <f>"Fancy Nancy: ooh la la it's beauty day!"</f>
        <v>Fancy Nancy: ooh la la it's beauty day!</v>
      </c>
      <c r="H62" t="str">
        <f>"O'Connor, Jane"</f>
        <v>O'Connor, Jane</v>
      </c>
      <c r="I62">
        <v>119</v>
      </c>
      <c r="J62" s="2">
        <v>43410</v>
      </c>
      <c r="K62" s="1">
        <v>18</v>
      </c>
    </row>
    <row r="63" spans="1:11" ht="16" x14ac:dyDescent="0.2">
      <c r="A63">
        <v>144204</v>
      </c>
      <c r="B63" t="str">
        <f>"J 394.2 DAY BAR"</f>
        <v>J 394.2 DAY BAR</v>
      </c>
      <c r="C63" t="s">
        <v>3541</v>
      </c>
      <c r="D63" t="s">
        <v>3542</v>
      </c>
      <c r="E63">
        <v>5151071</v>
      </c>
      <c r="F63" s="3" t="str">
        <f>"2019-12-29  - Due: 11-30-2019. Notified: 12-7-2019, 12-14-2019, 12-23-2019"</f>
        <v>2019-12-29  - Due: 11-30-2019. Notified: 12-7-2019, 12-14-2019, 12-23-2019</v>
      </c>
      <c r="G63" s="3" t="str">
        <f>"The Day of the Dead = El D�a de los Muertos"</f>
        <v>The Day of the Dead = El D�a de los Muertos</v>
      </c>
      <c r="H63" t="str">
        <f>"Barner, Bob"</f>
        <v>Barner, Bob</v>
      </c>
      <c r="I63">
        <v>37</v>
      </c>
      <c r="J63" s="2">
        <v>43738</v>
      </c>
      <c r="K63" s="1">
        <v>22</v>
      </c>
    </row>
    <row r="64" spans="1:11" ht="16" x14ac:dyDescent="0.2">
      <c r="A64">
        <v>145868</v>
      </c>
      <c r="B64" t="str">
        <f>"J GN RIORD"</f>
        <v>J GN RIORD</v>
      </c>
      <c r="C64" t="s">
        <v>3541</v>
      </c>
      <c r="D64" t="s">
        <v>3542</v>
      </c>
      <c r="E64">
        <v>5142515</v>
      </c>
      <c r="F64" s="3" t="str">
        <f>"2019-09-17  - Due: 8-20-2019. Notified: 8-27-2019, 9-3-2019, 9-11-2019, 10-29-2019"</f>
        <v>2019-09-17  - Due: 8-20-2019. Notified: 8-27-2019, 9-3-2019, 9-11-2019, 10-29-2019</v>
      </c>
      <c r="G64" s="3" t="str">
        <f>"The lightning thief: the graphic novel"</f>
        <v>The lightning thief: the graphic novel</v>
      </c>
      <c r="H64" t="str">
        <f>"Venditti, Robert."</f>
        <v>Venditti, Robert.</v>
      </c>
      <c r="I64">
        <v>118</v>
      </c>
      <c r="J64" s="2">
        <v>43672</v>
      </c>
      <c r="K64" s="1">
        <v>25</v>
      </c>
    </row>
    <row r="65" spans="1:11" ht="32" x14ac:dyDescent="0.2">
      <c r="A65">
        <v>146711</v>
      </c>
      <c r="B65" t="str">
        <f>"J WELLS"</f>
        <v>J WELLS</v>
      </c>
      <c r="C65" t="s">
        <v>3541</v>
      </c>
      <c r="D65" t="s">
        <v>3542</v>
      </c>
      <c r="E65">
        <v>5124488</v>
      </c>
      <c r="F65" s="3" t="str">
        <f>"2019-10-06  - cjb - WB - paid    8-9-2019  - Due: 7-14-2019. Notified: 7-21-2019, 7-28-2019, 8-5-2019, 9-24-2019"</f>
        <v>2019-10-06  - cjb - WB - paid    8-9-2019  - Due: 7-14-2019. Notified: 7-21-2019, 7-28-2019, 8-5-2019, 9-24-2019</v>
      </c>
      <c r="G65" s="3" t="str">
        <f>"The secret crush"</f>
        <v>The secret crush</v>
      </c>
      <c r="H65" t="str">
        <f>"Wells, Tina."</f>
        <v>Wells, Tina.</v>
      </c>
      <c r="I65">
        <v>67</v>
      </c>
      <c r="J65" s="2">
        <v>43646</v>
      </c>
      <c r="K65" s="1">
        <v>16</v>
      </c>
    </row>
    <row r="66" spans="1:11" ht="32" x14ac:dyDescent="0.2">
      <c r="A66">
        <v>148673</v>
      </c>
      <c r="B66" t="str">
        <f>"B KOHUT"</f>
        <v>B KOHUT</v>
      </c>
      <c r="C66" t="s">
        <v>3545</v>
      </c>
      <c r="D66" t="s">
        <v>3542</v>
      </c>
      <c r="E66">
        <v>5163083</v>
      </c>
      <c r="F66" s="3" t="str">
        <f>"2019-03-21  - mew - WB - member paid $9 on 3/21    3-14-2019  - Tess - WB - Book has water damage.    3-14-2019  - Due: 3-25-2019."</f>
        <v>2019-03-21  - mew - WB - member paid $9 on 3/21    3-14-2019  - Tess - WB - Book has water damage.    3-14-2019  - Due: 3-25-2019.</v>
      </c>
      <c r="G66" s="3" t="str">
        <f>"Ducks go vroom"</f>
        <v>Ducks go vroom</v>
      </c>
      <c r="H66" t="str">
        <f>"Kohuth, Jane."</f>
        <v>Kohuth, Jane.</v>
      </c>
      <c r="I66">
        <v>58</v>
      </c>
      <c r="J66" s="2">
        <v>43535</v>
      </c>
      <c r="K66" s="1">
        <v>9</v>
      </c>
    </row>
    <row r="67" spans="1:11" ht="32" x14ac:dyDescent="0.2">
      <c r="A67">
        <v>149344</v>
      </c>
      <c r="B67" t="str">
        <f>"E OCONN"</f>
        <v>E OCONN</v>
      </c>
      <c r="C67" t="s">
        <v>3541</v>
      </c>
      <c r="D67" t="s">
        <v>3542</v>
      </c>
      <c r="E67">
        <v>5212049</v>
      </c>
      <c r="F67" s="3" t="str">
        <f>"2019-12-04  - mm - WB - Member paid $18 for the missing book #149344.    12-1-2019  - Due: 11-2-2019. Notified: 11-9-2019, 11-16-2019, 11-25-2019"</f>
        <v>2019-12-04  - mm - WB - Member paid $18 for the missing book #149344.    12-1-2019  - Due: 11-2-2019. Notified: 11-9-2019, 11-16-2019, 11-25-2019</v>
      </c>
      <c r="G67" s="3" t="str">
        <f>"Aspiring artist"</f>
        <v>Aspiring artist</v>
      </c>
      <c r="H67" t="str">
        <f>"O'Connor, Jane"</f>
        <v>O'Connor, Jane</v>
      </c>
      <c r="I67">
        <v>121</v>
      </c>
      <c r="J67" s="2">
        <v>43656</v>
      </c>
      <c r="K67" s="1">
        <v>18</v>
      </c>
    </row>
    <row r="68" spans="1:11" ht="16" x14ac:dyDescent="0.2">
      <c r="A68">
        <v>151542</v>
      </c>
      <c r="B68" t="str">
        <f>"E WALTD"</f>
        <v>E WALTD</v>
      </c>
      <c r="C68" t="s">
        <v>3545</v>
      </c>
      <c r="D68" t="str">
        <f>"Tech Serv"</f>
        <v>Tech Serv</v>
      </c>
      <c r="E68" t="s">
        <v>3544</v>
      </c>
      <c r="F68" s="3" t="str">
        <f>"2020-02-01  - kl - Check In - WB - broken spine"</f>
        <v>2020-02-01  - kl - Check In - WB - broken spine</v>
      </c>
      <c r="G68" s="3" t="s">
        <v>3556</v>
      </c>
      <c r="H68" t="str">
        <f>"Ingoglia, Gina"</f>
        <v>Ingoglia, Gina</v>
      </c>
      <c r="I68">
        <v>124</v>
      </c>
      <c r="J68" s="2">
        <v>43837</v>
      </c>
      <c r="K68" s="1">
        <v>20</v>
      </c>
    </row>
    <row r="69" spans="1:11" ht="32" x14ac:dyDescent="0.2">
      <c r="A69">
        <v>153204</v>
      </c>
      <c r="B69" t="str">
        <f>"F BERG"</f>
        <v>F BERG</v>
      </c>
      <c r="C69" t="s">
        <v>3541</v>
      </c>
      <c r="D69" t="s">
        <v>3542</v>
      </c>
      <c r="E69">
        <v>85065</v>
      </c>
      <c r="F69" s="3" t="str">
        <f>"2020-01-18  - PayPal - Paid    12-27-2019  - ss - WB - marking as missing    12-27-2019  - Due: 12-11-2019. Notified: 12-18-2019, 12-27-2019, 1-3-2020"</f>
        <v>2020-01-18  - PayPal - Paid    12-27-2019  - ss - WB - marking as missing    12-27-2019  - Due: 12-11-2019. Notified: 12-18-2019, 12-27-2019, 1-3-2020</v>
      </c>
      <c r="G69" s="3" t="str">
        <f>"Until the real thing comes along: a novel"</f>
        <v>Until the real thing comes along: a novel</v>
      </c>
      <c r="H69" t="str">
        <f>"Berg, Elizabeth (1953-)"</f>
        <v>Berg, Elizabeth (1953-)</v>
      </c>
      <c r="I69">
        <v>16</v>
      </c>
      <c r="J69" s="2">
        <v>43778</v>
      </c>
      <c r="K69" s="1">
        <v>10</v>
      </c>
    </row>
    <row r="70" spans="1:11" ht="16" x14ac:dyDescent="0.2">
      <c r="A70">
        <v>155659</v>
      </c>
      <c r="B70" t="str">
        <f>"J 394.2 HAL SIL"</f>
        <v>J 394.2 HAL SIL</v>
      </c>
      <c r="C70" t="s">
        <v>3541</v>
      </c>
      <c r="D70" t="s">
        <v>3542</v>
      </c>
      <c r="E70" t="s">
        <v>3544</v>
      </c>
      <c r="F70" s="3" t="str">
        <f>"2019-10-07  - cab - on reserve list 3 days"</f>
        <v>2019-10-07  - cab - on reserve list 3 days</v>
      </c>
      <c r="G70" s="3" t="str">
        <f>"Big pumpkin"</f>
        <v>Big pumpkin</v>
      </c>
      <c r="H70" t="str">
        <f>"Silverman, Erica"</f>
        <v>Silverman, Erica</v>
      </c>
      <c r="I70">
        <v>61</v>
      </c>
      <c r="J70" s="2">
        <v>43727</v>
      </c>
      <c r="K70" s="1">
        <v>12</v>
      </c>
    </row>
    <row r="71" spans="1:11" ht="16" x14ac:dyDescent="0.2">
      <c r="A71">
        <v>158849</v>
      </c>
      <c r="B71" t="str">
        <f>"J DADEY"</f>
        <v>J DADEY</v>
      </c>
      <c r="C71" t="s">
        <v>3541</v>
      </c>
      <c r="D71" t="s">
        <v>3542</v>
      </c>
      <c r="E71" t="s">
        <v>3544</v>
      </c>
      <c r="F71" s="3" t="str">
        <f>"2019-09-13  - Inventory - "</f>
        <v xml:space="preserve">2019-09-13  - Inventory - </v>
      </c>
      <c r="G71" s="3" t="str">
        <f>"Unicorns don't give sleigh rides"</f>
        <v>Unicorns don't give sleigh rides</v>
      </c>
      <c r="H71" t="str">
        <f>"Dadey, Debbie"</f>
        <v>Dadey, Debbie</v>
      </c>
      <c r="I71">
        <v>87</v>
      </c>
      <c r="J71" s="2">
        <v>42945</v>
      </c>
      <c r="K71" s="1">
        <v>9</v>
      </c>
    </row>
    <row r="72" spans="1:11" ht="16" x14ac:dyDescent="0.2">
      <c r="A72">
        <v>165895</v>
      </c>
      <c r="B72" t="str">
        <f>"577 FIT"</f>
        <v>577 FIT</v>
      </c>
      <c r="C72" t="s">
        <v>3541</v>
      </c>
      <c r="D72" t="s">
        <v>3542</v>
      </c>
      <c r="E72">
        <v>5139486</v>
      </c>
      <c r="F72" s="3" t="str">
        <f>"2019-05-10  - Due: 4-13-2019. Notified: 4-20-2019, 4-27-2019, 5-6-2019, 6-18-2019"</f>
        <v>2019-05-10  - Due: 4-13-2019. Notified: 4-20-2019, 4-27-2019, 5-6-2019, 6-18-2019</v>
      </c>
      <c r="G72" s="3" t="str">
        <f>"Wildlife of the Galapagos"</f>
        <v>Wildlife of the Galapagos</v>
      </c>
      <c r="H72" t="str">
        <f>"Fitter, Julian"</f>
        <v>Fitter, Julian</v>
      </c>
      <c r="I72">
        <v>26</v>
      </c>
      <c r="J72" s="2">
        <v>43533</v>
      </c>
      <c r="K72" s="1">
        <v>20</v>
      </c>
    </row>
    <row r="73" spans="1:11" ht="16" x14ac:dyDescent="0.2">
      <c r="A73">
        <v>168455</v>
      </c>
      <c r="B73" t="str">
        <f>"E BROUI"</f>
        <v>E BROUI</v>
      </c>
      <c r="C73" t="s">
        <v>3541</v>
      </c>
      <c r="D73" t="s">
        <v>3542</v>
      </c>
      <c r="E73" t="s">
        <v>3544</v>
      </c>
      <c r="F73" s="3" t="str">
        <f>"2019-06-14  - Inventory - "</f>
        <v xml:space="preserve">2019-06-14  - Inventory - </v>
      </c>
      <c r="G73" s="3" t="str">
        <f>"Three cats"</f>
        <v>Three cats</v>
      </c>
      <c r="H73" t="str">
        <f>"Brouillard, Anne"</f>
        <v>Brouillard, Anne</v>
      </c>
      <c r="I73">
        <v>100</v>
      </c>
      <c r="J73" s="2">
        <v>43594</v>
      </c>
      <c r="K73" s="1">
        <v>19</v>
      </c>
    </row>
    <row r="74" spans="1:11" ht="16" x14ac:dyDescent="0.2">
      <c r="A74">
        <v>168546</v>
      </c>
      <c r="B74" t="str">
        <f>"B MASLE"</f>
        <v>B MASLE</v>
      </c>
      <c r="C74" t="s">
        <v>3541</v>
      </c>
      <c r="D74" t="s">
        <v>3542</v>
      </c>
      <c r="E74" t="s">
        <v>3544</v>
      </c>
      <c r="F74" s="3" t="str">
        <f>"2019-07-12  - Inventory - "</f>
        <v xml:space="preserve">2019-07-12  - Inventory - </v>
      </c>
      <c r="G74" s="3" t="str">
        <f>"Dot and Mit"</f>
        <v>Dot and Mit</v>
      </c>
      <c r="H74" t="str">
        <f>"Maslen, Bobby Lynn"</f>
        <v>Maslen, Bobby Lynn</v>
      </c>
      <c r="I74">
        <v>121</v>
      </c>
      <c r="J74" s="2">
        <v>42695</v>
      </c>
      <c r="K74" s="1">
        <v>7</v>
      </c>
    </row>
    <row r="75" spans="1:11" ht="16" x14ac:dyDescent="0.2">
      <c r="A75">
        <v>171818</v>
      </c>
      <c r="B75" t="str">
        <f>"J CLEAR"</f>
        <v>J CLEAR</v>
      </c>
      <c r="C75" t="s">
        <v>3541</v>
      </c>
      <c r="D75" t="s">
        <v>3542</v>
      </c>
      <c r="E75" t="s">
        <v>3544</v>
      </c>
      <c r="F75" s="3" t="str">
        <f>"2019-09-13  - Inventory - "</f>
        <v xml:space="preserve">2019-09-13  - Inventory - </v>
      </c>
      <c r="G75" s="3" t="str">
        <f>"Emily's runaway imagination"</f>
        <v>Emily's runaway imagination</v>
      </c>
      <c r="H75" t="str">
        <f>"Cleary, Beverly"</f>
        <v>Cleary, Beverly</v>
      </c>
      <c r="I75">
        <v>33</v>
      </c>
      <c r="J75" s="2">
        <v>42765</v>
      </c>
      <c r="K75" s="1">
        <v>10</v>
      </c>
    </row>
    <row r="76" spans="1:11" ht="16" x14ac:dyDescent="0.2">
      <c r="A76">
        <v>176854</v>
      </c>
      <c r="B76" t="str">
        <f>"YA GN ONEPI"</f>
        <v>YA GN ONEPI</v>
      </c>
      <c r="C76" t="s">
        <v>3545</v>
      </c>
      <c r="D76" t="str">
        <f>"Tech Serv"</f>
        <v>Tech Serv</v>
      </c>
      <c r="E76" t="s">
        <v>3544</v>
      </c>
      <c r="F76" s="3" t="str">
        <f>"2019-04-30  - TL - Check In - WB - Broken spine."</f>
        <v>2019-04-30  - TL - Check In - WB - Broken spine.</v>
      </c>
      <c r="G76" s="3" t="str">
        <f>"One piece, v.2"</f>
        <v>One piece, v.2</v>
      </c>
      <c r="H76" t="str">
        <f>"Oda, Eiichiro"</f>
        <v>Oda, Eiichiro</v>
      </c>
      <c r="I76">
        <v>122</v>
      </c>
      <c r="J76" s="2">
        <v>43556</v>
      </c>
      <c r="K76" s="1">
        <v>13</v>
      </c>
    </row>
    <row r="77" spans="1:11" ht="16" x14ac:dyDescent="0.2">
      <c r="A77">
        <v>178623</v>
      </c>
      <c r="B77" t="str">
        <f>"J DADEY"</f>
        <v>J DADEY</v>
      </c>
      <c r="C77" t="s">
        <v>3541</v>
      </c>
      <c r="D77" t="s">
        <v>3542</v>
      </c>
      <c r="E77" t="s">
        <v>3544</v>
      </c>
      <c r="F77" s="3" t="str">
        <f>"2019-09-13  - Inventory - "</f>
        <v xml:space="preserve">2019-09-13  - Inventory - </v>
      </c>
      <c r="G77" s="3" t="str">
        <f>"Sea serpents don't juggle water balloons"</f>
        <v>Sea serpents don't juggle water balloons</v>
      </c>
      <c r="H77" t="str">
        <f>"Dadey, Debbie"</f>
        <v>Dadey, Debbie</v>
      </c>
      <c r="I77">
        <v>50</v>
      </c>
      <c r="J77" s="2">
        <v>42935</v>
      </c>
      <c r="K77" s="1">
        <v>9</v>
      </c>
    </row>
    <row r="78" spans="1:11" ht="32" x14ac:dyDescent="0.2">
      <c r="A78">
        <v>181372</v>
      </c>
      <c r="B78" t="str">
        <f>"AUDIO J PARIS"</f>
        <v>AUDIO J PARIS</v>
      </c>
      <c r="C78" t="s">
        <v>3541</v>
      </c>
      <c r="D78" t="s">
        <v>3542</v>
      </c>
      <c r="E78">
        <v>5102600</v>
      </c>
      <c r="F78" s="3" t="str">
        <f>"2019-02-02  - Tess - WB - Patron says they did not check out this item.    2-2-2019  - Due: 1-24-2019. Notified: 1-31-2019"</f>
        <v>2019-02-02  - Tess - WB - Patron says they did not check out this item.    2-2-2019  - Due: 1-24-2019. Notified: 1-31-2019</v>
      </c>
      <c r="G78" s="3" t="str">
        <f>"Amelia Bedelia audio collection"</f>
        <v>Amelia Bedelia audio collection</v>
      </c>
      <c r="H78" t="str">
        <f>"Parish, Peggy"</f>
        <v>Parish, Peggy</v>
      </c>
      <c r="I78">
        <v>78</v>
      </c>
      <c r="J78" s="2">
        <v>43475</v>
      </c>
      <c r="K78" s="1">
        <v>19</v>
      </c>
    </row>
    <row r="79" spans="1:11" ht="32" x14ac:dyDescent="0.2">
      <c r="A79">
        <v>181878</v>
      </c>
      <c r="B79" t="str">
        <f>"VIDEO DVD LITTL v.3a"</f>
        <v>VIDEO DVD LITTL v.3a</v>
      </c>
      <c r="C79" t="s">
        <v>3545</v>
      </c>
      <c r="D79" t="str">
        <f>"Tech Serv"</f>
        <v>Tech Serv</v>
      </c>
      <c r="E79" t="s">
        <v>3544</v>
      </c>
      <c r="F79" s="3" t="str">
        <f>"2020-01-31  - BD - Check In - WB - center ring of first disc starting to break; can we do anything about that?"</f>
        <v>2020-01-31  - BD - Check In - WB - center ring of first disc starting to break; can we do anything about that?</v>
      </c>
      <c r="G79" s="3" t="str">
        <f>"Little house on the prairie, v.3a"</f>
        <v>Little house on the prairie, v.3a</v>
      </c>
      <c r="I79">
        <v>130</v>
      </c>
      <c r="J79" s="2">
        <v>43819</v>
      </c>
      <c r="K79" s="1">
        <v>30</v>
      </c>
    </row>
    <row r="80" spans="1:11" ht="16" x14ac:dyDescent="0.2">
      <c r="A80">
        <v>183522</v>
      </c>
      <c r="B80" t="str">
        <f>"B MASLE"</f>
        <v>B MASLE</v>
      </c>
      <c r="C80" t="s">
        <v>3541</v>
      </c>
      <c r="D80" t="s">
        <v>3542</v>
      </c>
      <c r="E80" t="s">
        <v>3544</v>
      </c>
      <c r="F80" s="3" t="str">
        <f>"2019-07-12  - Inventory - "</f>
        <v xml:space="preserve">2019-07-12  - Inventory - </v>
      </c>
      <c r="G80" s="3" t="str">
        <f>"Lad and the fat cat"</f>
        <v>Lad and the fat cat</v>
      </c>
      <c r="H80" t="str">
        <f>"Maslen, Bobby Lynn"</f>
        <v>Maslen, Bobby Lynn</v>
      </c>
      <c r="I80">
        <v>38</v>
      </c>
      <c r="J80" s="2">
        <v>42361</v>
      </c>
      <c r="K80" s="1">
        <v>6</v>
      </c>
    </row>
    <row r="81" spans="1:11" ht="16" x14ac:dyDescent="0.2">
      <c r="A81">
        <v>184479</v>
      </c>
      <c r="B81" t="str">
        <f>"E WALTD"</f>
        <v>E WALTD</v>
      </c>
      <c r="C81" t="s">
        <v>3541</v>
      </c>
      <c r="D81" t="s">
        <v>3542</v>
      </c>
      <c r="E81" t="s">
        <v>3544</v>
      </c>
      <c r="F81" s="3" t="str">
        <f>"2019-06-14  - Inventory - "</f>
        <v xml:space="preserve">2019-06-14  - Inventory - </v>
      </c>
      <c r="G81" s="3" t="str">
        <f>"Walt Disney's Pluto the detective"</f>
        <v>Walt Disney's Pluto the detective</v>
      </c>
      <c r="I81">
        <v>165</v>
      </c>
      <c r="J81" s="2">
        <v>43402</v>
      </c>
      <c r="K81" s="1">
        <v>15</v>
      </c>
    </row>
    <row r="82" spans="1:11" ht="16" x14ac:dyDescent="0.2">
      <c r="A82">
        <v>186176</v>
      </c>
      <c r="B82" t="str">
        <f>"J DADEY"</f>
        <v>J DADEY</v>
      </c>
      <c r="C82" t="s">
        <v>3541</v>
      </c>
      <c r="D82" t="s">
        <v>3542</v>
      </c>
      <c r="E82" t="s">
        <v>3544</v>
      </c>
      <c r="F82" s="3" t="str">
        <f>"2019-09-13  - Inventory - "</f>
        <v xml:space="preserve">2019-09-13  - Inventory - </v>
      </c>
      <c r="G82" s="3" t="str">
        <f>"Mermaids don't run track"</f>
        <v>Mermaids don't run track</v>
      </c>
      <c r="H82" t="str">
        <f>"Dadey, Debbie"</f>
        <v>Dadey, Debbie</v>
      </c>
      <c r="I82">
        <v>48</v>
      </c>
      <c r="J82" s="2">
        <v>42922</v>
      </c>
      <c r="K82" s="1">
        <v>9</v>
      </c>
    </row>
    <row r="83" spans="1:11" ht="32" x14ac:dyDescent="0.2">
      <c r="A83">
        <v>186187</v>
      </c>
      <c r="B83" t="str">
        <f>"B MASLE"</f>
        <v>B MASLE</v>
      </c>
      <c r="C83" t="s">
        <v>3541</v>
      </c>
      <c r="D83" t="s">
        <v>3542</v>
      </c>
      <c r="E83">
        <v>5164141</v>
      </c>
      <c r="F83" s="3" t="str">
        <f>"2019-03-15  - ss - WB - member is aware. will look one more time    2-6-2019  - Due: 1-10-2019. Notified: 1-17-2019, 1-24-2019, 2-1-2019, 3-19-2019"</f>
        <v>2019-03-15  - ss - WB - member is aware. will look one more time    2-6-2019  - Due: 1-10-2019. Notified: 1-17-2019, 1-24-2019, 2-1-2019, 3-19-2019</v>
      </c>
      <c r="G83" s="3" t="str">
        <f>"Muff and Ruff"</f>
        <v>Muff and Ruff</v>
      </c>
      <c r="H83" t="str">
        <f>"Maslen, Bobby Lynn"</f>
        <v>Maslen, Bobby Lynn</v>
      </c>
      <c r="I83">
        <v>61</v>
      </c>
      <c r="J83" s="2">
        <v>43438</v>
      </c>
      <c r="K83" s="1">
        <v>6</v>
      </c>
    </row>
    <row r="84" spans="1:11" ht="16" x14ac:dyDescent="0.2">
      <c r="A84">
        <v>186971</v>
      </c>
      <c r="B84" t="str">
        <f>"J DADEY"</f>
        <v>J DADEY</v>
      </c>
      <c r="C84" t="s">
        <v>3541</v>
      </c>
      <c r="D84" t="s">
        <v>3542</v>
      </c>
      <c r="E84" t="s">
        <v>3544</v>
      </c>
      <c r="F84" s="3" t="str">
        <f>"2019-09-13  - Inventory - "</f>
        <v xml:space="preserve">2019-09-13  - Inventory - </v>
      </c>
      <c r="G84" s="3" t="str">
        <f>"Elves don't wear hard hats"</f>
        <v>Elves don't wear hard hats</v>
      </c>
      <c r="H84" t="str">
        <f>"Dadey, Debbie"</f>
        <v>Dadey, Debbie</v>
      </c>
      <c r="I84">
        <v>41</v>
      </c>
      <c r="J84" s="2">
        <v>42949</v>
      </c>
      <c r="K84" s="1">
        <v>9</v>
      </c>
    </row>
    <row r="85" spans="1:11" ht="16" x14ac:dyDescent="0.2">
      <c r="A85">
        <v>188179</v>
      </c>
      <c r="B85" t="str">
        <f>"YA GN NARUT"</f>
        <v>YA GN NARUT</v>
      </c>
      <c r="C85" t="s">
        <v>3541</v>
      </c>
      <c r="D85" t="s">
        <v>3542</v>
      </c>
      <c r="E85">
        <v>5174744</v>
      </c>
      <c r="F85" s="3" t="str">
        <f>"2019-09-17  - Due: 8-20-2019. Notified: 8-27-2019, 9-3-2019, 9-11-2019, 10-29-2019"</f>
        <v>2019-09-17  - Due: 8-20-2019. Notified: 8-27-2019, 9-3-2019, 9-11-2019, 10-29-2019</v>
      </c>
      <c r="G85" s="3" t="str">
        <f>"Naruto, v.6"</f>
        <v>Naruto, v.6</v>
      </c>
      <c r="H85" t="str">
        <f>"Kishimoto, Masashi"</f>
        <v>Kishimoto, Masashi</v>
      </c>
      <c r="I85">
        <v>124</v>
      </c>
      <c r="J85" s="2">
        <v>43683</v>
      </c>
      <c r="K85" s="1">
        <v>13</v>
      </c>
    </row>
    <row r="86" spans="1:11" ht="16" x14ac:dyDescent="0.2">
      <c r="A86">
        <v>188366</v>
      </c>
      <c r="B86" t="str">
        <f>"J KEENE"</f>
        <v>J KEENE</v>
      </c>
      <c r="C86" t="s">
        <v>3541</v>
      </c>
      <c r="D86" t="s">
        <v>3542</v>
      </c>
      <c r="E86" t="s">
        <v>3544</v>
      </c>
      <c r="F86" s="3" t="str">
        <f>"2019-09-13  - Inventory - "</f>
        <v xml:space="preserve">2019-09-13  - Inventory - </v>
      </c>
      <c r="G86" s="3" t="str">
        <f>"The clue of the broken locket"</f>
        <v>The clue of the broken locket</v>
      </c>
      <c r="H86" t="str">
        <f>"Keene, Carolyn"</f>
        <v>Keene, Carolyn</v>
      </c>
      <c r="I86">
        <v>46</v>
      </c>
      <c r="J86" s="2">
        <v>42964</v>
      </c>
      <c r="K86" s="1">
        <v>11</v>
      </c>
    </row>
    <row r="87" spans="1:11" ht="16" x14ac:dyDescent="0.2">
      <c r="A87">
        <v>188547</v>
      </c>
      <c r="B87" t="str">
        <f>"J DADEY"</f>
        <v>J DADEY</v>
      </c>
      <c r="C87" t="s">
        <v>3541</v>
      </c>
      <c r="D87" t="s">
        <v>3542</v>
      </c>
      <c r="E87" t="s">
        <v>3544</v>
      </c>
      <c r="F87" s="3" t="str">
        <f>"2019-09-13  - Inventory - "</f>
        <v xml:space="preserve">2019-09-13  - Inventory - </v>
      </c>
      <c r="G87" s="3" t="str">
        <f>"Cupid doesn't flip hamburgers"</f>
        <v>Cupid doesn't flip hamburgers</v>
      </c>
      <c r="H87" t="str">
        <f>"Dadey, Debbie"</f>
        <v>Dadey, Debbie</v>
      </c>
      <c r="I87">
        <v>31</v>
      </c>
      <c r="J87" s="2">
        <v>42999</v>
      </c>
      <c r="K87" s="1">
        <v>9</v>
      </c>
    </row>
    <row r="88" spans="1:11" ht="16" x14ac:dyDescent="0.2">
      <c r="A88">
        <v>188860</v>
      </c>
      <c r="B88" t="str">
        <f>"J 597.3 BAN"</f>
        <v>J 597.3 BAN</v>
      </c>
      <c r="C88" t="s">
        <v>3541</v>
      </c>
      <c r="D88" t="s">
        <v>3542</v>
      </c>
      <c r="E88" t="s">
        <v>3544</v>
      </c>
      <c r="F88" s="3" t="str">
        <f>"2019-04-05  - Inventory - "</f>
        <v xml:space="preserve">2019-04-05  - Inventory - </v>
      </c>
      <c r="G88" s="3" t="str">
        <f>"Sharks and rays"</f>
        <v>Sharks and rays</v>
      </c>
      <c r="H88" t="str">
        <f>"Banister, Keith Edward"</f>
        <v>Banister, Keith Edward</v>
      </c>
      <c r="I88">
        <v>67</v>
      </c>
      <c r="J88" s="2">
        <v>43287</v>
      </c>
      <c r="K88" s="1">
        <v>12</v>
      </c>
    </row>
    <row r="89" spans="1:11" ht="16" x14ac:dyDescent="0.2">
      <c r="A89">
        <v>189608</v>
      </c>
      <c r="B89" t="str">
        <f>"AUDIO J KIPLI"</f>
        <v>AUDIO J KIPLI</v>
      </c>
      <c r="C89" t="s">
        <v>3541</v>
      </c>
      <c r="D89" t="s">
        <v>3542</v>
      </c>
      <c r="E89" t="s">
        <v>3544</v>
      </c>
      <c r="F89" s="3" t="str">
        <f>"2019-09-06  - Inventory - "</f>
        <v xml:space="preserve">2019-09-06  - Inventory - </v>
      </c>
      <c r="G89" s="3" t="str">
        <f>"Just so stories"</f>
        <v>Just so stories</v>
      </c>
      <c r="H89" t="str">
        <f>"Kipling, Rudyard"</f>
        <v>Kipling, Rudyard</v>
      </c>
      <c r="I89">
        <v>64</v>
      </c>
      <c r="J89" s="2">
        <v>43167</v>
      </c>
      <c r="K89" s="1">
        <v>31</v>
      </c>
    </row>
    <row r="90" spans="1:11" ht="32" x14ac:dyDescent="0.2">
      <c r="A90">
        <v>189801</v>
      </c>
      <c r="B90" t="str">
        <f>"J OSBOR"</f>
        <v>J OSBOR</v>
      </c>
      <c r="C90" t="s">
        <v>3541</v>
      </c>
      <c r="D90" t="s">
        <v>3542</v>
      </c>
      <c r="E90">
        <v>5115253</v>
      </c>
      <c r="F90" s="3" t="s">
        <v>3557</v>
      </c>
      <c r="G90" s="3" t="str">
        <f>"Summer of the sea serpent"</f>
        <v>Summer of the sea serpent</v>
      </c>
      <c r="H90" t="str">
        <f>"Osborne, Mary Pope"</f>
        <v>Osborne, Mary Pope</v>
      </c>
      <c r="I90">
        <v>97</v>
      </c>
      <c r="J90" s="2">
        <v>43696</v>
      </c>
      <c r="K90" s="1">
        <v>17</v>
      </c>
    </row>
    <row r="91" spans="1:11" ht="16" x14ac:dyDescent="0.2">
      <c r="A91">
        <v>190594</v>
      </c>
      <c r="B91" t="str">
        <f>"VIDEO DVD SILKW"</f>
        <v>VIDEO DVD SILKW</v>
      </c>
      <c r="C91" t="s">
        <v>3541</v>
      </c>
      <c r="D91" t="s">
        <v>3542</v>
      </c>
      <c r="E91" t="s">
        <v>3544</v>
      </c>
      <c r="F91" s="3" t="str">
        <f>"2019-09-21  - kl - searched 3 times"</f>
        <v>2019-09-21  - kl - searched 3 times</v>
      </c>
      <c r="G91" s="3" t="s">
        <v>3558</v>
      </c>
      <c r="I91">
        <v>96</v>
      </c>
      <c r="J91" s="2">
        <v>43620</v>
      </c>
      <c r="K91" s="1">
        <v>20</v>
      </c>
    </row>
    <row r="92" spans="1:11" ht="16" x14ac:dyDescent="0.2">
      <c r="A92">
        <v>190595</v>
      </c>
      <c r="B92" t="str">
        <f>"VIDEO DVD TORAT"</f>
        <v>VIDEO DVD TORAT</v>
      </c>
      <c r="C92" t="s">
        <v>3541</v>
      </c>
      <c r="D92" t="s">
        <v>3542</v>
      </c>
      <c r="E92" t="s">
        <v>3544</v>
      </c>
      <c r="F92" s="3" t="str">
        <f>"2020-01-27  - cab - searched 3 times"</f>
        <v>2020-01-27  - cab - searched 3 times</v>
      </c>
      <c r="G92" s="3" t="str">
        <f>"Tora! Tora! Tora!"</f>
        <v>Tora! Tora! Tora!</v>
      </c>
      <c r="I92">
        <v>118</v>
      </c>
      <c r="J92" s="2">
        <v>43765</v>
      </c>
      <c r="K92" s="1">
        <v>20</v>
      </c>
    </row>
    <row r="93" spans="1:11" ht="16" x14ac:dyDescent="0.2">
      <c r="A93">
        <v>194637</v>
      </c>
      <c r="B93" t="str">
        <f>"AUDIO 128 SOL v.2"</f>
        <v>AUDIO 128 SOL v.2</v>
      </c>
      <c r="C93" t="s">
        <v>3541</v>
      </c>
      <c r="D93" t="s">
        <v>3542</v>
      </c>
      <c r="E93" t="s">
        <v>3544</v>
      </c>
      <c r="F93" s="3" t="str">
        <f>"2020-01-10  - Inventory - "</f>
        <v xml:space="preserve">2020-01-10  - Inventory - </v>
      </c>
      <c r="G93" s="3" t="str">
        <f>"The passions, v.2: philosophy and the intelligence of emotions"</f>
        <v>The passions, v.2: philosophy and the intelligence of emotions</v>
      </c>
      <c r="H93" t="str">
        <f>"Solomon, Robert C."</f>
        <v>Solomon, Robert C.</v>
      </c>
      <c r="I93">
        <v>45</v>
      </c>
      <c r="J93" s="2">
        <v>43194</v>
      </c>
      <c r="K93" s="1">
        <v>40</v>
      </c>
    </row>
    <row r="94" spans="1:11" ht="16" x14ac:dyDescent="0.2">
      <c r="A94">
        <v>195316</v>
      </c>
      <c r="B94" t="str">
        <f>"J DIXON"</f>
        <v>J DIXON</v>
      </c>
      <c r="C94" t="s">
        <v>3545</v>
      </c>
      <c r="D94" t="str">
        <f>"Tech Serv"</f>
        <v>Tech Serv</v>
      </c>
      <c r="E94" t="s">
        <v>3544</v>
      </c>
      <c r="F94" s="3" t="str">
        <f>"2020-01-29  - mm - Check In - WB - Damaged spine"</f>
        <v>2020-01-29  - mm - Check In - WB - Damaged spine</v>
      </c>
      <c r="G94" s="3" t="str">
        <f>"The missing chums"</f>
        <v>The missing chums</v>
      </c>
      <c r="H94" t="str">
        <f>"Dixon, Franklin W."</f>
        <v>Dixon, Franklin W.</v>
      </c>
      <c r="I94">
        <v>54</v>
      </c>
      <c r="J94" s="2">
        <v>43812</v>
      </c>
      <c r="K94" s="1">
        <v>11</v>
      </c>
    </row>
    <row r="95" spans="1:11" ht="16" x14ac:dyDescent="0.2">
      <c r="A95">
        <v>197343</v>
      </c>
      <c r="B95" t="str">
        <f>"AUDIO J OSBOR"</f>
        <v>AUDIO J OSBOR</v>
      </c>
      <c r="C95" t="s">
        <v>3545</v>
      </c>
      <c r="D95" t="str">
        <f>"Tech Serv"</f>
        <v>Tech Serv</v>
      </c>
      <c r="E95" t="s">
        <v>3544</v>
      </c>
      <c r="F95" s="3" t="str">
        <f>"2019-07-31  - kmf - Check In - WB - no blue strip indicating J audio."</f>
        <v>2019-07-31  - kmf - Check In - WB - no blue strip indicating J audio.</v>
      </c>
      <c r="G95" s="3" t="str">
        <f>"Magic Tree House Collection: books 25-29"</f>
        <v>Magic Tree House Collection: books 25-29</v>
      </c>
      <c r="H95" t="str">
        <f>"Osborne, Mary Pope"</f>
        <v>Osborne, Mary Pope</v>
      </c>
      <c r="I95">
        <v>122</v>
      </c>
      <c r="J95" s="2">
        <v>43654</v>
      </c>
      <c r="K95" s="1">
        <v>43</v>
      </c>
    </row>
    <row r="96" spans="1:11" ht="16" x14ac:dyDescent="0.2">
      <c r="A96">
        <v>198556</v>
      </c>
      <c r="B96" t="str">
        <f>"J 917.98 STE"</f>
        <v>J 917.98 STE</v>
      </c>
      <c r="C96" t="s">
        <v>3541</v>
      </c>
      <c r="D96" t="s">
        <v>3542</v>
      </c>
      <c r="E96">
        <v>5204665</v>
      </c>
      <c r="F96" s="3" t="str">
        <f>"2019-04-25  - Due: 3-29-2019. Notified: 4-5-2019, 4-12-2019, 4-19-2019, 6-18-2019"</f>
        <v>2019-04-25  - Due: 3-29-2019. Notified: 4-5-2019, 4-12-2019, 4-19-2019, 6-18-2019</v>
      </c>
      <c r="G96" s="3" t="s">
        <v>3559</v>
      </c>
      <c r="H96" t="str">
        <f>"Steffof, Rebecca"</f>
        <v>Steffof, Rebecca</v>
      </c>
      <c r="I96">
        <v>30</v>
      </c>
      <c r="J96" s="2">
        <v>43539</v>
      </c>
      <c r="K96" s="1">
        <v>33</v>
      </c>
    </row>
    <row r="97" spans="1:11" ht="32" x14ac:dyDescent="0.2">
      <c r="A97">
        <v>198813</v>
      </c>
      <c r="B97" t="str">
        <f>"J OSBOR"</f>
        <v>J OSBOR</v>
      </c>
      <c r="C97" t="s">
        <v>3541</v>
      </c>
      <c r="D97" t="s">
        <v>3542</v>
      </c>
      <c r="E97">
        <v>5180352</v>
      </c>
      <c r="F97" s="3" t="str">
        <f>"2019-12-09  - kmf - WB - Patron says he returned item to outside bin 9n 12/3. I removed from their account.    12-9-2019  - Due: 12-23-2019."</f>
        <v>2019-12-09  - kmf - WB - Patron says he returned item to outside bin 9n 12/3. I removed from their account.    12-9-2019  - Due: 12-23-2019.</v>
      </c>
      <c r="G97" s="3" t="str">
        <f>"Haunted castle on Hallows Eve"</f>
        <v>Haunted castle on Hallows Eve</v>
      </c>
      <c r="H97" t="str">
        <f>"Osborne, Mary Pope"</f>
        <v>Osborne, Mary Pope</v>
      </c>
      <c r="I97">
        <v>100</v>
      </c>
      <c r="J97" s="2">
        <v>43779</v>
      </c>
      <c r="K97" s="1">
        <v>17</v>
      </c>
    </row>
    <row r="98" spans="1:11" ht="32" x14ac:dyDescent="0.2">
      <c r="A98">
        <v>199069</v>
      </c>
      <c r="B98" t="str">
        <f>"J 468.3 SPA v.1"</f>
        <v>J 468.3 SPA v.1</v>
      </c>
      <c r="C98" t="s">
        <v>3545</v>
      </c>
      <c r="D98" t="s">
        <v>3542</v>
      </c>
      <c r="E98">
        <v>5216185</v>
      </c>
      <c r="F98" s="3" t="str">
        <f>"2019-09-09  - mtc - WB - DVD got cracked at home. Member will pay for item.    9-9-2019  - Due: 9-13-2019."</f>
        <v>2019-09-09  - mtc - WB - DVD got cracked at home. Member will pay for item.    9-9-2019  - Due: 9-13-2019.</v>
      </c>
      <c r="G98" s="3" t="str">
        <f>"Spanish for kids: beginner level 1, volume 1"</f>
        <v>Spanish for kids: beginner level 1, volume 1</v>
      </c>
      <c r="I98">
        <v>64</v>
      </c>
      <c r="J98" s="2">
        <v>43707</v>
      </c>
      <c r="K98" s="1">
        <v>28</v>
      </c>
    </row>
    <row r="99" spans="1:11" ht="16" x14ac:dyDescent="0.2">
      <c r="A99">
        <v>199655</v>
      </c>
      <c r="B99" t="str">
        <f>"VIDEO DVD MIXED"</f>
        <v>VIDEO DVD MIXED</v>
      </c>
      <c r="C99" t="s">
        <v>3541</v>
      </c>
      <c r="D99" t="s">
        <v>3542</v>
      </c>
      <c r="E99" t="s">
        <v>3544</v>
      </c>
      <c r="F99" s="3" t="str">
        <f>"2020-01-31  - Inventory - "</f>
        <v xml:space="preserve">2020-01-31  - Inventory - </v>
      </c>
      <c r="G99" s="3" t="str">
        <f>"Mixed nuts"</f>
        <v>Mixed nuts</v>
      </c>
      <c r="H99" t="str">
        <f>"Ephron, Nora"</f>
        <v>Ephron, Nora</v>
      </c>
      <c r="I99">
        <v>148</v>
      </c>
      <c r="J99" s="2">
        <v>43812</v>
      </c>
      <c r="K99" s="1">
        <v>15</v>
      </c>
    </row>
    <row r="100" spans="1:11" ht="32" x14ac:dyDescent="0.2">
      <c r="A100">
        <v>200332</v>
      </c>
      <c r="B100" t="str">
        <f>"J TAYLO"</f>
        <v>J TAYLO</v>
      </c>
      <c r="C100" t="s">
        <v>3541</v>
      </c>
      <c r="D100" t="s">
        <v>3542</v>
      </c>
      <c r="E100">
        <v>5171863</v>
      </c>
      <c r="F100" s="3" t="str">
        <f>"2019-12-28  - ss - WB - member says item is missing    12-28-2019  - Due: 12-17-2019. Notified: 12-27-2019"</f>
        <v>2019-12-28  - ss - WB - member says item is missing    12-28-2019  - Due: 12-17-2019. Notified: 12-27-2019</v>
      </c>
      <c r="G100" s="3" t="str">
        <f>"All-of-a-kind family"</f>
        <v>All-of-a-kind family</v>
      </c>
      <c r="H100" t="str">
        <f>"Taylor, Sydney (1904-)"</f>
        <v>Taylor, Sydney (1904-)</v>
      </c>
      <c r="I100">
        <v>22</v>
      </c>
      <c r="J100" s="2">
        <v>43756</v>
      </c>
      <c r="K100" s="1">
        <v>11</v>
      </c>
    </row>
    <row r="101" spans="1:11" ht="16" x14ac:dyDescent="0.2">
      <c r="A101">
        <v>200791</v>
      </c>
      <c r="B101" t="str">
        <f>"VIDEO DVD ITSAW"</f>
        <v>VIDEO DVD ITSAW</v>
      </c>
      <c r="C101" t="s">
        <v>3560</v>
      </c>
      <c r="D101" t="s">
        <v>3542</v>
      </c>
      <c r="E101" t="s">
        <v>3544</v>
      </c>
      <c r="F101" s="3" t="str">
        <f>"2019-12-12  - kt - Searched 3 times for reserves"</f>
        <v>2019-12-12  - kt - Searched 3 times for reserves</v>
      </c>
      <c r="G101" s="3" t="str">
        <f>"It's a wonderful life"</f>
        <v>It's a wonderful life</v>
      </c>
      <c r="I101">
        <v>83</v>
      </c>
      <c r="J101" s="2">
        <v>43619</v>
      </c>
      <c r="K101" s="1">
        <v>25</v>
      </c>
    </row>
    <row r="102" spans="1:11" ht="16" x14ac:dyDescent="0.2">
      <c r="A102">
        <v>201005</v>
      </c>
      <c r="B102" t="str">
        <f>"J 598.47 DAI"</f>
        <v>J 598.47 DAI</v>
      </c>
      <c r="C102" t="s">
        <v>3545</v>
      </c>
      <c r="D102" t="str">
        <f>"Tech Serv"</f>
        <v>Tech Serv</v>
      </c>
      <c r="E102" t="s">
        <v>3544</v>
      </c>
      <c r="F102" s="3" t="str">
        <f>"2020-01-28  - TL - Check In - WB - Bar Code is coming off."</f>
        <v>2020-01-28  - TL - Check In - WB - Bar Code is coming off.</v>
      </c>
      <c r="G102" s="3" t="str">
        <f>"The world of penguins"</f>
        <v>The world of penguins</v>
      </c>
      <c r="H102" t="str">
        <f>"Daigle, Evelyne"</f>
        <v>Daigle, Evelyne</v>
      </c>
      <c r="I102">
        <v>47</v>
      </c>
      <c r="J102" s="2">
        <v>43837</v>
      </c>
      <c r="K102" s="1">
        <v>27</v>
      </c>
    </row>
    <row r="103" spans="1:11" ht="16" x14ac:dyDescent="0.2">
      <c r="A103">
        <v>201760</v>
      </c>
      <c r="B103" t="str">
        <f>"J BASKI"</f>
        <v>J BASKI</v>
      </c>
      <c r="C103" t="s">
        <v>3541</v>
      </c>
      <c r="D103" t="s">
        <v>3542</v>
      </c>
      <c r="E103" t="s">
        <v>3544</v>
      </c>
      <c r="F103" s="3" t="str">
        <f>"2019-09-13  - Inventory - "</f>
        <v xml:space="preserve">2019-09-13  - Inventory - </v>
      </c>
      <c r="G103" s="3" t="str">
        <f>"Basketball (or something like it)"</f>
        <v>Basketball (or something like it)</v>
      </c>
      <c r="H103" t="str">
        <f>"Baskin, Nora Raleigh"</f>
        <v>Baskin, Nora Raleigh</v>
      </c>
      <c r="I103">
        <v>30</v>
      </c>
      <c r="J103" s="2">
        <v>43628</v>
      </c>
      <c r="K103" s="1">
        <v>21</v>
      </c>
    </row>
    <row r="104" spans="1:11" ht="32" x14ac:dyDescent="0.2">
      <c r="A104">
        <v>201812</v>
      </c>
      <c r="B104" t="str">
        <f>"B SEUSS"</f>
        <v>B SEUSS</v>
      </c>
      <c r="C104" t="s">
        <v>3541</v>
      </c>
      <c r="D104" t="s">
        <v>3542</v>
      </c>
      <c r="E104">
        <v>5216475</v>
      </c>
      <c r="F104" s="3" t="str">
        <f>"2019-12-30  - mm - WB - Member mailed a check #379 for missing item. Paid $13.00 for item #201812.    9-1-2019  - Due: 8-6-2019. Notified: 8-13-2019, 8-20-2019, 8-28-2019, 10-29-2019"</f>
        <v>2019-12-30  - mm - WB - Member mailed a check #379 for missing item. Paid $13.00 for item #201812.    9-1-2019  - Due: 8-6-2019. Notified: 8-13-2019, 8-20-2019, 8-28-2019, 10-29-2019</v>
      </c>
      <c r="G104" s="3" t="str">
        <f>"Hop on pop"</f>
        <v>Hop on pop</v>
      </c>
      <c r="H104" t="str">
        <f>"Seuss, Dr."</f>
        <v>Seuss, Dr.</v>
      </c>
      <c r="I104">
        <v>67</v>
      </c>
      <c r="J104" s="2">
        <v>43669</v>
      </c>
      <c r="K104" s="1">
        <v>13</v>
      </c>
    </row>
    <row r="105" spans="1:11" ht="16" x14ac:dyDescent="0.2">
      <c r="A105">
        <v>201813</v>
      </c>
      <c r="B105" t="str">
        <f>"B SEUSS"</f>
        <v>B SEUSS</v>
      </c>
      <c r="C105" t="s">
        <v>3541</v>
      </c>
      <c r="D105" t="s">
        <v>3542</v>
      </c>
      <c r="E105">
        <v>5213079</v>
      </c>
      <c r="F105" s="3" t="str">
        <f>"2019-11-01  - Due: 10-6-2019. Notified: 10-13-2019, 10-20-2019, 10-28-2019, 12-10-2019"</f>
        <v>2019-11-01  - Due: 10-6-2019. Notified: 10-13-2019, 10-20-2019, 10-28-2019, 12-10-2019</v>
      </c>
      <c r="G105" s="3" t="str">
        <f>"Hop on pop"</f>
        <v>Hop on pop</v>
      </c>
      <c r="H105" t="str">
        <f>"Seuss, Dr."</f>
        <v>Seuss, Dr.</v>
      </c>
      <c r="I105">
        <v>90</v>
      </c>
      <c r="J105" s="2">
        <v>43730</v>
      </c>
      <c r="K105" s="1">
        <v>13</v>
      </c>
    </row>
    <row r="106" spans="1:11" ht="16" x14ac:dyDescent="0.2">
      <c r="A106">
        <v>201852</v>
      </c>
      <c r="B106" t="str">
        <f>"J 743.6 SOL"</f>
        <v>J 743.6 SOL</v>
      </c>
      <c r="C106" t="s">
        <v>3541</v>
      </c>
      <c r="D106" t="s">
        <v>3542</v>
      </c>
      <c r="E106">
        <v>5204791</v>
      </c>
      <c r="F106" s="3" t="str">
        <f>"2019-04-25  - Due: 3-29-2019. Notified: 4-5-2019, 4-12-2019, 4-19-2019, 6-18-2019"</f>
        <v>2019-04-25  - Due: 3-29-2019. Notified: 4-5-2019, 4-12-2019, 4-19-2019, 6-18-2019</v>
      </c>
      <c r="G106" s="3" t="str">
        <f>"How to draw sea creatures"</f>
        <v>How to draw sea creatures</v>
      </c>
      <c r="H106" t="str">
        <f>"Soloff-Levy, Barbara"</f>
        <v>Soloff-Levy, Barbara</v>
      </c>
      <c r="I106">
        <v>52</v>
      </c>
      <c r="J106" s="2">
        <v>43539</v>
      </c>
      <c r="K106" s="1">
        <v>20</v>
      </c>
    </row>
    <row r="107" spans="1:11" ht="16" x14ac:dyDescent="0.2">
      <c r="A107">
        <v>203059</v>
      </c>
      <c r="B107" t="str">
        <f>"J 468.6 ROE"</f>
        <v>J 468.6 ROE</v>
      </c>
      <c r="C107" t="s">
        <v>3541</v>
      </c>
      <c r="D107" t="s">
        <v>3542</v>
      </c>
      <c r="E107">
        <v>5138449</v>
      </c>
      <c r="F107" s="3" t="s">
        <v>3561</v>
      </c>
      <c r="G107" s="3" t="str">
        <f>"Con mi hermano"</f>
        <v>Con mi hermano</v>
      </c>
      <c r="H107" t="str">
        <f>"Roe, Eileen"</f>
        <v>Roe, Eileen</v>
      </c>
      <c r="I107">
        <v>22</v>
      </c>
      <c r="J107" s="2">
        <v>43691</v>
      </c>
      <c r="K107" s="1">
        <v>9</v>
      </c>
    </row>
    <row r="108" spans="1:11" ht="16" x14ac:dyDescent="0.2">
      <c r="A108">
        <v>203548</v>
      </c>
      <c r="B108" t="str">
        <f>"E PEDDI"</f>
        <v>E PEDDI</v>
      </c>
      <c r="C108" t="s">
        <v>3541</v>
      </c>
      <c r="D108" t="s">
        <v>3542</v>
      </c>
      <c r="E108">
        <v>5211513</v>
      </c>
      <c r="F108" s="3" t="str">
        <f>"2019-09-04  - Due: 8-7-2019. Notified: 8-14-2019, 8-21-2019, 8-28-2019, 10-29-2019"</f>
        <v>2019-09-04  - Due: 8-7-2019. Notified: 8-14-2019, 8-21-2019, 8-28-2019, 10-29-2019</v>
      </c>
      <c r="G108" s="3" t="str">
        <f>"That special little baby"</f>
        <v>That special little baby</v>
      </c>
      <c r="H108" t="str">
        <f>"Peddicord, Jane Ann"</f>
        <v>Peddicord, Jane Ann</v>
      </c>
      <c r="I108">
        <v>82</v>
      </c>
      <c r="J108" s="2">
        <v>43670</v>
      </c>
      <c r="K108" s="1">
        <v>21</v>
      </c>
    </row>
    <row r="109" spans="1:11" ht="16" x14ac:dyDescent="0.2">
      <c r="A109">
        <v>203763</v>
      </c>
      <c r="B109" t="str">
        <f>"AUDIO J ROWLI"</f>
        <v>AUDIO J ROWLI</v>
      </c>
      <c r="C109" t="s">
        <v>3545</v>
      </c>
      <c r="D109" t="str">
        <f>"Tech Serv"</f>
        <v>Tech Serv</v>
      </c>
      <c r="E109" t="s">
        <v>3544</v>
      </c>
      <c r="F109" s="3" t="str">
        <f>"2019-09-29  - cab - Check In - WB - needs new case"</f>
        <v>2019-09-29  - cab - Check In - WB - needs new case</v>
      </c>
      <c r="G109" s="3" t="str">
        <f>"Harry potter and the deathly hallows"</f>
        <v>Harry potter and the deathly hallows</v>
      </c>
      <c r="H109" t="str">
        <f>"Rowling, J.K"</f>
        <v>Rowling, J.K</v>
      </c>
      <c r="I109">
        <v>84</v>
      </c>
      <c r="J109" s="2">
        <v>43688</v>
      </c>
      <c r="K109" s="1">
        <v>85</v>
      </c>
    </row>
    <row r="110" spans="1:11" ht="16" x14ac:dyDescent="0.2">
      <c r="A110">
        <v>208255</v>
      </c>
      <c r="B110" t="str">
        <f>"E MAYER"</f>
        <v>E MAYER</v>
      </c>
      <c r="C110" t="s">
        <v>3545</v>
      </c>
      <c r="D110" t="str">
        <f>"Tech Serv"</f>
        <v>Tech Serv</v>
      </c>
      <c r="E110" t="s">
        <v>3544</v>
      </c>
      <c r="F110" s="3" t="str">
        <f>"2020-01-03  - JW - Check In - WB - Very damaged spine."</f>
        <v>2020-01-03  - JW - Check In - WB - Very damaged spine.</v>
      </c>
      <c r="G110" s="3" t="str">
        <f>"The twelve dancing princesses"</f>
        <v>The twelve dancing princesses</v>
      </c>
      <c r="H110" t="str">
        <f>"Mayer, Marianna"</f>
        <v>Mayer, Marianna</v>
      </c>
      <c r="I110">
        <v>95</v>
      </c>
      <c r="J110" s="2">
        <v>43822</v>
      </c>
      <c r="K110" s="1">
        <v>15</v>
      </c>
    </row>
    <row r="111" spans="1:11" ht="32" x14ac:dyDescent="0.2">
      <c r="A111">
        <v>208270</v>
      </c>
      <c r="B111" t="str">
        <f>"J ESTES"</f>
        <v>J ESTES</v>
      </c>
      <c r="C111" t="s">
        <v>3541</v>
      </c>
      <c r="D111" t="s">
        <v>3542</v>
      </c>
      <c r="E111">
        <v>5145101</v>
      </c>
      <c r="F111" s="3" t="str">
        <f>"2019-10-11  - BD - WB - member very certain she returned this item; resolving from account    10-11-2019  - Due: 10-23-2019."</f>
        <v>2019-10-11  - BD - WB - member very certain she returned this item; resolving from account    10-11-2019  - Due: 10-23-2019.</v>
      </c>
      <c r="G111" s="3" t="str">
        <f>"The hundred dresses"</f>
        <v>The hundred dresses</v>
      </c>
      <c r="H111" t="str">
        <f>"Estes, Eleanor (1906-)"</f>
        <v>Estes, Eleanor (1906-)</v>
      </c>
      <c r="I111">
        <v>54</v>
      </c>
      <c r="J111" s="2">
        <v>43699</v>
      </c>
      <c r="K111" s="1">
        <v>20</v>
      </c>
    </row>
    <row r="112" spans="1:11" ht="16" x14ac:dyDescent="0.2">
      <c r="A112">
        <v>208417</v>
      </c>
      <c r="B112" t="str">
        <f>"YA GN NARUT"</f>
        <v>YA GN NARUT</v>
      </c>
      <c r="C112" t="s">
        <v>3541</v>
      </c>
      <c r="D112" t="s">
        <v>3542</v>
      </c>
      <c r="E112">
        <v>5175003</v>
      </c>
      <c r="F112" s="3" t="str">
        <f>"2019-09-17  - Due: 8-20-2019. Notified: 8-27-2019, 9-3-2019, 9-11-2019, 10-29-2019"</f>
        <v>2019-09-17  - Due: 8-20-2019. Notified: 8-27-2019, 9-3-2019, 9-11-2019, 10-29-2019</v>
      </c>
      <c r="G112" s="3" t="str">
        <f>"Naruto, v.3"</f>
        <v>Naruto, v.3</v>
      </c>
      <c r="H112" t="str">
        <f>"Kishimoto, Masashi"</f>
        <v>Kishimoto, Masashi</v>
      </c>
      <c r="I112">
        <v>39</v>
      </c>
      <c r="J112" s="2">
        <v>43683</v>
      </c>
      <c r="K112" s="1">
        <v>13</v>
      </c>
    </row>
    <row r="113" spans="1:11" ht="16" x14ac:dyDescent="0.2">
      <c r="A113">
        <v>208418</v>
      </c>
      <c r="B113" t="str">
        <f>"YA GN NARUT"</f>
        <v>YA GN NARUT</v>
      </c>
      <c r="C113" t="s">
        <v>3541</v>
      </c>
      <c r="D113" t="s">
        <v>3542</v>
      </c>
      <c r="E113">
        <v>5174830</v>
      </c>
      <c r="F113" s="3" t="str">
        <f>"2019-09-17  - Due: 8-20-2019. Notified: 8-27-2019, 9-3-2019, 9-11-2019, 10-29-2019"</f>
        <v>2019-09-17  - Due: 8-20-2019. Notified: 8-27-2019, 9-3-2019, 9-11-2019, 10-29-2019</v>
      </c>
      <c r="G113" s="3" t="str">
        <f>"Naruto, v.4"</f>
        <v>Naruto, v.4</v>
      </c>
      <c r="H113" t="str">
        <f>"Kishimoto, Masashi"</f>
        <v>Kishimoto, Masashi</v>
      </c>
      <c r="I113">
        <v>38</v>
      </c>
      <c r="J113" s="2">
        <v>43683</v>
      </c>
      <c r="K113" s="1">
        <v>13</v>
      </c>
    </row>
    <row r="114" spans="1:11" ht="16" x14ac:dyDescent="0.2">
      <c r="A114">
        <v>208743</v>
      </c>
      <c r="B114" t="str">
        <f>"J DADEY"</f>
        <v>J DADEY</v>
      </c>
      <c r="C114" t="s">
        <v>3541</v>
      </c>
      <c r="D114" t="s">
        <v>3542</v>
      </c>
      <c r="E114" t="s">
        <v>3544</v>
      </c>
      <c r="F114" s="3" t="str">
        <f>"2019-09-13  - Inventory - "</f>
        <v xml:space="preserve">2019-09-13  - Inventory - </v>
      </c>
      <c r="G114" s="3" t="str">
        <f>"Mummies don't coach softball"</f>
        <v>Mummies don't coach softball</v>
      </c>
      <c r="H114" t="str">
        <f>"Dadey, Debbie"</f>
        <v>Dadey, Debbie</v>
      </c>
      <c r="I114">
        <v>47</v>
      </c>
      <c r="J114" s="2">
        <v>43036</v>
      </c>
      <c r="K114" s="1">
        <v>8</v>
      </c>
    </row>
    <row r="115" spans="1:11" ht="16" x14ac:dyDescent="0.2">
      <c r="A115">
        <v>209326</v>
      </c>
      <c r="B115" t="str">
        <f>"B LOBEL"</f>
        <v>B LOBEL</v>
      </c>
      <c r="C115" t="s">
        <v>3545</v>
      </c>
      <c r="D115" t="str">
        <f>"Tech Serv"</f>
        <v>Tech Serv</v>
      </c>
      <c r="E115" t="s">
        <v>3544</v>
      </c>
      <c r="F115" s="3" t="str">
        <f>"2020-01-29  - jem - Check In - LL - torn spine"</f>
        <v>2020-01-29  - jem - Check In - LL - torn spine</v>
      </c>
      <c r="G115" s="3" t="str">
        <f>"Frog and Toad all year"</f>
        <v>Frog and Toad all year</v>
      </c>
      <c r="H115" t="str">
        <f>"Lobel, Arnold"</f>
        <v>Lobel, Arnold</v>
      </c>
      <c r="I115">
        <v>79</v>
      </c>
      <c r="J115" s="2">
        <v>43846</v>
      </c>
      <c r="K115" s="1">
        <v>9</v>
      </c>
    </row>
    <row r="116" spans="1:11" ht="16" x14ac:dyDescent="0.2">
      <c r="A116">
        <v>211304</v>
      </c>
      <c r="B116" t="str">
        <f>"B KOSS"</f>
        <v>B KOSS</v>
      </c>
      <c r="C116" t="s">
        <v>3541</v>
      </c>
      <c r="D116" t="s">
        <v>3542</v>
      </c>
      <c r="E116" t="s">
        <v>3544</v>
      </c>
      <c r="F116" s="3" t="str">
        <f>"2019-07-12  - Inventory - "</f>
        <v xml:space="preserve">2019-07-12  - Inventory - </v>
      </c>
      <c r="G116" s="3" t="str">
        <f>"Where fish go in winter: and other great mysteries"</f>
        <v>Where fish go in winter: and other great mysteries</v>
      </c>
      <c r="H116" t="str">
        <f>"Koss, Amy Goldman (1954-)"</f>
        <v>Koss, Amy Goldman (1954-)</v>
      </c>
      <c r="I116">
        <v>63</v>
      </c>
      <c r="J116" s="2">
        <v>42678</v>
      </c>
      <c r="K116" s="1">
        <v>9</v>
      </c>
    </row>
    <row r="117" spans="1:11" ht="16" x14ac:dyDescent="0.2">
      <c r="A117">
        <v>211423</v>
      </c>
      <c r="B117" t="str">
        <f>"E BRIDW"</f>
        <v>E BRIDW</v>
      </c>
      <c r="C117" t="s">
        <v>3545</v>
      </c>
      <c r="D117" t="str">
        <f>"Tech Serv"</f>
        <v>Tech Serv</v>
      </c>
      <c r="E117" t="s">
        <v>3544</v>
      </c>
      <c r="F117" s="3" t="str">
        <f>"2020-01-30  - TL - Check In - LL - Loose pages."</f>
        <v>2020-01-30  - TL - Check In - LL - Loose pages.</v>
      </c>
      <c r="G117" s="3" t="str">
        <f>"Clifford's hiccups"</f>
        <v>Clifford's hiccups</v>
      </c>
      <c r="H117" t="str">
        <f>"Bridwell, Norman"</f>
        <v>Bridwell, Norman</v>
      </c>
      <c r="I117">
        <v>82</v>
      </c>
      <c r="J117" s="2">
        <v>43662</v>
      </c>
      <c r="K117" s="1">
        <v>9</v>
      </c>
    </row>
    <row r="118" spans="1:11" ht="16" x14ac:dyDescent="0.2">
      <c r="A118">
        <v>214315</v>
      </c>
      <c r="B118" t="str">
        <f>"J 394.2 CHR GUR"</f>
        <v>J 394.2 CHR GUR</v>
      </c>
      <c r="C118" t="s">
        <v>3541</v>
      </c>
      <c r="D118" t="s">
        <v>3542</v>
      </c>
      <c r="E118" t="s">
        <v>3544</v>
      </c>
      <c r="F118" s="3" t="str">
        <f>"2019-04-05  - Inventory - "</f>
        <v xml:space="preserve">2019-04-05  - Inventory - </v>
      </c>
      <c r="G118" s="3" t="str">
        <f>"The Snow family's special Christmas"</f>
        <v>The Snow family's special Christmas</v>
      </c>
      <c r="H118" t="str">
        <f>"Gurney, Stella"</f>
        <v>Gurney, Stella</v>
      </c>
      <c r="I118">
        <v>35</v>
      </c>
      <c r="J118" s="2">
        <v>43078</v>
      </c>
      <c r="K118" s="1">
        <v>22</v>
      </c>
    </row>
    <row r="119" spans="1:11" ht="32" x14ac:dyDescent="0.2">
      <c r="A119">
        <v>214563</v>
      </c>
      <c r="B119" t="str">
        <f>"B MASLE"</f>
        <v>B MASLE</v>
      </c>
      <c r="C119" t="s">
        <v>3541</v>
      </c>
      <c r="D119" t="s">
        <v>3542</v>
      </c>
      <c r="E119">
        <v>5170796</v>
      </c>
      <c r="F119" s="3" t="str">
        <f>"2020-01-02  - Tess - Patron turned in the item but I did not find it on the shelf.    1-2-2020  - Due: 12-18-2019. Notified: 12-27-2019, 1-2-2020"</f>
        <v>2020-01-02  - Tess - Patron turned in the item but I did not find it on the shelf.    1-2-2020  - Due: 12-18-2019. Notified: 12-27-2019, 1-2-2020</v>
      </c>
      <c r="G119" s="3" t="str">
        <f>"10 cut-ups"</f>
        <v>10 cut-ups</v>
      </c>
      <c r="H119" t="str">
        <f>"Maslen, Bobby Lynn"</f>
        <v>Maslen, Bobby Lynn</v>
      </c>
      <c r="I119">
        <v>56</v>
      </c>
      <c r="J119" s="2">
        <v>43790</v>
      </c>
      <c r="K119" s="1">
        <v>6</v>
      </c>
    </row>
    <row r="120" spans="1:11" ht="16" x14ac:dyDescent="0.2">
      <c r="A120">
        <v>215335</v>
      </c>
      <c r="B120" t="str">
        <f>"759.4 HER"</f>
        <v>759.4 HER</v>
      </c>
      <c r="C120" t="s">
        <v>3541</v>
      </c>
      <c r="D120" t="s">
        <v>3542</v>
      </c>
      <c r="E120">
        <v>5025766</v>
      </c>
      <c r="F120" s="3" t="str">
        <f>"2019-10-02  - BD - WB - paid by CC    10-2-2019  - Due: 9-23-2019. Notified: 9-30-2019"</f>
        <v>2019-10-02  - BD - WB - paid by CC    10-2-2019  - Due: 9-23-2019. Notified: 9-30-2019</v>
      </c>
      <c r="G120" s="3" t="str">
        <f>"Impressionism: art, leisure, and Parisian society"</f>
        <v>Impressionism: art, leisure, and Parisian society</v>
      </c>
      <c r="H120" t="str">
        <f>"Herbert, Robert L. (1929-)"</f>
        <v>Herbert, Robert L. (1929-)</v>
      </c>
      <c r="I120">
        <v>19</v>
      </c>
      <c r="J120" s="2">
        <v>43685</v>
      </c>
      <c r="K120" s="1">
        <v>37</v>
      </c>
    </row>
    <row r="121" spans="1:11" ht="32" x14ac:dyDescent="0.2">
      <c r="A121">
        <v>215528</v>
      </c>
      <c r="B121" t="str">
        <f>"YA PIERC"</f>
        <v>YA PIERC</v>
      </c>
      <c r="C121" t="s">
        <v>3541</v>
      </c>
      <c r="D121" t="s">
        <v>3542</v>
      </c>
      <c r="E121">
        <v>5079161</v>
      </c>
      <c r="F121" s="3" t="str">
        <f>"2020-01-14  - kh - WB - Member paid $11 cash for lost book; she will keep looking.    1-14-2020  - Due: 1-14-2020."</f>
        <v>2020-01-14  - kh - WB - Member paid $11 cash for lost book; she will keep looking.    1-14-2020  - Due: 1-14-2020.</v>
      </c>
      <c r="G121" s="3" t="str">
        <f>"Tris's book"</f>
        <v>Tris's book</v>
      </c>
      <c r="H121" t="str">
        <f>"Pierce, Tamora"</f>
        <v>Pierce, Tamora</v>
      </c>
      <c r="I121">
        <v>25</v>
      </c>
      <c r="J121" s="2">
        <v>43781</v>
      </c>
      <c r="K121" s="1">
        <v>11</v>
      </c>
    </row>
    <row r="122" spans="1:11" ht="32" x14ac:dyDescent="0.2">
      <c r="A122">
        <v>215528</v>
      </c>
      <c r="B122" t="str">
        <f>"YA PIERC"</f>
        <v>YA PIERC</v>
      </c>
      <c r="C122" t="s">
        <v>3541</v>
      </c>
      <c r="D122" t="s">
        <v>3542</v>
      </c>
      <c r="E122">
        <v>5079183</v>
      </c>
      <c r="F122" s="3" t="str">
        <f>"2020-01-14  - kh - WB - Member paid $11 cash for lost book; she will keep looking.    1-14-2020  - Due: 1-14-2020."</f>
        <v>2020-01-14  - kh - WB - Member paid $11 cash for lost book; she will keep looking.    1-14-2020  - Due: 1-14-2020.</v>
      </c>
      <c r="G122" s="3" t="str">
        <f>"Tris's book"</f>
        <v>Tris's book</v>
      </c>
      <c r="H122" t="str">
        <f>"Pierce, Tamora"</f>
        <v>Pierce, Tamora</v>
      </c>
      <c r="I122">
        <v>25</v>
      </c>
      <c r="J122" s="2">
        <v>43781</v>
      </c>
      <c r="K122" s="1">
        <v>11</v>
      </c>
    </row>
    <row r="123" spans="1:11" ht="16" x14ac:dyDescent="0.2">
      <c r="A123">
        <v>215577</v>
      </c>
      <c r="B123" t="str">
        <f>"E BROWN"</f>
        <v>E BROWN</v>
      </c>
      <c r="C123" t="s">
        <v>3541</v>
      </c>
      <c r="D123" t="s">
        <v>3542</v>
      </c>
      <c r="E123" t="s">
        <v>3544</v>
      </c>
      <c r="F123" s="3" t="str">
        <f>"2019-06-14  - Inventory - "</f>
        <v xml:space="preserve">2019-06-14  - Inventory - </v>
      </c>
      <c r="G123" s="3" t="str">
        <f>"My world"</f>
        <v>My world</v>
      </c>
      <c r="H123" t="str">
        <f>"Brown, Margaret Wise (1910-1952.)"</f>
        <v>Brown, Margaret Wise (1910-1952.)</v>
      </c>
      <c r="I123">
        <v>71</v>
      </c>
      <c r="J123" s="2">
        <v>43003</v>
      </c>
      <c r="K123" s="1">
        <v>21</v>
      </c>
    </row>
    <row r="124" spans="1:11" ht="16" x14ac:dyDescent="0.2">
      <c r="A124">
        <v>216768</v>
      </c>
      <c r="B124" t="str">
        <f>"915.694 SEC"</f>
        <v>915.694 SEC</v>
      </c>
      <c r="C124" t="s">
        <v>3541</v>
      </c>
      <c r="D124" t="s">
        <v>3542</v>
      </c>
      <c r="E124" t="s">
        <v>3544</v>
      </c>
      <c r="F124" s="3" t="str">
        <f>"2020-01-29  - mm - Searched 3 times"</f>
        <v>2020-01-29  - mm - Searched 3 times</v>
      </c>
      <c r="G124" s="3" t="str">
        <f>"Secrets of Jerusalem's holiest sites"</f>
        <v>Secrets of Jerusalem's holiest sites</v>
      </c>
      <c r="I124">
        <v>30</v>
      </c>
      <c r="J124" s="2">
        <v>43854</v>
      </c>
      <c r="K124" s="1">
        <v>25</v>
      </c>
    </row>
    <row r="125" spans="1:11" ht="16" x14ac:dyDescent="0.2">
      <c r="A125">
        <v>217634</v>
      </c>
      <c r="B125" t="str">
        <f>"J 507.8 HED"</f>
        <v>J 507.8 HED</v>
      </c>
      <c r="C125" t="s">
        <v>3541</v>
      </c>
      <c r="D125" t="s">
        <v>3542</v>
      </c>
      <c r="E125" t="s">
        <v>3544</v>
      </c>
      <c r="F125" s="3" t="str">
        <f>"2019-07-31  - TL - Is on reserve. Checked 3 times, couldn't find it."</f>
        <v>2019-07-31  - TL - Is on reserve. Checked 3 times, couldn't find it.</v>
      </c>
      <c r="G125" s="3" t="str">
        <f>"Science in the kitchen"</f>
        <v>Science in the kitchen</v>
      </c>
      <c r="H125" t="str">
        <f>"Heddle, Rebecca"</f>
        <v>Heddle, Rebecca</v>
      </c>
      <c r="I125">
        <v>15</v>
      </c>
      <c r="J125" s="2">
        <v>43474</v>
      </c>
      <c r="K125" s="1">
        <v>5</v>
      </c>
    </row>
    <row r="126" spans="1:11" ht="16" x14ac:dyDescent="0.2">
      <c r="A126">
        <v>218615</v>
      </c>
      <c r="B126" t="str">
        <f>"649.232 KAR"</f>
        <v>649.232 KAR</v>
      </c>
      <c r="C126" t="s">
        <v>3541</v>
      </c>
      <c r="D126" t="s">
        <v>3542</v>
      </c>
      <c r="E126" t="s">
        <v>3544</v>
      </c>
      <c r="F126" s="3" t="str">
        <f>"2019-11-09  - kl - searched 3 times"</f>
        <v>2019-11-09  - kl - searched 3 times</v>
      </c>
      <c r="G126" s="3" t="str">
        <f>"The happiest baby on the block"</f>
        <v>The happiest baby on the block</v>
      </c>
      <c r="H126" t="str">
        <f>"Karp, Harvey"</f>
        <v>Karp, Harvey</v>
      </c>
      <c r="I126">
        <v>36</v>
      </c>
      <c r="J126" s="2">
        <v>43229</v>
      </c>
      <c r="K126" s="1">
        <v>24</v>
      </c>
    </row>
    <row r="127" spans="1:11" ht="16" x14ac:dyDescent="0.2">
      <c r="A127">
        <v>219383</v>
      </c>
      <c r="B127" t="str">
        <f>"J 536 COL"</f>
        <v>J 536 COL</v>
      </c>
      <c r="C127" t="s">
        <v>3541</v>
      </c>
      <c r="D127" t="s">
        <v>3542</v>
      </c>
      <c r="E127" t="s">
        <v>3544</v>
      </c>
      <c r="F127" s="3" t="str">
        <f>"2019-04-05  - Inventory - "</f>
        <v xml:space="preserve">2019-04-05  - Inventory - </v>
      </c>
      <c r="G127" s="3" t="str">
        <f>"The Magic School bus in the arctic: a book about heat"</f>
        <v>The Magic School bus in the arctic: a book about heat</v>
      </c>
      <c r="I127">
        <v>18</v>
      </c>
      <c r="J127" s="2">
        <v>43319</v>
      </c>
      <c r="K127" s="1">
        <v>8.5</v>
      </c>
    </row>
    <row r="128" spans="1:11" ht="16" x14ac:dyDescent="0.2">
      <c r="A128">
        <v>219505</v>
      </c>
      <c r="B128" t="str">
        <f>"VIDEO DVD PULPF"</f>
        <v>VIDEO DVD PULPF</v>
      </c>
      <c r="C128" t="s">
        <v>3541</v>
      </c>
      <c r="D128" t="s">
        <v>3542</v>
      </c>
      <c r="E128">
        <v>5052205</v>
      </c>
      <c r="F128" s="3" t="str">
        <f>"2019-10-26  - Due: 9-30-2019. Notified: 10-7-2019, 10-14-2019, 10-21-2019, 12-10-2019"</f>
        <v>2019-10-26  - Due: 9-30-2019. Notified: 10-7-2019, 10-14-2019, 10-21-2019, 12-10-2019</v>
      </c>
      <c r="G128" s="3" t="str">
        <f>"Pulp fiction"</f>
        <v>Pulp fiction</v>
      </c>
      <c r="H128" t="str">
        <f>"Tarantino, Quentin"</f>
        <v>Tarantino, Quentin</v>
      </c>
      <c r="I128">
        <v>112</v>
      </c>
      <c r="J128" s="2">
        <v>43731</v>
      </c>
      <c r="K128" s="1">
        <v>25</v>
      </c>
    </row>
    <row r="129" spans="1:11" ht="16" x14ac:dyDescent="0.2">
      <c r="A129">
        <v>220233</v>
      </c>
      <c r="B129" t="str">
        <f>"AUDIO PARKE"</f>
        <v>AUDIO PARKE</v>
      </c>
      <c r="C129" t="s">
        <v>3541</v>
      </c>
      <c r="D129" t="s">
        <v>3542</v>
      </c>
      <c r="E129" t="s">
        <v>3544</v>
      </c>
      <c r="F129" s="3" t="str">
        <f>"2020-01-21  - cab -     11-1-2019  - Inventory - "</f>
        <v xml:space="preserve">2020-01-21  - cab -     11-1-2019  - Inventory - </v>
      </c>
      <c r="G129" s="3" t="str">
        <f>"Night and day"</f>
        <v>Night and day</v>
      </c>
      <c r="H129" t="str">
        <f>"Parker, Robert B. (1932-)"</f>
        <v>Parker, Robert B. (1932-)</v>
      </c>
      <c r="I129">
        <v>67</v>
      </c>
      <c r="J129" s="2">
        <v>43267</v>
      </c>
      <c r="K129" s="1">
        <v>35</v>
      </c>
    </row>
    <row r="130" spans="1:11" ht="16" x14ac:dyDescent="0.2">
      <c r="A130">
        <v>220687</v>
      </c>
      <c r="B130" t="str">
        <f>"VIDEO DVD NOTTI"</f>
        <v>VIDEO DVD NOTTI</v>
      </c>
      <c r="C130" t="s">
        <v>3541</v>
      </c>
      <c r="D130" t="s">
        <v>3542</v>
      </c>
      <c r="E130" t="s">
        <v>3544</v>
      </c>
      <c r="F130" s="3" t="str">
        <f>"2019-10-26  - kl - searched 3 times"</f>
        <v>2019-10-26  - kl - searched 3 times</v>
      </c>
      <c r="G130" s="3" t="str">
        <f>"Notting Hill"</f>
        <v>Notting Hill</v>
      </c>
      <c r="I130">
        <v>110</v>
      </c>
      <c r="J130" s="2">
        <v>43533</v>
      </c>
      <c r="K130" s="1">
        <v>20</v>
      </c>
    </row>
    <row r="131" spans="1:11" ht="32" x14ac:dyDescent="0.2">
      <c r="A131">
        <v>221662</v>
      </c>
      <c r="B131" t="str">
        <f>"F PASTE"</f>
        <v>F PASTE</v>
      </c>
      <c r="C131" t="s">
        <v>3545</v>
      </c>
      <c r="D131" t="s">
        <v>3542</v>
      </c>
      <c r="E131">
        <v>5054571</v>
      </c>
      <c r="F131" s="3" t="str">
        <f>"2019-12-10  - kh - WB - Member paid for damaged book; he kept the book    12-10-2019  - Due: 12-16-2019."</f>
        <v>2019-12-10  - kh - WB - Member paid for damaged book; he kept the book    12-10-2019  - Due: 12-16-2019.</v>
      </c>
      <c r="G131" s="3" t="str">
        <f>"Doctor Zhivago"</f>
        <v>Doctor Zhivago</v>
      </c>
      <c r="H131" t="str">
        <f>"Pasternak, Boris Leonidovich"</f>
        <v>Pasternak, Boris Leonidovich</v>
      </c>
      <c r="I131">
        <v>17</v>
      </c>
      <c r="J131" s="2">
        <v>43787</v>
      </c>
      <c r="K131" s="1">
        <v>21</v>
      </c>
    </row>
    <row r="132" spans="1:11" ht="16" x14ac:dyDescent="0.2">
      <c r="A132">
        <v>221866</v>
      </c>
      <c r="B132" t="str">
        <f>"VIDEO DVD ELLAE"</f>
        <v>VIDEO DVD ELLAE</v>
      </c>
      <c r="C132" t="s">
        <v>3541</v>
      </c>
      <c r="D132" t="s">
        <v>3542</v>
      </c>
      <c r="E132" t="s">
        <v>3544</v>
      </c>
      <c r="F132" s="3" t="str">
        <f>"2020-01-17  - Inventory - "</f>
        <v xml:space="preserve">2020-01-17  - Inventory - </v>
      </c>
      <c r="G132" s="3" t="str">
        <f>"Ella Enchanted"</f>
        <v>Ella Enchanted</v>
      </c>
      <c r="I132">
        <v>128</v>
      </c>
      <c r="J132" s="2">
        <v>43511</v>
      </c>
      <c r="K132" s="1">
        <v>25</v>
      </c>
    </row>
    <row r="133" spans="1:11" ht="16" x14ac:dyDescent="0.2">
      <c r="A133">
        <v>223396</v>
      </c>
      <c r="B133" t="str">
        <f>"AUDIO TOLST"</f>
        <v>AUDIO TOLST</v>
      </c>
      <c r="C133" t="s">
        <v>3541</v>
      </c>
      <c r="D133" t="s">
        <v>3542</v>
      </c>
      <c r="E133" t="s">
        <v>3544</v>
      </c>
      <c r="F133" s="3" t="str">
        <f>"2019-11-01  - Inventory - "</f>
        <v xml:space="preserve">2019-11-01  - Inventory - </v>
      </c>
      <c r="G133" s="3" t="str">
        <f>"The death of Ivan Ilych and other stories"</f>
        <v>The death of Ivan Ilych and other stories</v>
      </c>
      <c r="H133" t="str">
        <f>"Tolstoy, Leo, graf, (1828-1910.)"</f>
        <v>Tolstoy, Leo, graf, (1828-1910.)</v>
      </c>
      <c r="I133">
        <v>30</v>
      </c>
      <c r="J133" s="2">
        <v>43457</v>
      </c>
      <c r="K133" s="1">
        <v>35</v>
      </c>
    </row>
    <row r="134" spans="1:11" ht="16" x14ac:dyDescent="0.2">
      <c r="A134">
        <v>223473</v>
      </c>
      <c r="B134" t="str">
        <f>"B BEREN"</f>
        <v>B BEREN</v>
      </c>
      <c r="C134" t="s">
        <v>3541</v>
      </c>
      <c r="D134" t="s">
        <v>3542</v>
      </c>
      <c r="E134" t="s">
        <v>3544</v>
      </c>
      <c r="F134" s="3" t="str">
        <f>"2019-07-03  - rm - Item on reserve. Searched for three days."</f>
        <v>2019-07-03  - rm - Item on reserve. Searched for three days.</v>
      </c>
      <c r="G134" s="3" t="str">
        <f>"The Berenstain Bears by the sea"</f>
        <v>The Berenstain Bears by the sea</v>
      </c>
      <c r="H134" t="str">
        <f>"Berenstain, Stan (1923-)"</f>
        <v>Berenstain, Stan (1923-)</v>
      </c>
      <c r="I134">
        <v>100</v>
      </c>
      <c r="J134" s="2">
        <v>42277</v>
      </c>
      <c r="K134" s="1">
        <v>9</v>
      </c>
    </row>
    <row r="135" spans="1:11" ht="32" x14ac:dyDescent="0.2">
      <c r="A135">
        <v>223474</v>
      </c>
      <c r="B135" t="str">
        <f>"B RYLAN"</f>
        <v>B RYLAN</v>
      </c>
      <c r="C135" t="s">
        <v>3541</v>
      </c>
      <c r="D135" t="s">
        <v>3542</v>
      </c>
      <c r="E135">
        <v>5169526</v>
      </c>
      <c r="F135" s="3" t="str">
        <f>"2019-10-16  - mbw - WB - paid $9 on 10/16/19    9-17-2019  - Due: 8-20-2019. Notified: 8-27-2019, 9-3-2019, 9-11-2019"</f>
        <v>2019-10-16  - mbw - WB - paid $9 on 10/16/19    9-17-2019  - Due: 8-20-2019. Notified: 8-27-2019, 9-3-2019, 9-11-2019</v>
      </c>
      <c r="G135" s="3" t="str">
        <f>"Henry and Mudge and Mrs. Hopper's house: the twenty-second book of their adventures"</f>
        <v>Henry and Mudge and Mrs. Hopper's house: the twenty-second book of their adventures</v>
      </c>
      <c r="H135" t="str">
        <f>"Rylant, Cynthia"</f>
        <v>Rylant, Cynthia</v>
      </c>
      <c r="I135">
        <v>84</v>
      </c>
      <c r="J135" s="2">
        <v>43664</v>
      </c>
      <c r="K135" s="1">
        <v>9</v>
      </c>
    </row>
    <row r="136" spans="1:11" ht="16" x14ac:dyDescent="0.2">
      <c r="A136">
        <v>223517</v>
      </c>
      <c r="B136" t="str">
        <f>"YA BRENN"</f>
        <v>YA BRENN</v>
      </c>
      <c r="C136" t="s">
        <v>3541</v>
      </c>
      <c r="D136" t="s">
        <v>3542</v>
      </c>
      <c r="E136">
        <v>5169487</v>
      </c>
      <c r="F136" s="3" t="str">
        <f>"2019-06-15  - Due: 5-19-2019. Notified: 5-26-2019, 6-2-2019, 6-10-2019, 8-6-2019"</f>
        <v>2019-06-15  - Due: 5-19-2019. Notified: 5-26-2019, 6-2-2019, 6-10-2019, 8-6-2019</v>
      </c>
      <c r="G136" s="3" t="str">
        <f>"Faerie wars"</f>
        <v>Faerie wars</v>
      </c>
      <c r="H136" t="str">
        <f>"Brennan, Herbie"</f>
        <v>Brennan, Herbie</v>
      </c>
      <c r="I136">
        <v>39</v>
      </c>
      <c r="J136" s="2">
        <v>43590</v>
      </c>
      <c r="K136" s="1">
        <v>14</v>
      </c>
    </row>
    <row r="137" spans="1:11" ht="16" x14ac:dyDescent="0.2">
      <c r="A137">
        <v>223552</v>
      </c>
      <c r="B137" t="str">
        <f>"B RYLAN"</f>
        <v>B RYLAN</v>
      </c>
      <c r="C137" t="s">
        <v>3545</v>
      </c>
      <c r="D137" t="str">
        <f>"Tech Serv"</f>
        <v>Tech Serv</v>
      </c>
      <c r="E137" t="s">
        <v>3544</v>
      </c>
      <c r="F137" s="3" t="str">
        <f>"2020-01-24  - JW - Check In - WB - Loose spine."</f>
        <v>2020-01-24  - JW - Check In - WB - Loose spine.</v>
      </c>
      <c r="G137" s="3" t="str">
        <f>"Mr. Putter and Tabby stir the soup"</f>
        <v>Mr. Putter and Tabby stir the soup</v>
      </c>
      <c r="H137" t="str">
        <f>"Rylant, Cynthia"</f>
        <v>Rylant, Cynthia</v>
      </c>
      <c r="I137">
        <v>94</v>
      </c>
      <c r="J137" s="2">
        <v>43830</v>
      </c>
      <c r="K137" s="1">
        <v>11</v>
      </c>
    </row>
    <row r="138" spans="1:11" ht="32" x14ac:dyDescent="0.2">
      <c r="A138">
        <v>223569</v>
      </c>
      <c r="B138" t="str">
        <f>"YA BLUME"</f>
        <v>YA BLUME</v>
      </c>
      <c r="C138" t="s">
        <v>3541</v>
      </c>
      <c r="D138" t="s">
        <v>3542</v>
      </c>
      <c r="E138">
        <v>5022336</v>
      </c>
      <c r="F138" s="3" t="str">
        <f>"2019-10-27  - PayPal - Paid    10-16-2019  - Due: 9-20-2019. Notified: 9-27-2019, 10-4-2019, 10-11-2019"</f>
        <v>2019-10-27  - PayPal - Paid    10-16-2019  - Due: 9-20-2019. Notified: 9-27-2019, 10-4-2019, 10-11-2019</v>
      </c>
      <c r="G138" s="3" t="str">
        <f>"Here's to you, Rachel Robinson"</f>
        <v>Here's to you, Rachel Robinson</v>
      </c>
      <c r="H138" t="str">
        <f>"Blume, Judy"</f>
        <v>Blume, Judy</v>
      </c>
      <c r="I138">
        <v>18</v>
      </c>
      <c r="J138" s="2">
        <v>43689</v>
      </c>
      <c r="K138" s="1">
        <v>12</v>
      </c>
    </row>
    <row r="139" spans="1:11" ht="16" x14ac:dyDescent="0.2">
      <c r="A139">
        <v>223609</v>
      </c>
      <c r="B139" t="str">
        <f>"VIDEO DVD LEONA"</f>
        <v>VIDEO DVD LEONA</v>
      </c>
      <c r="C139" t="s">
        <v>3541</v>
      </c>
      <c r="D139" t="s">
        <v>3542</v>
      </c>
      <c r="E139" t="s">
        <v>3544</v>
      </c>
      <c r="F139" s="3" t="str">
        <f>"2020-01-31  - Inventory - "</f>
        <v xml:space="preserve">2020-01-31  - Inventory - </v>
      </c>
      <c r="G139" s="3" t="str">
        <f>"Leonard Cohen: I'm your man"</f>
        <v>Leonard Cohen: I'm your man</v>
      </c>
      <c r="H139" t="str">
        <f>"Lunson, Lian."</f>
        <v>Lunson, Lian.</v>
      </c>
      <c r="I139">
        <v>85</v>
      </c>
      <c r="J139" s="2">
        <v>43786</v>
      </c>
      <c r="K139" s="1">
        <v>25</v>
      </c>
    </row>
    <row r="140" spans="1:11" ht="16" x14ac:dyDescent="0.2">
      <c r="A140">
        <v>223637</v>
      </c>
      <c r="B140" t="str">
        <f>"VIDEO DVD SABOT"</f>
        <v>VIDEO DVD SABOT</v>
      </c>
      <c r="C140" t="s">
        <v>3541</v>
      </c>
      <c r="D140" t="s">
        <v>3542</v>
      </c>
      <c r="E140" t="s">
        <v>3544</v>
      </c>
      <c r="F140" s="3" t="str">
        <f>"2020-01-31  - Inventory - "</f>
        <v xml:space="preserve">2020-01-31  - Inventory - </v>
      </c>
      <c r="G140" s="3" t="s">
        <v>3562</v>
      </c>
      <c r="H140" t="str">
        <f>"Hitchcock, Alfred (1899-)"</f>
        <v>Hitchcock, Alfred (1899-)</v>
      </c>
      <c r="I140">
        <v>82</v>
      </c>
      <c r="J140" s="2">
        <v>43570</v>
      </c>
      <c r="K140" s="1">
        <v>25</v>
      </c>
    </row>
    <row r="141" spans="1:11" ht="16" x14ac:dyDescent="0.2">
      <c r="A141">
        <v>225282</v>
      </c>
      <c r="B141" t="str">
        <f>"J GN HERGE"</f>
        <v>J GN HERGE</v>
      </c>
      <c r="C141" t="s">
        <v>3545</v>
      </c>
      <c r="D141" t="str">
        <f>"Tech Serv"</f>
        <v>Tech Serv</v>
      </c>
      <c r="E141" t="s">
        <v>3544</v>
      </c>
      <c r="F141" s="3" t="str">
        <f>"2019-07-10  - dw - Check In - WB - loose pages and it needs to go"</f>
        <v>2019-07-10  - dw - Check In - WB - loose pages and it needs to go</v>
      </c>
      <c r="G141" s="3" t="str">
        <f>"The broken ear"</f>
        <v>The broken ear</v>
      </c>
      <c r="H141" t="str">
        <f>"Herge (1907-)"</f>
        <v>Herge (1907-)</v>
      </c>
      <c r="I141">
        <v>87</v>
      </c>
      <c r="J141" s="2">
        <v>43642</v>
      </c>
      <c r="K141" s="1">
        <v>16</v>
      </c>
    </row>
    <row r="142" spans="1:11" ht="16" x14ac:dyDescent="0.2">
      <c r="A142">
        <v>225963</v>
      </c>
      <c r="B142" t="str">
        <f>"J KEENE"</f>
        <v>J KEENE</v>
      </c>
      <c r="C142" t="s">
        <v>3541</v>
      </c>
      <c r="D142" t="s">
        <v>3542</v>
      </c>
      <c r="E142" t="s">
        <v>3544</v>
      </c>
      <c r="F142" s="3" t="str">
        <f>"2019-09-13  - Inventory - "</f>
        <v xml:space="preserve">2019-09-13  - Inventory - </v>
      </c>
      <c r="G142" s="3" t="str">
        <f>"The bungalow mystery"</f>
        <v>The bungalow mystery</v>
      </c>
      <c r="H142" t="str">
        <f>"Keene, Carolyn"</f>
        <v>Keene, Carolyn</v>
      </c>
      <c r="I142">
        <v>33</v>
      </c>
      <c r="J142" s="2">
        <v>43252</v>
      </c>
      <c r="K142" s="1">
        <v>10</v>
      </c>
    </row>
    <row r="143" spans="1:11" ht="16" x14ac:dyDescent="0.2">
      <c r="A143">
        <v>226248</v>
      </c>
      <c r="B143" t="str">
        <f>"E COUSI"</f>
        <v>E COUSI</v>
      </c>
      <c r="C143" t="s">
        <v>3541</v>
      </c>
      <c r="D143" t="s">
        <v>3542</v>
      </c>
      <c r="E143">
        <v>5134168</v>
      </c>
      <c r="F143" s="3" t="str">
        <f>"2020-01-24  - Due: 12-27-2019. Notified: 1-3-2020, 1-10-2020, 1-17-2020"</f>
        <v>2020-01-24  - Due: 12-27-2019. Notified: 1-3-2020, 1-10-2020, 1-17-2020</v>
      </c>
      <c r="G143" s="3" t="str">
        <f>"Maisy goes camping"</f>
        <v>Maisy goes camping</v>
      </c>
      <c r="H143" t="str">
        <f>"Cousins, Lucy"</f>
        <v>Cousins, Lucy</v>
      </c>
      <c r="I143">
        <v>101</v>
      </c>
      <c r="J143" s="2">
        <v>43799</v>
      </c>
      <c r="K143" s="1">
        <v>12</v>
      </c>
    </row>
    <row r="144" spans="1:11" ht="16" x14ac:dyDescent="0.2">
      <c r="A144">
        <v>226257</v>
      </c>
      <c r="B144" t="str">
        <f>"E COUSI"</f>
        <v>E COUSI</v>
      </c>
      <c r="C144" t="s">
        <v>3541</v>
      </c>
      <c r="D144" t="s">
        <v>3542</v>
      </c>
      <c r="E144">
        <v>5134263</v>
      </c>
      <c r="F144" s="3" t="str">
        <f>"2020-01-24  - Due: 12-27-2019. Notified: 1-3-2020, 1-10-2020, 1-17-2020"</f>
        <v>2020-01-24  - Due: 12-27-2019. Notified: 1-3-2020, 1-10-2020, 1-17-2020</v>
      </c>
      <c r="G144" s="3" t="str">
        <f>"Maisy's morning on the farm"</f>
        <v>Maisy's morning on the farm</v>
      </c>
      <c r="H144" t="str">
        <f>"Cousins, Lucy"</f>
        <v>Cousins, Lucy</v>
      </c>
      <c r="I144">
        <v>94</v>
      </c>
      <c r="J144" s="2">
        <v>43799</v>
      </c>
      <c r="K144" s="1">
        <v>9</v>
      </c>
    </row>
    <row r="145" spans="1:11" ht="16" x14ac:dyDescent="0.2">
      <c r="A145">
        <v>226334</v>
      </c>
      <c r="B145" t="str">
        <f>"E EHLER"</f>
        <v>E EHLER</v>
      </c>
      <c r="C145" t="s">
        <v>3541</v>
      </c>
      <c r="D145" t="s">
        <v>3542</v>
      </c>
      <c r="E145">
        <v>5151040</v>
      </c>
      <c r="F145" s="3" t="str">
        <f>"2019-12-29  - Due: 11-30-2019. Notified: 12-7-2019, 12-14-2019, 12-23-2019"</f>
        <v>2019-12-29  - Due: 11-30-2019. Notified: 12-7-2019, 12-14-2019, 12-23-2019</v>
      </c>
      <c r="G145" s="3" t="str">
        <f>"Nuts to you"</f>
        <v>Nuts to you</v>
      </c>
      <c r="H145" t="str">
        <f>"Ehlert, Lois"</f>
        <v>Ehlert, Lois</v>
      </c>
      <c r="I145">
        <v>49</v>
      </c>
      <c r="J145" s="2">
        <v>43739</v>
      </c>
      <c r="K145" s="1">
        <v>22</v>
      </c>
    </row>
    <row r="146" spans="1:11" ht="16" x14ac:dyDescent="0.2">
      <c r="A146">
        <v>226493</v>
      </c>
      <c r="B146" t="str">
        <f>"J 736 KNE"</f>
        <v>J 736 KNE</v>
      </c>
      <c r="C146" t="s">
        <v>3541</v>
      </c>
      <c r="D146" t="s">
        <v>3542</v>
      </c>
      <c r="E146">
        <v>5201891</v>
      </c>
      <c r="F146" s="3" t="str">
        <f>"2020-01-05  - Due: 12-6-2019. Notified: 12-14-2019, 12-20-2019, 12-27-2019"</f>
        <v>2020-01-05  - Due: 12-6-2019. Notified: 12-14-2019, 12-20-2019, 12-27-2019</v>
      </c>
      <c r="G146" s="3" t="str">
        <f>"Super simple origami"</f>
        <v>Super simple origami</v>
      </c>
      <c r="H146" t="str">
        <f>"Kneissler, Irmgard"</f>
        <v>Kneissler, Irmgard</v>
      </c>
      <c r="I146">
        <v>45</v>
      </c>
      <c r="J146" s="2">
        <v>43791</v>
      </c>
      <c r="K146" s="1">
        <v>10</v>
      </c>
    </row>
    <row r="147" spans="1:11" ht="16" x14ac:dyDescent="0.2">
      <c r="A147">
        <v>226612</v>
      </c>
      <c r="B147" t="str">
        <f>"E AWDRY"</f>
        <v>E AWDRY</v>
      </c>
      <c r="C147" t="s">
        <v>3541</v>
      </c>
      <c r="D147" t="s">
        <v>3542</v>
      </c>
      <c r="E147" t="s">
        <v>3544</v>
      </c>
      <c r="F147" s="3" t="str">
        <f>"2019-06-14  - Inventory - "</f>
        <v xml:space="preserve">2019-06-14  - Inventory - </v>
      </c>
      <c r="G147" s="3" t="str">
        <f>"The monster under the shed"</f>
        <v>The monster under the shed</v>
      </c>
      <c r="I147">
        <v>105</v>
      </c>
      <c r="J147" s="2">
        <v>43263</v>
      </c>
      <c r="K147" s="1">
        <v>8</v>
      </c>
    </row>
    <row r="148" spans="1:11" ht="16" x14ac:dyDescent="0.2">
      <c r="A148">
        <v>226702</v>
      </c>
      <c r="B148" t="str">
        <f>"E JOOSS"</f>
        <v>E JOOSS</v>
      </c>
      <c r="C148" t="s">
        <v>3541</v>
      </c>
      <c r="D148" t="s">
        <v>3542</v>
      </c>
      <c r="E148" t="s">
        <v>3544</v>
      </c>
      <c r="F148" s="3" t="str">
        <f>"2019-06-14  - Inventory - "</f>
        <v xml:space="preserve">2019-06-14  - Inventory - </v>
      </c>
      <c r="G148" s="3" t="str">
        <f>"Please is a good word to say"</f>
        <v>Please is a good word to say</v>
      </c>
      <c r="H148" t="str">
        <f>"Joosse, Barbara M."</f>
        <v>Joosse, Barbara M.</v>
      </c>
      <c r="I148">
        <v>56</v>
      </c>
      <c r="J148" s="2">
        <v>43434</v>
      </c>
      <c r="K148" s="1">
        <v>18</v>
      </c>
    </row>
    <row r="149" spans="1:11" ht="32" x14ac:dyDescent="0.2">
      <c r="A149">
        <v>227011</v>
      </c>
      <c r="B149" t="str">
        <f>"J 741.5 AME"</f>
        <v>J 741.5 AME</v>
      </c>
      <c r="C149" t="s">
        <v>3541</v>
      </c>
      <c r="D149" t="s">
        <v>3542</v>
      </c>
      <c r="E149" t="s">
        <v>3544</v>
      </c>
      <c r="F149" s="3" t="str">
        <f>"2020-01-27  - cab - searched 3 times"</f>
        <v>2020-01-27  - cab - searched 3 times</v>
      </c>
      <c r="G149" s="3" t="str">
        <f>"And when she opened the closet, all the clothes were polyester: a Foxtrot collection"</f>
        <v>And when she opened the closet, all the clothes were polyester: a Foxtrot collection</v>
      </c>
      <c r="H149" t="str">
        <f>"Amend, Bill"</f>
        <v>Amend, Bill</v>
      </c>
      <c r="I149">
        <v>48</v>
      </c>
      <c r="J149" s="2">
        <v>42842</v>
      </c>
      <c r="K149" s="1">
        <v>14</v>
      </c>
    </row>
    <row r="150" spans="1:11" ht="16" x14ac:dyDescent="0.2">
      <c r="A150">
        <v>227088</v>
      </c>
      <c r="B150" t="str">
        <f>"E TAFUR"</f>
        <v>E TAFUR</v>
      </c>
      <c r="C150" t="s">
        <v>3541</v>
      </c>
      <c r="D150" t="s">
        <v>3542</v>
      </c>
      <c r="E150">
        <v>5151204</v>
      </c>
      <c r="F150" s="3" t="str">
        <f>"2019-12-29  - Due: 11-30-2019. Notified: 12-7-2019, 12-14-2019, 12-23-2019"</f>
        <v>2019-12-29  - Due: 11-30-2019. Notified: 12-7-2019, 12-14-2019, 12-23-2019</v>
      </c>
      <c r="G150" s="3" t="str">
        <f>"The busy little squirrel"</f>
        <v>The busy little squirrel</v>
      </c>
      <c r="H150" t="str">
        <f>"Tafuri, Nancy"</f>
        <v>Tafuri, Nancy</v>
      </c>
      <c r="I150">
        <v>92</v>
      </c>
      <c r="J150" s="2">
        <v>43739</v>
      </c>
      <c r="K150" s="1">
        <v>21</v>
      </c>
    </row>
    <row r="151" spans="1:11" ht="16" x14ac:dyDescent="0.2">
      <c r="A151">
        <v>227177</v>
      </c>
      <c r="B151" t="str">
        <f>"VIDEO DVD SLACK"</f>
        <v>VIDEO DVD SLACK</v>
      </c>
      <c r="C151" t="s">
        <v>3541</v>
      </c>
      <c r="D151" t="s">
        <v>3542</v>
      </c>
      <c r="E151" t="s">
        <v>3544</v>
      </c>
      <c r="F151" s="3" t="str">
        <f>"2020-01-31  - Inventory - "</f>
        <v xml:space="preserve">2020-01-31  - Inventory - </v>
      </c>
      <c r="G151" s="3" t="s">
        <v>3563</v>
      </c>
      <c r="I151">
        <v>93</v>
      </c>
      <c r="J151" s="2">
        <v>43646</v>
      </c>
      <c r="K151" s="1">
        <v>45</v>
      </c>
    </row>
    <row r="152" spans="1:11" ht="16" x14ac:dyDescent="0.2">
      <c r="A152">
        <v>227446</v>
      </c>
      <c r="B152" t="str">
        <f>"B GAYDO"</f>
        <v>B GAYDO</v>
      </c>
      <c r="C152" t="s">
        <v>3541</v>
      </c>
      <c r="D152" t="s">
        <v>3542</v>
      </c>
      <c r="E152" t="s">
        <v>3544</v>
      </c>
      <c r="F152" s="3" t="str">
        <f>"2019-07-12  - Inventory - "</f>
        <v xml:space="preserve">2019-07-12  - Inventory - </v>
      </c>
      <c r="G152" s="3" t="str">
        <f>"Crab Trap"</f>
        <v>Crab Trap</v>
      </c>
      <c r="H152" t="str">
        <f>"Gaydos, Nora"</f>
        <v>Gaydos, Nora</v>
      </c>
      <c r="I152">
        <v>60</v>
      </c>
      <c r="J152" s="2">
        <v>43653</v>
      </c>
      <c r="K152" s="1">
        <v>6</v>
      </c>
    </row>
    <row r="153" spans="1:11" ht="16" x14ac:dyDescent="0.2">
      <c r="A153">
        <v>227529</v>
      </c>
      <c r="B153" t="str">
        <f>"E SEUSS"</f>
        <v>E SEUSS</v>
      </c>
      <c r="C153" t="s">
        <v>3541</v>
      </c>
      <c r="D153" t="s">
        <v>3542</v>
      </c>
      <c r="E153">
        <v>5175106</v>
      </c>
      <c r="F153" s="3" t="str">
        <f>"2020-01-29  - Due: 1-2-2020. Notified: 1-9-2020, 1-16-2020, 1-24-2020"</f>
        <v>2020-01-29  - Due: 1-2-2020. Notified: 1-9-2020, 1-16-2020, 1-24-2020</v>
      </c>
      <c r="G153" s="3" t="str">
        <f>"Gerald McBoing boing"</f>
        <v>Gerald McBoing boing</v>
      </c>
      <c r="H153" t="str">
        <f>"Seuss, Dr."</f>
        <v>Seuss, Dr.</v>
      </c>
      <c r="I153">
        <v>70</v>
      </c>
      <c r="J153" s="2">
        <v>43783</v>
      </c>
      <c r="K153" s="1">
        <v>18</v>
      </c>
    </row>
    <row r="154" spans="1:11" ht="16" x14ac:dyDescent="0.2">
      <c r="A154">
        <v>227635</v>
      </c>
      <c r="B154" t="str">
        <f>"J 741.5 PAR"</f>
        <v>J 741.5 PAR</v>
      </c>
      <c r="C154" t="s">
        <v>3541</v>
      </c>
      <c r="D154" t="s">
        <v>3542</v>
      </c>
      <c r="E154">
        <v>5204748</v>
      </c>
      <c r="F154" s="3" t="str">
        <f>"2019-02-08  - Due: 1-12-2019. Notified: 1-19-2019, 1-26-2019, 2-4-2019, 3-19-2019"</f>
        <v>2019-02-08  - Due: 1-12-2019. Notified: 1-19-2019, 1-26-2019, 2-4-2019, 3-19-2019</v>
      </c>
      <c r="G154" s="3" t="str">
        <f>"Fantastic Four: law of the jungle"</f>
        <v>Fantastic Four: law of the jungle</v>
      </c>
      <c r="H154" t="str">
        <f>"Parker, Jeff (1966-)"</f>
        <v>Parker, Jeff (1966-)</v>
      </c>
      <c r="I154">
        <v>40</v>
      </c>
      <c r="J154" s="2">
        <v>43463</v>
      </c>
      <c r="K154" s="1">
        <v>26</v>
      </c>
    </row>
    <row r="155" spans="1:11" ht="32" x14ac:dyDescent="0.2">
      <c r="A155">
        <v>227727</v>
      </c>
      <c r="B155" t="str">
        <f>"J 741.5 LAR"</f>
        <v>J 741.5 LAR</v>
      </c>
      <c r="C155" t="s">
        <v>3541</v>
      </c>
      <c r="D155" t="s">
        <v>3542</v>
      </c>
      <c r="E155">
        <v>5052676</v>
      </c>
      <c r="F155" s="3" t="str">
        <f>"2019-11-03  - mm - LL - Member paid $21 for the missing book #227727.    8-18-2019  - Due: 7-23-2019. Notified: 7-30-2019, 8-6-2019, 8-14-2019, 9-24-2019"</f>
        <v>2019-11-03  - mm - LL - Member paid $21 for the missing book #227727.    8-18-2019  - Due: 7-23-2019. Notified: 7-30-2019, 8-6-2019, 8-14-2019, 9-24-2019</v>
      </c>
      <c r="G155" s="3" t="str">
        <f>"The far side gallery 3"</f>
        <v>The far side gallery 3</v>
      </c>
      <c r="H155" t="str">
        <f>"Larson, Gary"</f>
        <v>Larson, Gary</v>
      </c>
      <c r="I155">
        <v>53</v>
      </c>
      <c r="J155" s="2">
        <v>43655</v>
      </c>
      <c r="K155" s="1">
        <v>21</v>
      </c>
    </row>
    <row r="156" spans="1:11" ht="16" x14ac:dyDescent="0.2">
      <c r="A156">
        <v>228572</v>
      </c>
      <c r="B156" t="str">
        <f>"J 932 IKR"</f>
        <v>J 932 IKR</v>
      </c>
      <c r="C156" t="s">
        <v>3541</v>
      </c>
      <c r="D156" t="s">
        <v>3542</v>
      </c>
      <c r="E156" t="s">
        <v>3544</v>
      </c>
      <c r="F156" s="3" t="str">
        <f>"2019-11-15  - Inventory - "</f>
        <v xml:space="preserve">2019-11-15  - Inventory - </v>
      </c>
      <c r="G156" s="3" t="str">
        <f>"Mummies and tombs"</f>
        <v>Mummies and tombs</v>
      </c>
      <c r="H156" t="str">
        <f>"Ikram, Salima"</f>
        <v>Ikram, Salima</v>
      </c>
      <c r="I156">
        <v>6</v>
      </c>
      <c r="J156" s="2">
        <v>43266</v>
      </c>
      <c r="K156" s="1">
        <v>15</v>
      </c>
    </row>
    <row r="157" spans="1:11" ht="16" x14ac:dyDescent="0.2">
      <c r="A157">
        <v>228678</v>
      </c>
      <c r="B157" t="str">
        <f>"613.7 CHE"</f>
        <v>613.7 CHE</v>
      </c>
      <c r="C157" t="s">
        <v>3541</v>
      </c>
      <c r="D157" t="s">
        <v>3542</v>
      </c>
      <c r="E157" t="s">
        <v>3544</v>
      </c>
      <c r="F157" s="3" t="str">
        <f>"2020-01-30  - ss - searched 3 times"</f>
        <v>2020-01-30  - ss - searched 3 times</v>
      </c>
      <c r="G157" s="3" t="str">
        <f>"Step-by-step tai chi"</f>
        <v>Step-by-step tai chi</v>
      </c>
      <c r="I157">
        <v>59</v>
      </c>
      <c r="J157" s="2">
        <v>43619</v>
      </c>
      <c r="K157" s="1">
        <v>20</v>
      </c>
    </row>
    <row r="158" spans="1:11" ht="16" x14ac:dyDescent="0.2">
      <c r="A158">
        <v>229943</v>
      </c>
      <c r="B158" t="str">
        <f>"J DADEY"</f>
        <v>J DADEY</v>
      </c>
      <c r="C158" t="s">
        <v>3541</v>
      </c>
      <c r="D158" t="s">
        <v>3542</v>
      </c>
      <c r="E158" t="s">
        <v>3544</v>
      </c>
      <c r="F158" s="3" t="str">
        <f>"2019-09-13  - Inventory - "</f>
        <v xml:space="preserve">2019-09-13  - Inventory - </v>
      </c>
      <c r="G158" s="3" t="str">
        <f>"Wizards don't wear graduation gowns"</f>
        <v>Wizards don't wear graduation gowns</v>
      </c>
      <c r="H158" t="str">
        <f>"Dadey, Debbie"</f>
        <v>Dadey, Debbie</v>
      </c>
      <c r="I158">
        <v>21</v>
      </c>
      <c r="J158" s="2">
        <v>43022</v>
      </c>
      <c r="K158" s="1">
        <v>9</v>
      </c>
    </row>
    <row r="159" spans="1:11" ht="32" x14ac:dyDescent="0.2">
      <c r="A159">
        <v>229951</v>
      </c>
      <c r="B159" t="str">
        <f>"J WINKL"</f>
        <v>J WINKL</v>
      </c>
      <c r="C159" t="s">
        <v>3541</v>
      </c>
      <c r="D159" t="s">
        <v>3542</v>
      </c>
      <c r="E159">
        <v>5183072</v>
      </c>
      <c r="F159" s="3" t="str">
        <f>"2019-09-14  - BD - LL - $5 credit applied; member paid remainder.    9-14-2019  - BD - LL - reported missing    9-14-2019  - Due: 9-17-2019."</f>
        <v>2019-09-14  - BD - LL - $5 credit applied; member paid remainder.    9-14-2019  - BD - LL - reported missing    9-14-2019  - Due: 9-17-2019.</v>
      </c>
      <c r="G159" s="3" t="str">
        <f>"Help! Somebody get me out of fourth grade"</f>
        <v>Help! Somebody get me out of fourth grade</v>
      </c>
      <c r="H159" t="str">
        <f>"Winkler, Henry (1945-)"</f>
        <v>Winkler, Henry (1945-)</v>
      </c>
      <c r="I159">
        <v>18</v>
      </c>
      <c r="J159" s="2">
        <v>43678</v>
      </c>
      <c r="K159" s="1">
        <v>10</v>
      </c>
    </row>
    <row r="160" spans="1:11" ht="16" x14ac:dyDescent="0.2">
      <c r="A160">
        <v>230073</v>
      </c>
      <c r="B160" t="str">
        <f>"E VIORS"</f>
        <v>E VIORS</v>
      </c>
      <c r="C160" t="s">
        <v>3541</v>
      </c>
      <c r="D160" t="s">
        <v>3542</v>
      </c>
      <c r="E160">
        <v>5213737</v>
      </c>
      <c r="F160" s="3" t="str">
        <f>"2019-12-29  - Due: 11-30-2019. Notified: 12-7-2019, 12-14-2019, 12-23-2019"</f>
        <v>2019-12-29  - Due: 11-30-2019. Notified: 12-7-2019, 12-14-2019, 12-23-2019</v>
      </c>
      <c r="G160" s="3" t="str">
        <f>"Alexander, who used to be rich last Sunday"</f>
        <v>Alexander, who used to be rich last Sunday</v>
      </c>
      <c r="H160" t="str">
        <f>"Viorst, Judith"</f>
        <v>Viorst, Judith</v>
      </c>
      <c r="I160">
        <v>58</v>
      </c>
      <c r="J160" s="2">
        <v>43767</v>
      </c>
      <c r="K160" s="1">
        <v>15</v>
      </c>
    </row>
    <row r="161" spans="1:11" ht="16" x14ac:dyDescent="0.2">
      <c r="A161">
        <v>230166</v>
      </c>
      <c r="B161" t="str">
        <f>"E SPONG"</f>
        <v>E SPONG</v>
      </c>
      <c r="C161" t="s">
        <v>3545</v>
      </c>
      <c r="D161" t="str">
        <f>"Tech Serv"</f>
        <v>Tech Serv</v>
      </c>
      <c r="E161" t="s">
        <v>3544</v>
      </c>
      <c r="F161" s="3" t="str">
        <f>"2020-01-29  - TL - Check In - LL - Looks worn, and has pages missing."</f>
        <v>2020-01-29  - TL - Check In - LL - Looks worn, and has pages missing.</v>
      </c>
      <c r="G161" s="3" t="str">
        <f>"The great escape"</f>
        <v>The great escape</v>
      </c>
      <c r="H161" t="str">
        <f>"Sollinger, Emily"</f>
        <v>Sollinger, Emily</v>
      </c>
      <c r="I161">
        <v>80</v>
      </c>
      <c r="J161" s="2">
        <v>43851</v>
      </c>
      <c r="K161" s="1">
        <v>9</v>
      </c>
    </row>
    <row r="162" spans="1:11" ht="16" x14ac:dyDescent="0.2">
      <c r="A162">
        <v>231066</v>
      </c>
      <c r="B162" t="str">
        <f>"VIDEO DVD PROPO"</f>
        <v>VIDEO DVD PROPO</v>
      </c>
      <c r="C162" t="s">
        <v>3541</v>
      </c>
      <c r="D162" t="s">
        <v>3542</v>
      </c>
      <c r="E162" t="s">
        <v>3544</v>
      </c>
      <c r="F162" s="3" t="str">
        <f>"2020-01-19  - mm - Searched 3 times"</f>
        <v>2020-01-19  - mm - Searched 3 times</v>
      </c>
      <c r="G162" s="3" t="str">
        <f>"The proposal"</f>
        <v>The proposal</v>
      </c>
      <c r="H162" t="str">
        <f>"Fletcher, Anne"</f>
        <v>Fletcher, Anne</v>
      </c>
      <c r="I162">
        <v>214</v>
      </c>
      <c r="J162" s="2">
        <v>43826</v>
      </c>
      <c r="K162" s="1">
        <v>35</v>
      </c>
    </row>
    <row r="163" spans="1:11" ht="16" x14ac:dyDescent="0.2">
      <c r="A163">
        <v>231135</v>
      </c>
      <c r="B163" t="str">
        <f>"VIDEO DVD LITTL"</f>
        <v>VIDEO DVD LITTL</v>
      </c>
      <c r="C163" t="s">
        <v>3541</v>
      </c>
      <c r="D163" t="s">
        <v>3542</v>
      </c>
      <c r="E163" t="s">
        <v>3544</v>
      </c>
      <c r="F163" s="3" t="str">
        <f>"2020-01-31  - Inventory - "</f>
        <v xml:space="preserve">2020-01-31  - Inventory - </v>
      </c>
      <c r="G163" s="3" t="str">
        <f>"The little mermaid II: return to the sea"</f>
        <v>The little mermaid II: return to the sea</v>
      </c>
      <c r="I163">
        <v>207</v>
      </c>
      <c r="J163" s="2">
        <v>43834</v>
      </c>
      <c r="K163" s="1">
        <v>20</v>
      </c>
    </row>
    <row r="164" spans="1:11" ht="48" x14ac:dyDescent="0.2">
      <c r="A164">
        <v>231406</v>
      </c>
      <c r="B164" t="str">
        <f>"B TRIPP"</f>
        <v>B TRIPP</v>
      </c>
      <c r="C164" t="s">
        <v>3541</v>
      </c>
      <c r="D164" t="s">
        <v>3542</v>
      </c>
      <c r="E164">
        <v>5159726</v>
      </c>
      <c r="F164" s="3" t="str">
        <f>"2019-10-19  - kh - LL - Member returned stack of books yesterday; was able to find all but two, so marking this and the other as missing. I think one of our volunteers missed checking in all these books.    10-19-2019  - Due: 10-19-2019."</f>
        <v>2019-10-19  - kh - LL - Member returned stack of books yesterday; was able to find all but two, so marking this and the other as missing. I think one of our volunteers missed checking in all these books.    10-19-2019  - Due: 10-19-2019.</v>
      </c>
      <c r="G164" s="3" t="str">
        <f>"Bright, shiny Skylar"</f>
        <v>Bright, shiny Skylar</v>
      </c>
      <c r="H164" t="str">
        <f>"Tripp, Valerie (1951-)"</f>
        <v>Tripp, Valerie (1951-)</v>
      </c>
      <c r="I164">
        <v>41</v>
      </c>
      <c r="J164" s="2">
        <v>43743</v>
      </c>
      <c r="K164" s="1">
        <v>9</v>
      </c>
    </row>
    <row r="165" spans="1:11" ht="16" x14ac:dyDescent="0.2">
      <c r="A165">
        <v>231732</v>
      </c>
      <c r="B165" t="str">
        <f>"E AWDRY"</f>
        <v>E AWDRY</v>
      </c>
      <c r="C165" t="s">
        <v>3541</v>
      </c>
      <c r="D165" t="s">
        <v>3542</v>
      </c>
      <c r="E165">
        <v>5161847</v>
      </c>
      <c r="F165" s="3" t="str">
        <f>"2019-09-01  - Due: 8-6-2019. Notified: 8-13-2019, 8-20-2019, 8-28-2019, 10-29-2019"</f>
        <v>2019-09-01  - Due: 8-6-2019. Notified: 8-13-2019, 8-20-2019, 8-28-2019, 10-29-2019</v>
      </c>
      <c r="G165" s="3" t="str">
        <f>"Edward's day out: Edward and Gordon"</f>
        <v>Edward's day out: Edward and Gordon</v>
      </c>
      <c r="H165" t="str">
        <f>"Awdry, W."</f>
        <v>Awdry, W.</v>
      </c>
      <c r="I165">
        <v>69</v>
      </c>
      <c r="J165" s="2">
        <v>43669</v>
      </c>
      <c r="K165" s="1">
        <v>9</v>
      </c>
    </row>
    <row r="166" spans="1:11" ht="16" x14ac:dyDescent="0.2">
      <c r="A166">
        <v>232566</v>
      </c>
      <c r="B166" t="str">
        <f>"VIDEO DVD NIGHT"</f>
        <v>VIDEO DVD NIGHT</v>
      </c>
      <c r="C166" t="s">
        <v>3541</v>
      </c>
      <c r="D166" t="s">
        <v>3542</v>
      </c>
      <c r="E166" t="s">
        <v>3544</v>
      </c>
      <c r="F166" s="3" t="str">
        <f>"2020-01-31  - Inventory - "</f>
        <v xml:space="preserve">2020-01-31  - Inventory - </v>
      </c>
      <c r="G166" s="3" t="str">
        <f>"Night at the Museum: battle of the Smithsonian"</f>
        <v>Night at the Museum: battle of the Smithsonian</v>
      </c>
      <c r="H166" t="str">
        <f>"Levy, Shawn"</f>
        <v>Levy, Shawn</v>
      </c>
      <c r="I166">
        <v>187</v>
      </c>
      <c r="J166" s="2">
        <v>43821</v>
      </c>
      <c r="K166" s="1">
        <v>35</v>
      </c>
    </row>
    <row r="167" spans="1:11" ht="16" x14ac:dyDescent="0.2">
      <c r="A167">
        <v>232710</v>
      </c>
      <c r="B167" t="str">
        <f>"T PIXTO"</f>
        <v>T PIXTO</v>
      </c>
      <c r="C167" t="s">
        <v>3541</v>
      </c>
      <c r="D167" t="s">
        <v>3542</v>
      </c>
      <c r="E167">
        <v>5014049</v>
      </c>
      <c r="F167" s="3" t="str">
        <f>"2020-01-05  - Due: 12-6-2019. Notified: 12-14-2019, 12-20-2019, 12-27-2019"</f>
        <v>2020-01-05  - Due: 12-6-2019. Notified: 12-14-2019, 12-20-2019, 12-27-2019</v>
      </c>
      <c r="G167" s="3" t="str">
        <f>"Creep! crawl"</f>
        <v>Creep! crawl</v>
      </c>
      <c r="H167" t="str">
        <f>"Pixton, Kaaren"</f>
        <v>Pixton, Kaaren</v>
      </c>
      <c r="I167">
        <v>32</v>
      </c>
      <c r="J167" s="2">
        <v>43791</v>
      </c>
      <c r="K167" s="1">
        <v>10</v>
      </c>
    </row>
    <row r="168" spans="1:11" ht="16" x14ac:dyDescent="0.2">
      <c r="A168">
        <v>233201</v>
      </c>
      <c r="B168" t="str">
        <f>"B SEUSS"</f>
        <v>B SEUSS</v>
      </c>
      <c r="C168" t="s">
        <v>3541</v>
      </c>
      <c r="D168" t="s">
        <v>3542</v>
      </c>
      <c r="E168">
        <v>5213163</v>
      </c>
      <c r="F168" s="3" t="str">
        <f>"2019-11-01  - Due: 10-6-2019. Notified: 10-13-2019, 10-20-2019, 10-28-2019, 12-10-2019"</f>
        <v>2019-11-01  - Due: 10-6-2019. Notified: 10-13-2019, 10-20-2019, 10-28-2019, 12-10-2019</v>
      </c>
      <c r="G168" s="3" t="str">
        <f>"The cat in the hat"</f>
        <v>The cat in the hat</v>
      </c>
      <c r="H168" t="str">
        <f>"Seuss, Dr."</f>
        <v>Seuss, Dr.</v>
      </c>
      <c r="I168">
        <v>69</v>
      </c>
      <c r="J168" s="2">
        <v>43730</v>
      </c>
      <c r="K168" s="1">
        <v>9</v>
      </c>
    </row>
    <row r="169" spans="1:11" ht="16" x14ac:dyDescent="0.2">
      <c r="A169">
        <v>233397</v>
      </c>
      <c r="B169" t="str">
        <f>"J 741.5 LAR"</f>
        <v>J 741.5 LAR</v>
      </c>
      <c r="C169" t="s">
        <v>3541</v>
      </c>
      <c r="D169" t="s">
        <v>3542</v>
      </c>
      <c r="E169" t="s">
        <v>3544</v>
      </c>
      <c r="F169" s="3" t="str">
        <f>"2019-11-08  - Inventory - "</f>
        <v xml:space="preserve">2019-11-08  - Inventory - </v>
      </c>
      <c r="G169" s="3" t="str">
        <f>"The prehistory of the Far Side : a 10th anniversary exhibit"</f>
        <v>The prehistory of the Far Side : a 10th anniversary exhibit</v>
      </c>
      <c r="H169" t="str">
        <f>"Larson, Gary"</f>
        <v>Larson, Gary</v>
      </c>
      <c r="I169">
        <v>54</v>
      </c>
      <c r="J169" s="2">
        <v>43579</v>
      </c>
      <c r="K169" s="1">
        <v>20</v>
      </c>
    </row>
    <row r="170" spans="1:11" ht="48" x14ac:dyDescent="0.2">
      <c r="A170">
        <v>234895</v>
      </c>
      <c r="B170" t="str">
        <f>"F JAMES"</f>
        <v>F JAMES</v>
      </c>
      <c r="C170" t="s">
        <v>3545</v>
      </c>
      <c r="D170" t="s">
        <v>3542</v>
      </c>
      <c r="E170">
        <v>5181390</v>
      </c>
      <c r="F170" s="3" t="s">
        <v>3564</v>
      </c>
      <c r="G170" s="3" t="str">
        <f>"The book of night women"</f>
        <v>The book of night women</v>
      </c>
      <c r="H170" t="str">
        <f>"James, Marlon, (1970-)"</f>
        <v>James, Marlon, (1970-)</v>
      </c>
      <c r="I170">
        <v>19</v>
      </c>
      <c r="J170" s="2">
        <v>43627</v>
      </c>
      <c r="K170" s="1">
        <v>21</v>
      </c>
    </row>
    <row r="171" spans="1:11" ht="16" x14ac:dyDescent="0.2">
      <c r="A171">
        <v>235549</v>
      </c>
      <c r="B171" t="str">
        <f>"T CARLE"</f>
        <v>T CARLE</v>
      </c>
      <c r="C171" t="s">
        <v>3541</v>
      </c>
      <c r="D171" t="s">
        <v>3542</v>
      </c>
      <c r="E171">
        <v>5202983</v>
      </c>
      <c r="F171" s="3" t="str">
        <f>"2020-01-29  - Due: 1-2-2020. Notified: 1-9-2020, 1-16-2020, 1-24-2020"</f>
        <v>2020-01-29  - Due: 1-2-2020. Notified: 1-9-2020, 1-16-2020, 1-24-2020</v>
      </c>
      <c r="G171" s="3" t="str">
        <f>"Today is Monday"</f>
        <v>Today is Monday</v>
      </c>
      <c r="H171" t="str">
        <f>"Carle, Eric"</f>
        <v>Carle, Eric</v>
      </c>
      <c r="I171">
        <v>65</v>
      </c>
      <c r="J171" s="2">
        <v>43817</v>
      </c>
      <c r="K171" s="1">
        <v>12</v>
      </c>
    </row>
    <row r="172" spans="1:11" ht="16" x14ac:dyDescent="0.2">
      <c r="A172">
        <v>235555</v>
      </c>
      <c r="B172" t="str">
        <f>"E BRIDW"</f>
        <v>E BRIDW</v>
      </c>
      <c r="C172" t="s">
        <v>3541</v>
      </c>
      <c r="D172" t="s">
        <v>3542</v>
      </c>
      <c r="E172">
        <v>5134468</v>
      </c>
      <c r="F172" s="3" t="str">
        <f>"2020-01-06  - Due: 12-7-2019. Notified: 12-14-2019, 12-21-2019, 12-30-2019"</f>
        <v>2020-01-06  - Due: 12-7-2019. Notified: 12-14-2019, 12-21-2019, 12-30-2019</v>
      </c>
      <c r="G172" s="3" t="str">
        <f>"Clifford's first Christmas"</f>
        <v>Clifford's first Christmas</v>
      </c>
      <c r="H172" t="str">
        <f>"Bridwell, Norman"</f>
        <v>Bridwell, Norman</v>
      </c>
      <c r="I172">
        <v>108</v>
      </c>
      <c r="J172" s="2">
        <v>43772</v>
      </c>
      <c r="K172" s="1">
        <v>11</v>
      </c>
    </row>
    <row r="173" spans="1:11" ht="32" x14ac:dyDescent="0.2">
      <c r="A173">
        <v>235949</v>
      </c>
      <c r="B173" t="str">
        <f>"J 394.2 CHR THA"</f>
        <v>J 394.2 CHR THA</v>
      </c>
      <c r="C173" t="s">
        <v>3541</v>
      </c>
      <c r="D173" t="s">
        <v>3542</v>
      </c>
      <c r="E173">
        <v>5141985</v>
      </c>
      <c r="F173" s="3" t="str">
        <f>"2019-05-14  - PayPal - Paid    3-20-2019  - Due: 2-22-2019. Notified: 3-1-2019, 3-8-2019, 3-15-2019, 5-7-2019"</f>
        <v>2019-05-14  - PayPal - Paid    3-20-2019  - Due: 2-22-2019. Notified: 3-1-2019, 3-8-2019, 3-15-2019, 5-7-2019</v>
      </c>
      <c r="G173" s="3" t="str">
        <f>"The Christmas party from the black lagoon"</f>
        <v>The Christmas party from the black lagoon</v>
      </c>
      <c r="H173" t="str">
        <f>"Thaler, Mike (1936-)"</f>
        <v>Thaler, Mike (1936-)</v>
      </c>
      <c r="I173">
        <v>28</v>
      </c>
      <c r="J173" s="2">
        <v>43504</v>
      </c>
      <c r="K173" s="1">
        <v>9</v>
      </c>
    </row>
    <row r="174" spans="1:11" ht="32" x14ac:dyDescent="0.2">
      <c r="A174">
        <v>236706</v>
      </c>
      <c r="B174" t="str">
        <f>"J 394.2 THA PRE"</f>
        <v>J 394.2 THA PRE</v>
      </c>
      <c r="C174" t="s">
        <v>3541</v>
      </c>
      <c r="D174" t="s">
        <v>3542</v>
      </c>
      <c r="E174">
        <v>5175378</v>
      </c>
      <c r="F174" s="3" t="str">
        <f>"2020-01-11  - kl - WB - paid $9 for book    1-1-2020  - Due: 12-3-2019. Notified: 12-10-2019, 12-17-2019, 12-27-2019"</f>
        <v>2020-01-11  - kl - WB - paid $9 for book    1-1-2020  - Due: 12-3-2019. Notified: 12-10-2019, 12-17-2019, 12-27-2019</v>
      </c>
      <c r="G174" s="3" t="str">
        <f>"It's Thanksgiving"</f>
        <v>It's Thanksgiving</v>
      </c>
      <c r="H174" t="str">
        <f>"Prelutsky, Jack"</f>
        <v>Prelutsky, Jack</v>
      </c>
      <c r="I174">
        <v>20</v>
      </c>
      <c r="J174" s="2">
        <v>43774</v>
      </c>
      <c r="K174" s="1">
        <v>9</v>
      </c>
    </row>
    <row r="175" spans="1:11" ht="32" x14ac:dyDescent="0.2">
      <c r="A175">
        <v>237389</v>
      </c>
      <c r="B175" t="str">
        <f>"YA BODEE"</f>
        <v>YA BODEE</v>
      </c>
      <c r="C175" t="s">
        <v>3541</v>
      </c>
      <c r="D175" t="s">
        <v>3542</v>
      </c>
      <c r="E175">
        <v>5082739</v>
      </c>
      <c r="F175" s="3" t="str">
        <f>"2019-09-21  - kl - WB - paid for book$22    8-21-2019  - Due: 7-26-2019. Notified: 8-2-2019, 8-9-2019, 8-16-2019"</f>
        <v>2019-09-21  - kl - WB - paid for book$22    8-21-2019  - Due: 7-26-2019. Notified: 8-2-2019, 8-9-2019, 8-16-2019</v>
      </c>
      <c r="G175" s="3" t="str">
        <f>"The Gardener"</f>
        <v>The Gardener</v>
      </c>
      <c r="H175" t="str">
        <f>"Bodeen, S. A."</f>
        <v>Bodeen, S. A.</v>
      </c>
      <c r="I175">
        <v>23</v>
      </c>
      <c r="J175" s="2">
        <v>43658</v>
      </c>
      <c r="K175" s="1">
        <v>22</v>
      </c>
    </row>
    <row r="176" spans="1:11" ht="64" x14ac:dyDescent="0.2">
      <c r="A176">
        <v>238619</v>
      </c>
      <c r="B176" t="str">
        <f>"J MEADO"</f>
        <v>J MEADO</v>
      </c>
      <c r="C176" t="s">
        <v>3541</v>
      </c>
      <c r="D176" t="s">
        <v>3542</v>
      </c>
      <c r="E176">
        <v>5128929</v>
      </c>
      <c r="F176" s="3" t="s">
        <v>3565</v>
      </c>
      <c r="G176" s="3" t="str">
        <f>"Melodie the music fairy"</f>
        <v>Melodie the music fairy</v>
      </c>
      <c r="H176" t="str">
        <f>"Meadows, Daisy"</f>
        <v>Meadows, Daisy</v>
      </c>
      <c r="I176">
        <v>84</v>
      </c>
      <c r="J176" s="2">
        <v>43771</v>
      </c>
      <c r="K176" s="1">
        <v>10</v>
      </c>
    </row>
    <row r="177" spans="1:11" ht="16" x14ac:dyDescent="0.2">
      <c r="A177">
        <v>239099</v>
      </c>
      <c r="B177" t="str">
        <f>"J RODDA"</f>
        <v>J RODDA</v>
      </c>
      <c r="C177" t="s">
        <v>3541</v>
      </c>
      <c r="D177" t="s">
        <v>3542</v>
      </c>
      <c r="E177" t="s">
        <v>3544</v>
      </c>
      <c r="F177" s="3" t="str">
        <f>"2019-09-06  - Inventory - "</f>
        <v xml:space="preserve">2019-09-06  - Inventory - </v>
      </c>
      <c r="G177" s="3" t="str">
        <f>"The unicorn"</f>
        <v>The unicorn</v>
      </c>
      <c r="H177" t="str">
        <f>"Rodda, Emily"</f>
        <v>Rodda, Emily</v>
      </c>
      <c r="I177">
        <v>25</v>
      </c>
      <c r="J177" s="2">
        <v>42723</v>
      </c>
      <c r="K177" s="1">
        <v>14</v>
      </c>
    </row>
    <row r="178" spans="1:11" ht="16" x14ac:dyDescent="0.2">
      <c r="A178">
        <v>239119</v>
      </c>
      <c r="B178" t="str">
        <f>"YA BLACK"</f>
        <v>YA BLACK</v>
      </c>
      <c r="C178" t="s">
        <v>3541</v>
      </c>
      <c r="D178" t="s">
        <v>3542</v>
      </c>
      <c r="E178">
        <v>5003377</v>
      </c>
      <c r="F178" s="3" t="str">
        <f>"2019-03-26  - Due: 2-28-2019. Notified: 3-7-2019, 3-14-2019, 3-22-2019, 5-7-2019"</f>
        <v>2019-03-26  - Due: 2-28-2019. Notified: 3-7-2019, 3-14-2019, 3-22-2019, 5-7-2019</v>
      </c>
      <c r="G178" s="3" t="str">
        <f>"Tithe: a modern faerie tale"</f>
        <v>Tithe: a modern faerie tale</v>
      </c>
      <c r="H178" t="str">
        <f>"Black, Holly"</f>
        <v>Black, Holly</v>
      </c>
      <c r="I178">
        <v>21</v>
      </c>
      <c r="J178" s="2">
        <v>43510</v>
      </c>
      <c r="K178" s="1">
        <v>14</v>
      </c>
    </row>
    <row r="179" spans="1:11" ht="32" x14ac:dyDescent="0.2">
      <c r="A179">
        <v>239811</v>
      </c>
      <c r="B179" t="str">
        <f>"VIDEO J DVD BILLN"</f>
        <v>VIDEO J DVD BILLN</v>
      </c>
      <c r="C179" t="s">
        <v>3560</v>
      </c>
      <c r="D179" t="str">
        <f>"Circ Prob Box"</f>
        <v>Circ Prob Box</v>
      </c>
      <c r="E179">
        <v>5174984</v>
      </c>
      <c r="F179" s="3" t="str">
        <f>"2019-12-22  - BD - WB - disc returned    12-16-2019  - mm - WB - Sent email    12-16-2019  - pg - Check In - WB - missing disc"</f>
        <v>2019-12-22  - BD - WB - disc returned    12-16-2019  - mm - WB - Sent email    12-16-2019  - pg - Check In - WB - missing disc</v>
      </c>
      <c r="G179" s="3" t="str">
        <f>"Bill Nye the science guy: friction"</f>
        <v>Bill Nye the science guy: friction</v>
      </c>
      <c r="I179">
        <v>60</v>
      </c>
      <c r="J179" s="2">
        <v>43800</v>
      </c>
      <c r="K179" s="1">
        <v>35</v>
      </c>
    </row>
    <row r="180" spans="1:11" ht="16" x14ac:dyDescent="0.2">
      <c r="A180">
        <v>240616</v>
      </c>
      <c r="B180" t="str">
        <f>"AUDIO HOWAR"</f>
        <v>AUDIO HOWAR</v>
      </c>
      <c r="C180" t="s">
        <v>3541</v>
      </c>
      <c r="D180" t="s">
        <v>3542</v>
      </c>
      <c r="E180" t="s">
        <v>3544</v>
      </c>
      <c r="F180" s="3" t="str">
        <f>"2020-01-29  - cab - lost in transit"</f>
        <v>2020-01-29  - cab - lost in transit</v>
      </c>
      <c r="G180" s="3" t="str">
        <f>"Veil of night: a novel"</f>
        <v>Veil of night: a novel</v>
      </c>
      <c r="H180" t="str">
        <f>"Howard, Linda (1950-)"</f>
        <v>Howard, Linda (1950-)</v>
      </c>
      <c r="I180">
        <v>27</v>
      </c>
      <c r="J180" s="2">
        <v>43680</v>
      </c>
      <c r="K180" s="1">
        <v>45</v>
      </c>
    </row>
    <row r="181" spans="1:11" ht="16" x14ac:dyDescent="0.2">
      <c r="A181">
        <v>242029</v>
      </c>
      <c r="B181" t="str">
        <f>"VIDEO DVD SANTA"</f>
        <v>VIDEO DVD SANTA</v>
      </c>
      <c r="C181" t="s">
        <v>3541</v>
      </c>
      <c r="D181" t="s">
        <v>3542</v>
      </c>
      <c r="E181" t="s">
        <v>3544</v>
      </c>
      <c r="F181" s="3" t="str">
        <f>"2019-12-05  - kt - searched 3 times"</f>
        <v>2019-12-05  - kt - searched 3 times</v>
      </c>
      <c r="G181" s="3" t="str">
        <f>"The Santa Clause"</f>
        <v>The Santa Clause</v>
      </c>
      <c r="H181" t="str">
        <f>"Pasquin, John"</f>
        <v>Pasquin, John</v>
      </c>
      <c r="I181">
        <v>74</v>
      </c>
      <c r="J181" s="2">
        <v>43533</v>
      </c>
      <c r="K181" s="1">
        <v>25</v>
      </c>
    </row>
    <row r="182" spans="1:11" ht="32" x14ac:dyDescent="0.2">
      <c r="A182">
        <v>243816</v>
      </c>
      <c r="B182" t="str">
        <f>"B AWDRY"</f>
        <v>B AWDRY</v>
      </c>
      <c r="C182" t="s">
        <v>3541</v>
      </c>
      <c r="D182" t="s">
        <v>3542</v>
      </c>
      <c r="E182">
        <v>5202111</v>
      </c>
      <c r="F182" s="3" t="str">
        <f>"2019-09-21  - kh - LL - Member paid $9 Visa for lost book; she will keep looking.    9-21-2019  - Due: 9-11-2019. Notified: 9-18-2019"</f>
        <v>2019-09-21  - kh - LL - Member paid $9 Visa for lost book; she will keep looking.    9-21-2019  - Due: 9-11-2019. Notified: 9-18-2019</v>
      </c>
      <c r="G182" s="3" t="str">
        <f>"Thomas goes fishing"</f>
        <v>Thomas goes fishing</v>
      </c>
      <c r="H182" t="str">
        <f>"Awdry, W."</f>
        <v>Awdry, W.</v>
      </c>
      <c r="I182">
        <v>96</v>
      </c>
      <c r="J182" s="2">
        <v>43647</v>
      </c>
      <c r="K182" s="1">
        <v>9</v>
      </c>
    </row>
    <row r="183" spans="1:11" ht="16" x14ac:dyDescent="0.2">
      <c r="A183">
        <v>245459</v>
      </c>
      <c r="B183" t="str">
        <f>"E FALCO"</f>
        <v>E FALCO</v>
      </c>
      <c r="C183" t="s">
        <v>3541</v>
      </c>
      <c r="D183" t="s">
        <v>3542</v>
      </c>
      <c r="E183" t="s">
        <v>3544</v>
      </c>
      <c r="F183" s="3" t="str">
        <f>"2019-06-14  - Inventory - "</f>
        <v xml:space="preserve">2019-06-14  - Inventory - </v>
      </c>
      <c r="G183" s="3" t="str">
        <f>"Olivia cooks up a surprise"</f>
        <v>Olivia cooks up a surprise</v>
      </c>
      <c r="H183" t="str">
        <f>"Sollinger, Emily"</f>
        <v>Sollinger, Emily</v>
      </c>
      <c r="I183">
        <v>79</v>
      </c>
      <c r="J183" s="2">
        <v>43522</v>
      </c>
      <c r="K183" s="1">
        <v>9</v>
      </c>
    </row>
    <row r="184" spans="1:11" ht="16" x14ac:dyDescent="0.2">
      <c r="A184">
        <v>245765</v>
      </c>
      <c r="B184" t="str">
        <f>"J MEADO"</f>
        <v>J MEADO</v>
      </c>
      <c r="C184" t="s">
        <v>3541</v>
      </c>
      <c r="D184" t="s">
        <v>3542</v>
      </c>
      <c r="E184" t="s">
        <v>3544</v>
      </c>
      <c r="F184" s="3" t="str">
        <f>"2019-09-13  - Inventory - "</f>
        <v xml:space="preserve">2019-09-13  - Inventory - </v>
      </c>
      <c r="G184" s="3" t="str">
        <f>"Tess the sea turtle fairy"</f>
        <v>Tess the sea turtle fairy</v>
      </c>
      <c r="H184" t="str">
        <f>"Meadows, Daisy"</f>
        <v>Meadows, Daisy</v>
      </c>
      <c r="I184">
        <v>92</v>
      </c>
      <c r="J184" s="2">
        <v>43691</v>
      </c>
      <c r="K184" s="1">
        <v>10</v>
      </c>
    </row>
    <row r="185" spans="1:11" ht="16" x14ac:dyDescent="0.2">
      <c r="A185">
        <v>245835</v>
      </c>
      <c r="B185" t="str">
        <f>"J 629.2 RIC"</f>
        <v>J 629.2 RIC</v>
      </c>
      <c r="C185" t="s">
        <v>3541</v>
      </c>
      <c r="D185" t="s">
        <v>3542</v>
      </c>
      <c r="E185" t="s">
        <v>3544</v>
      </c>
      <c r="F185" s="3" t="str">
        <f>"2019-11-08  - Inventory - "</f>
        <v xml:space="preserve">2019-11-08  - Inventory - </v>
      </c>
      <c r="G185" s="3" t="str">
        <f>"The big book of transportation"</f>
        <v>The big book of transportation</v>
      </c>
      <c r="H185" t="str">
        <f>"Richards, Jon (1970-)"</f>
        <v>Richards, Jon (1970-)</v>
      </c>
      <c r="I185">
        <v>32</v>
      </c>
      <c r="J185" s="2">
        <v>43524</v>
      </c>
      <c r="K185" s="1">
        <v>15</v>
      </c>
    </row>
    <row r="186" spans="1:11" ht="16" x14ac:dyDescent="0.2">
      <c r="A186">
        <v>246560</v>
      </c>
      <c r="B186" t="str">
        <f>"AUDIO PICOU"</f>
        <v>AUDIO PICOU</v>
      </c>
      <c r="C186" t="s">
        <v>3545</v>
      </c>
      <c r="D186" t="str">
        <f>"Tech Serv"</f>
        <v>Tech Serv</v>
      </c>
      <c r="E186" t="s">
        <v>3544</v>
      </c>
      <c r="F186" s="3" t="str">
        <f>"2019-10-28  - mm - Check In - WB - Members note says disc #3, 4 &amp; 5 skip"</f>
        <v>2019-10-28  - mm - Check In - WB - Members note says disc #3, 4 &amp; 5 skip</v>
      </c>
      <c r="G186" s="3" t="str">
        <f>"Sing you home: a novel"</f>
        <v>Sing you home: a novel</v>
      </c>
      <c r="H186" t="str">
        <f>"Picoult, Jodi (1966-)"</f>
        <v>Picoult, Jodi (1966-)</v>
      </c>
      <c r="I186">
        <v>44</v>
      </c>
      <c r="J186" s="2">
        <v>43740</v>
      </c>
      <c r="K186" s="1">
        <v>50</v>
      </c>
    </row>
    <row r="187" spans="1:11" ht="16" x14ac:dyDescent="0.2">
      <c r="A187">
        <v>246903</v>
      </c>
      <c r="B187" t="str">
        <f>"E TONKA"</f>
        <v>E TONKA</v>
      </c>
      <c r="C187" t="s">
        <v>3541</v>
      </c>
      <c r="D187" t="s">
        <v>3542</v>
      </c>
      <c r="E187" t="s">
        <v>3544</v>
      </c>
      <c r="F187" s="3" t="str">
        <f>"2019-06-14  - Inventory - "</f>
        <v xml:space="preserve">2019-06-14  - Inventory - </v>
      </c>
      <c r="G187" s="3" t="str">
        <f>"If I could drive a tow truck"</f>
        <v>If I could drive a tow truck</v>
      </c>
      <c r="H187" t="str">
        <f>"Teitelbaum, Michael"</f>
        <v>Teitelbaum, Michael</v>
      </c>
      <c r="I187">
        <v>87</v>
      </c>
      <c r="J187" s="2">
        <v>43307</v>
      </c>
      <c r="K187" s="1">
        <v>9</v>
      </c>
    </row>
    <row r="188" spans="1:11" ht="32" x14ac:dyDescent="0.2">
      <c r="A188">
        <v>248894</v>
      </c>
      <c r="B188" t="str">
        <f>"720.9 RES v.1"</f>
        <v>720.9 RES v.1</v>
      </c>
      <c r="C188" t="s">
        <v>3541</v>
      </c>
      <c r="D188" t="s">
        <v>3542</v>
      </c>
      <c r="E188">
        <v>4849</v>
      </c>
      <c r="F188" s="3" t="str">
        <f>"2019-12-04  - Due: 6-9-2019. Notified: 6-16-2019, 6-23-2019, 7-1-2019, 9-24-2019"</f>
        <v>2019-12-04  - Due: 6-9-2019. Notified: 6-16-2019, 6-23-2019, 7-1-2019, 9-24-2019</v>
      </c>
      <c r="G188" s="3" t="str">
        <f>"Understanding the world's greatest structures, part 1 of 2: science and innovation from Antiquity to Modernity"</f>
        <v>Understanding the world's greatest structures, part 1 of 2: science and innovation from Antiquity to Modernity</v>
      </c>
      <c r="H188" t="str">
        <f>"Ressler, Stephen"</f>
        <v>Ressler, Stephen</v>
      </c>
      <c r="I188">
        <v>21</v>
      </c>
      <c r="J188" s="2">
        <v>43370</v>
      </c>
      <c r="K188" s="1">
        <v>40</v>
      </c>
    </row>
    <row r="189" spans="1:11" ht="16" x14ac:dyDescent="0.2">
      <c r="A189">
        <v>248909</v>
      </c>
      <c r="B189" t="str">
        <f>"KIT J BAUER"</f>
        <v>KIT J BAUER</v>
      </c>
      <c r="C189" t="s">
        <v>3545</v>
      </c>
      <c r="D189" t="str">
        <f>"Tech Serv"</f>
        <v>Tech Serv</v>
      </c>
      <c r="E189" t="s">
        <v>3544</v>
      </c>
      <c r="F189" s="3" t="str">
        <f>"2019-03-26  - jem - Check In - LL - torn spine on book"</f>
        <v>2019-03-26  - jem - Check In - LL - torn spine on book</v>
      </c>
      <c r="G189" s="3" t="s">
        <v>3566</v>
      </c>
      <c r="H189" t="str">
        <f>"Bauer, Marion Dane"</f>
        <v>Bauer, Marion Dane</v>
      </c>
      <c r="I189">
        <v>29</v>
      </c>
      <c r="J189" s="2">
        <v>43540</v>
      </c>
      <c r="K189" s="1">
        <v>35</v>
      </c>
    </row>
    <row r="190" spans="1:11" ht="16" x14ac:dyDescent="0.2">
      <c r="A190">
        <v>249146</v>
      </c>
      <c r="B190" t="str">
        <f>"YA GN DEATH"</f>
        <v>YA GN DEATH</v>
      </c>
      <c r="C190" t="s">
        <v>3541</v>
      </c>
      <c r="D190" t="s">
        <v>3542</v>
      </c>
      <c r="E190" t="s">
        <v>3544</v>
      </c>
      <c r="F190" s="3" t="str">
        <f>"2019-08-03  - kl - searched 3 times"</f>
        <v>2019-08-03  - kl - searched 3 times</v>
      </c>
      <c r="G190" s="3" t="str">
        <f>"Death note, v.7: zero"</f>
        <v>Death note, v.7: zero</v>
      </c>
      <c r="H190" t="str">
        <f>"Ōba, Tsugumi."</f>
        <v>Ōba, Tsugumi.</v>
      </c>
      <c r="I190">
        <v>11</v>
      </c>
      <c r="J190" s="2">
        <v>43310</v>
      </c>
      <c r="K190" s="1">
        <v>13</v>
      </c>
    </row>
    <row r="191" spans="1:11" ht="16" x14ac:dyDescent="0.2">
      <c r="A191">
        <v>251170</v>
      </c>
      <c r="B191" t="str">
        <f>"E WILLE"</f>
        <v>E WILLE</v>
      </c>
      <c r="C191" t="s">
        <v>3541</v>
      </c>
      <c r="D191" t="s">
        <v>3542</v>
      </c>
      <c r="E191" t="s">
        <v>3544</v>
      </c>
      <c r="F191" s="3" t="str">
        <f>"2019-06-14  - Inventory - "</f>
        <v xml:space="preserve">2019-06-14  - Inventory - </v>
      </c>
      <c r="G191" s="3" t="str">
        <f>"Don't let the pigeon drive the bus"</f>
        <v>Don't let the pigeon drive the bus</v>
      </c>
      <c r="H191" t="str">
        <f>"Willems, Mo"</f>
        <v>Willems, Mo</v>
      </c>
      <c r="I191">
        <v>54</v>
      </c>
      <c r="J191" s="2">
        <v>42705</v>
      </c>
      <c r="K191" s="1">
        <v>9</v>
      </c>
    </row>
    <row r="192" spans="1:11" ht="16" x14ac:dyDescent="0.2">
      <c r="A192">
        <v>251301</v>
      </c>
      <c r="B192" t="str">
        <f>"VIDEO DVD HANNA"</f>
        <v>VIDEO DVD HANNA</v>
      </c>
      <c r="C192" t="s">
        <v>3545</v>
      </c>
      <c r="D192" t="str">
        <f>"Tech Serv"</f>
        <v>Tech Serv</v>
      </c>
      <c r="E192" t="s">
        <v>3544</v>
      </c>
      <c r="F192" s="3" t="str">
        <f>"2020-01-25  - kt - Check In - WB - case broken"</f>
        <v>2020-01-25  - kt - Check In - WB - case broken</v>
      </c>
      <c r="G192" s="3" t="s">
        <v>3567</v>
      </c>
      <c r="H192" t="str">
        <f>"Wright, Joe"</f>
        <v>Wright, Joe</v>
      </c>
      <c r="I192">
        <v>83</v>
      </c>
      <c r="J192" s="2">
        <v>43840</v>
      </c>
      <c r="K192" s="1">
        <v>26</v>
      </c>
    </row>
    <row r="193" spans="1:11" ht="32" x14ac:dyDescent="0.2">
      <c r="A193">
        <v>251339</v>
      </c>
      <c r="B193" t="str">
        <f>"J 704 KRU"</f>
        <v>J 704 KRU</v>
      </c>
      <c r="C193" t="s">
        <v>3541</v>
      </c>
      <c r="D193" t="s">
        <v>3542</v>
      </c>
      <c r="E193" t="s">
        <v>3544</v>
      </c>
      <c r="F193" s="3" t="str">
        <f>"2019-11-08  - Inventory - "</f>
        <v xml:space="preserve">2019-11-08  - Inventory - </v>
      </c>
      <c r="G193" s="3" t="str">
        <f>"Lives of the artists: masterpieces, messes (and what the neighbors thought)"</f>
        <v>Lives of the artists: masterpieces, messes (and what the neighbors thought)</v>
      </c>
      <c r="H193" t="str">
        <f>"Krull, Kathleen"</f>
        <v>Krull, Kathleen</v>
      </c>
      <c r="I193">
        <v>14</v>
      </c>
      <c r="J193" s="2">
        <v>43375</v>
      </c>
      <c r="K193" s="1">
        <v>18</v>
      </c>
    </row>
    <row r="194" spans="1:11" ht="32" x14ac:dyDescent="0.2">
      <c r="A194">
        <v>251475</v>
      </c>
      <c r="B194" t="str">
        <f>"VIDEO J DVD CHARL"</f>
        <v>VIDEO J DVD CHARL</v>
      </c>
      <c r="C194" t="s">
        <v>3541</v>
      </c>
      <c r="D194" t="s">
        <v>3542</v>
      </c>
      <c r="E194">
        <v>5137249</v>
      </c>
      <c r="F194" s="3" t="str">
        <f>"2019-12-17  - mm - LL - Member left the DVD in a rented RV. Paid $18 for the missing DVD #251475.    12-17-2019  - Due: 12-27-2019."</f>
        <v>2019-12-17  - mm - LL - Member left the DVD in a rented RV. Paid $18 for the missing DVD #251475.    12-17-2019  - Due: 12-27-2019.</v>
      </c>
      <c r="G194" s="3" t="str">
        <f>"Snoopy's reunion"</f>
        <v>Snoopy's reunion</v>
      </c>
      <c r="I194">
        <v>85</v>
      </c>
      <c r="J194" s="2">
        <v>43788</v>
      </c>
      <c r="K194" s="1">
        <v>18</v>
      </c>
    </row>
    <row r="195" spans="1:11" ht="16" x14ac:dyDescent="0.2">
      <c r="A195">
        <v>253327</v>
      </c>
      <c r="B195" t="str">
        <f>"B EASTM"</f>
        <v>B EASTM</v>
      </c>
      <c r="C195" t="s">
        <v>3541</v>
      </c>
      <c r="D195" t="s">
        <v>3542</v>
      </c>
      <c r="E195">
        <v>5213070</v>
      </c>
      <c r="F195" s="3" t="str">
        <f>"2019-11-01  - Due: 10-6-2019. Notified: 10-13-2019, 10-20-2019, 10-28-2019, 12-10-2019"</f>
        <v>2019-11-01  - Due: 10-6-2019. Notified: 10-13-2019, 10-20-2019, 10-28-2019, 12-10-2019</v>
      </c>
      <c r="G195" s="3" t="str">
        <f>"Go, dog. Go"</f>
        <v>Go, dog. Go</v>
      </c>
      <c r="H195" t="str">
        <f>"Eastman, P. D. (Philip D.)"</f>
        <v>Eastman, P. D. (Philip D.)</v>
      </c>
      <c r="I195">
        <v>64</v>
      </c>
      <c r="J195" s="2">
        <v>43730</v>
      </c>
      <c r="K195" s="1">
        <v>10</v>
      </c>
    </row>
    <row r="196" spans="1:11" ht="16" x14ac:dyDescent="0.2">
      <c r="A196">
        <v>254935</v>
      </c>
      <c r="B196" t="str">
        <f>"VIDEO DVD MANOF"</f>
        <v>VIDEO DVD MANOF</v>
      </c>
      <c r="C196" t="s">
        <v>3541</v>
      </c>
      <c r="D196" t="s">
        <v>3542</v>
      </c>
      <c r="E196" t="s">
        <v>3544</v>
      </c>
      <c r="F196" s="3" t="str">
        <f>"2019-10-20  - mm - Searched 3 times"</f>
        <v>2019-10-20  - mm - Searched 3 times</v>
      </c>
      <c r="G196" s="3" t="str">
        <f>"Man of the house"</f>
        <v>Man of the house</v>
      </c>
      <c r="I196">
        <v>54</v>
      </c>
      <c r="J196" s="2">
        <v>43547</v>
      </c>
      <c r="K196" s="1">
        <v>15</v>
      </c>
    </row>
    <row r="197" spans="1:11" ht="16" x14ac:dyDescent="0.2">
      <c r="A197">
        <v>254975</v>
      </c>
      <c r="B197" t="str">
        <f>"VIDEO DVD OCTOB"</f>
        <v>VIDEO DVD OCTOB</v>
      </c>
      <c r="C197" t="s">
        <v>3541</v>
      </c>
      <c r="D197" t="s">
        <v>3542</v>
      </c>
      <c r="E197" t="s">
        <v>3544</v>
      </c>
      <c r="F197" s="3" t="str">
        <f>"2019-07-23  - ss - searched 3 times"</f>
        <v>2019-07-23  - ss - searched 3 times</v>
      </c>
      <c r="G197" s="3" t="str">
        <f>"October sky"</f>
        <v>October sky</v>
      </c>
      <c r="I197">
        <v>57</v>
      </c>
      <c r="J197" s="2">
        <v>43453</v>
      </c>
      <c r="K197" s="1">
        <v>20</v>
      </c>
    </row>
    <row r="198" spans="1:11" ht="16" x14ac:dyDescent="0.2">
      <c r="A198">
        <v>255063</v>
      </c>
      <c r="B198" t="str">
        <f>"248.4 SIL"</f>
        <v>248.4 SIL</v>
      </c>
      <c r="C198" t="s">
        <v>3541</v>
      </c>
      <c r="D198" t="s">
        <v>3542</v>
      </c>
      <c r="E198">
        <v>5212116</v>
      </c>
      <c r="F198" s="3" t="str">
        <f>"2019-10-19  - kl - WB - paid for lost book    10-19-2019  - Due: 10-16-2019."</f>
        <v>2019-10-19  - kl - WB - paid for lost book    10-19-2019  - Due: 10-16-2019.</v>
      </c>
      <c r="G198" s="3" t="str">
        <f>"Loving our kids on purpose: making a heart-to-heart connection"</f>
        <v>Loving our kids on purpose: making a heart-to-heart connection</v>
      </c>
      <c r="H198" t="str">
        <f>"Silk, Danny"</f>
        <v>Silk, Danny</v>
      </c>
      <c r="I198">
        <v>12</v>
      </c>
      <c r="J198" s="2">
        <v>43655</v>
      </c>
      <c r="K198" s="1">
        <v>20</v>
      </c>
    </row>
    <row r="199" spans="1:11" ht="32" x14ac:dyDescent="0.2">
      <c r="A199">
        <v>255081</v>
      </c>
      <c r="B199" t="str">
        <f>"J BUCKL"</f>
        <v>J BUCKL</v>
      </c>
      <c r="C199" t="s">
        <v>3541</v>
      </c>
      <c r="D199" t="s">
        <v>3542</v>
      </c>
      <c r="E199">
        <v>5216646</v>
      </c>
      <c r="F199" s="3" t="str">
        <f>"2020-01-13  - cab - LL - member pd for lost book    1-1-2020  - Due: 12-3-2019. Notified: 12-10-2019, 12-17-2019, 12-27-2019"</f>
        <v>2020-01-13  - cab - LL - member pd for lost book    1-1-2020  - Due: 12-3-2019. Notified: 12-10-2019, 12-17-2019, 12-27-2019</v>
      </c>
      <c r="G199" s="3" t="str">
        <f>"M is for Mama's boy"</f>
        <v>M is for Mama's boy</v>
      </c>
      <c r="H199" t="str">
        <f>"Buckley, Michael"</f>
        <v>Buckley, Michael</v>
      </c>
      <c r="I199">
        <v>62</v>
      </c>
      <c r="J199" s="2">
        <v>43766</v>
      </c>
      <c r="K199" s="1">
        <v>20</v>
      </c>
    </row>
    <row r="200" spans="1:11" ht="16" x14ac:dyDescent="0.2">
      <c r="A200">
        <v>257603</v>
      </c>
      <c r="B200" t="str">
        <f>"VIDEO J DVD LOTSA"</f>
        <v>VIDEO J DVD LOTSA</v>
      </c>
      <c r="C200" t="s">
        <v>3545</v>
      </c>
      <c r="D200" t="str">
        <f>"Tech Serv"</f>
        <v>Tech Serv</v>
      </c>
      <c r="E200" t="s">
        <v>3544</v>
      </c>
      <c r="F200" s="3" t="str">
        <f>"2019-07-31  - ap - Check In - WB - broken case"</f>
        <v>2019-07-31  - ap - Check In - WB - broken case</v>
      </c>
      <c r="G200" s="3" t="str">
        <f>"Lots &amp; lots of jets &amp; planes, v.3"</f>
        <v>Lots &amp; lots of jets &amp; planes, v.3</v>
      </c>
      <c r="I200">
        <v>59</v>
      </c>
      <c r="J200" s="2">
        <v>43670</v>
      </c>
      <c r="K200" s="1">
        <v>15</v>
      </c>
    </row>
    <row r="201" spans="1:11" ht="16" x14ac:dyDescent="0.2">
      <c r="A201">
        <v>258650</v>
      </c>
      <c r="B201" t="str">
        <f>"F JAMES LARGE PRINT"</f>
        <v>F JAMES LARGE PRINT</v>
      </c>
      <c r="C201" t="s">
        <v>3541</v>
      </c>
      <c r="D201" t="s">
        <v>3542</v>
      </c>
      <c r="E201" t="s">
        <v>3544</v>
      </c>
      <c r="F201" s="3" t="str">
        <f>"2019-05-17  - Inventory - "</f>
        <v xml:space="preserve">2019-05-17  - Inventory - </v>
      </c>
      <c r="G201" s="3" t="str">
        <f>"Fifty shades freed"</f>
        <v>Fifty shades freed</v>
      </c>
      <c r="H201" t="str">
        <f>"James, E. L."</f>
        <v>James, E. L.</v>
      </c>
      <c r="I201">
        <v>20</v>
      </c>
      <c r="J201" s="2">
        <v>43030</v>
      </c>
      <c r="K201" s="1">
        <v>23</v>
      </c>
    </row>
    <row r="202" spans="1:11" ht="16" x14ac:dyDescent="0.2">
      <c r="A202">
        <v>258764</v>
      </c>
      <c r="B202" t="str">
        <f>"J MILES"</f>
        <v>J MILES</v>
      </c>
      <c r="C202" t="s">
        <v>3545</v>
      </c>
      <c r="D202" t="str">
        <f>"Tech Serv"</f>
        <v>Tech Serv</v>
      </c>
      <c r="E202" t="s">
        <v>3544</v>
      </c>
      <c r="F202" s="3" t="str">
        <f>"2020-01-21  - dbj - Check In - LL - binding"</f>
        <v>2020-01-21  - dbj - Check In - LL - binding</v>
      </c>
      <c r="G202" s="3" t="s">
        <v>3568</v>
      </c>
      <c r="H202" t="str">
        <f>"Miles, Ellen"</f>
        <v>Miles, Ellen</v>
      </c>
      <c r="I202">
        <v>53</v>
      </c>
      <c r="J202" s="2">
        <v>43811</v>
      </c>
      <c r="K202" s="1">
        <v>10</v>
      </c>
    </row>
    <row r="203" spans="1:11" ht="16" x14ac:dyDescent="0.2">
      <c r="A203">
        <v>258871</v>
      </c>
      <c r="B203" t="str">
        <f>"VIDEO DVD SISTE"</f>
        <v>VIDEO DVD SISTE</v>
      </c>
      <c r="C203" t="s">
        <v>3541</v>
      </c>
      <c r="D203" t="s">
        <v>3542</v>
      </c>
      <c r="E203" t="s">
        <v>3544</v>
      </c>
      <c r="F203" s="3" t="str">
        <f>"2019-11-09  - kl - searched 3 times"</f>
        <v>2019-11-09  - kl - searched 3 times</v>
      </c>
      <c r="G203" s="3" t="str">
        <f>"Sister act/Sister act 2 : back in the habit"</f>
        <v>Sister act/Sister act 2 : back in the habit</v>
      </c>
      <c r="H203" t="str">
        <f>"Ardolino, Emile."</f>
        <v>Ardolino, Emile.</v>
      </c>
      <c r="I203">
        <v>63</v>
      </c>
      <c r="J203" s="2">
        <v>43677</v>
      </c>
      <c r="K203" s="1">
        <v>25</v>
      </c>
    </row>
    <row r="204" spans="1:11" ht="16" x14ac:dyDescent="0.2">
      <c r="A204">
        <v>259118</v>
      </c>
      <c r="B204" t="str">
        <f>"VIDEO DVD LUTHE"</f>
        <v>VIDEO DVD LUTHE</v>
      </c>
      <c r="C204" t="s">
        <v>3541</v>
      </c>
      <c r="D204" t="s">
        <v>3542</v>
      </c>
      <c r="E204" t="s">
        <v>3544</v>
      </c>
      <c r="F204" s="3" t="str">
        <f>"2020-01-31  - Inventory - "</f>
        <v xml:space="preserve">2020-01-31  - Inventory - </v>
      </c>
      <c r="G204" s="3" t="str">
        <f>"Luther: a film about Martin Luther"</f>
        <v>Luther: a film about Martin Luther</v>
      </c>
      <c r="I204">
        <v>32</v>
      </c>
      <c r="J204" s="2">
        <v>43477</v>
      </c>
      <c r="K204" s="1">
        <v>20</v>
      </c>
    </row>
    <row r="205" spans="1:11" ht="16" x14ac:dyDescent="0.2">
      <c r="A205">
        <v>259419</v>
      </c>
      <c r="B205" t="str">
        <f>"AUDIO J OSBOR"</f>
        <v>AUDIO J OSBOR</v>
      </c>
      <c r="C205" t="s">
        <v>3545</v>
      </c>
      <c r="D205" t="str">
        <f>"Tech Serv"</f>
        <v>Tech Serv</v>
      </c>
      <c r="E205" t="s">
        <v>3544</v>
      </c>
      <c r="F205" s="3" t="str">
        <f>"2019-08-02  - BD - Check In - WB - leaves splitting and not holding CDs very well"</f>
        <v>2019-08-02  - BD - Check In - WB - leaves splitting and not holding CDs very well</v>
      </c>
      <c r="G205" s="3" t="str">
        <f>"A crazy day with cobras"</f>
        <v>A crazy day with cobras</v>
      </c>
      <c r="H205" t="str">
        <f>"Osborne, Mary Pope"</f>
        <v>Osborne, Mary Pope</v>
      </c>
      <c r="I205">
        <v>37</v>
      </c>
      <c r="J205" s="2">
        <v>43671</v>
      </c>
      <c r="K205" s="1">
        <v>20</v>
      </c>
    </row>
    <row r="206" spans="1:11" ht="16" x14ac:dyDescent="0.2">
      <c r="A206">
        <v>259799</v>
      </c>
      <c r="B206" t="str">
        <f>"KIT J YARRO"</f>
        <v>KIT J YARRO</v>
      </c>
      <c r="C206" t="s">
        <v>3541</v>
      </c>
      <c r="D206" t="s">
        <v>3542</v>
      </c>
      <c r="E206" t="s">
        <v>3544</v>
      </c>
      <c r="F206" s="3" t="str">
        <f>"2019-08-06  - cab - lost in transit"</f>
        <v>2019-08-06  - cab - lost in transit</v>
      </c>
      <c r="G206" s="3" t="str">
        <f>"Puff, the magic dragon"</f>
        <v>Puff, the magic dragon</v>
      </c>
      <c r="H206" t="str">
        <f>"Yarrow, Peter (1938-)"</f>
        <v>Yarrow, Peter (1938-)</v>
      </c>
      <c r="I206">
        <v>56</v>
      </c>
      <c r="J206" s="2">
        <v>43433</v>
      </c>
      <c r="K206" s="1">
        <v>28</v>
      </c>
    </row>
    <row r="207" spans="1:11" ht="16" x14ac:dyDescent="0.2">
      <c r="A207">
        <v>261785</v>
      </c>
      <c r="B207" t="str">
        <f>"VIDEO DVD BALTO"</f>
        <v>VIDEO DVD BALTO</v>
      </c>
      <c r="C207" t="s">
        <v>3541</v>
      </c>
      <c r="D207" t="s">
        <v>3542</v>
      </c>
      <c r="E207">
        <v>5214008</v>
      </c>
      <c r="F207" s="3" t="str">
        <f>"2020-01-26  - Due: 12-29-2019. Notified: 1-5-2020, 1-12-2020, 1-21-2020"</f>
        <v>2020-01-26  - Due: 12-29-2019. Notified: 1-5-2020, 1-12-2020, 1-21-2020</v>
      </c>
      <c r="G207" s="3" t="s">
        <v>3569</v>
      </c>
      <c r="I207">
        <v>96</v>
      </c>
      <c r="J207" s="2">
        <v>43821</v>
      </c>
      <c r="K207" s="1">
        <v>14</v>
      </c>
    </row>
    <row r="208" spans="1:11" ht="16" x14ac:dyDescent="0.2">
      <c r="A208">
        <v>261994</v>
      </c>
      <c r="B208" t="str">
        <f>"E MAYER"</f>
        <v>E MAYER</v>
      </c>
      <c r="C208" t="s">
        <v>3541</v>
      </c>
      <c r="D208" t="s">
        <v>3542</v>
      </c>
      <c r="E208" t="s">
        <v>3544</v>
      </c>
      <c r="F208" s="3" t="str">
        <f>"2019-07-17  - rm - Member thought book had been returned, but it was not found on shelf."</f>
        <v>2019-07-17  - rm - Member thought book had been returned, but it was not found on shelf.</v>
      </c>
      <c r="G208" s="3" t="str">
        <f>"Where is my frog?"</f>
        <v>Where is my frog?</v>
      </c>
      <c r="H208" t="str">
        <f>"Mayer, Mercer (1943-)"</f>
        <v>Mayer, Mercer (1943-)</v>
      </c>
      <c r="I208">
        <v>70</v>
      </c>
      <c r="J208" s="2">
        <v>43654</v>
      </c>
      <c r="K208" s="1">
        <v>10</v>
      </c>
    </row>
    <row r="209" spans="1:11" ht="16" x14ac:dyDescent="0.2">
      <c r="A209">
        <v>262058</v>
      </c>
      <c r="B209" t="str">
        <f>"J 629.1 WIN"</f>
        <v>J 629.1 WIN</v>
      </c>
      <c r="C209" t="s">
        <v>3541</v>
      </c>
      <c r="D209" t="s">
        <v>3542</v>
      </c>
      <c r="E209">
        <v>5204123</v>
      </c>
      <c r="F209" s="3" t="str">
        <f>"2019-12-29  - Due: 11-30-2019. Notified: 12-7-2019, 12-14-2019, 12-23-2019"</f>
        <v>2019-12-29  - Due: 11-30-2019. Notified: 12-7-2019, 12-14-2019, 12-23-2019</v>
      </c>
      <c r="G209" s="3" t="str">
        <f>"Traveling by airplane"</f>
        <v>Traveling by airplane</v>
      </c>
      <c r="H209" t="str">
        <f>"Winters, Pierre."</f>
        <v>Winters, Pierre.</v>
      </c>
      <c r="I209">
        <v>35</v>
      </c>
      <c r="J209" s="2">
        <v>43748</v>
      </c>
      <c r="K209" s="1">
        <v>22</v>
      </c>
    </row>
    <row r="210" spans="1:11" ht="16" x14ac:dyDescent="0.2">
      <c r="A210">
        <v>262375</v>
      </c>
      <c r="B210" t="str">
        <f>"VIDEO DVD HOBBI"</f>
        <v>VIDEO DVD HOBBI</v>
      </c>
      <c r="C210" t="s">
        <v>3541</v>
      </c>
      <c r="D210" t="s">
        <v>3542</v>
      </c>
      <c r="E210" t="s">
        <v>3544</v>
      </c>
      <c r="F210" s="3" t="str">
        <f>"2019-08-16  - kl - searched 3 times"</f>
        <v>2019-08-16  - kl - searched 3 times</v>
      </c>
      <c r="G210" s="3" t="str">
        <f>"The hobbit: an unexpected journey"</f>
        <v>The hobbit: an unexpected journey</v>
      </c>
      <c r="H210" t="str">
        <f>"Jackson, Peter"</f>
        <v>Jackson, Peter</v>
      </c>
      <c r="I210">
        <v>59</v>
      </c>
      <c r="J210" s="2">
        <v>43515</v>
      </c>
      <c r="K210" s="1">
        <v>27</v>
      </c>
    </row>
    <row r="211" spans="1:11" ht="16" x14ac:dyDescent="0.2">
      <c r="A211">
        <v>262437</v>
      </c>
      <c r="B211" t="str">
        <f>"E BURTO"</f>
        <v>E BURTO</v>
      </c>
      <c r="C211" t="s">
        <v>3545</v>
      </c>
      <c r="D211" t="s">
        <v>3542</v>
      </c>
      <c r="E211">
        <v>5027515</v>
      </c>
      <c r="F211" s="3" t="str">
        <f>"2019-10-26  - kh - LL - Member paid $12 cash for book.    10-26-2019  - Due: 11-2-2019."</f>
        <v>2019-10-26  - kh - LL - Member paid $12 cash for book.    10-26-2019  - Due: 11-2-2019.</v>
      </c>
      <c r="G211" s="3" t="str">
        <f>"Katy and the big snow"</f>
        <v>Katy and the big snow</v>
      </c>
      <c r="H211" t="str">
        <f>"Burton, Virginia Lee (1909-1968.)"</f>
        <v>Burton, Virginia Lee (1909-1968.)</v>
      </c>
      <c r="I211">
        <v>33</v>
      </c>
      <c r="J211" s="2">
        <v>43734</v>
      </c>
      <c r="K211" s="1">
        <v>12</v>
      </c>
    </row>
    <row r="212" spans="1:11" ht="32" x14ac:dyDescent="0.2">
      <c r="A212">
        <v>262443</v>
      </c>
      <c r="B212" t="str">
        <f>"641.5 BLA"</f>
        <v>641.5 BLA</v>
      </c>
      <c r="C212" t="s">
        <v>3541</v>
      </c>
      <c r="D212" t="s">
        <v>3542</v>
      </c>
      <c r="E212" t="s">
        <v>3544</v>
      </c>
      <c r="F212" s="3" t="str">
        <f>"2019-12-22  - mm - Searched 3 times"</f>
        <v>2019-12-22  - mm - Searched 3 times</v>
      </c>
      <c r="G212" s="3" t="str">
        <f>"More anti-inflammation diet tips and recipes: protect yourself from heart disease, arthritis, diabetes, allergies, fatigue, and pain"</f>
        <v>More anti-inflammation diet tips and recipes: protect yourself from heart disease, arthritis, diabetes, allergies, fatigue, and pain</v>
      </c>
      <c r="H212" t="str">
        <f>"Black, Jessica."</f>
        <v>Black, Jessica.</v>
      </c>
      <c r="I212">
        <v>29</v>
      </c>
      <c r="J212" s="2">
        <v>43747</v>
      </c>
      <c r="K212" s="1">
        <v>23</v>
      </c>
    </row>
    <row r="213" spans="1:11" ht="16" x14ac:dyDescent="0.2">
      <c r="A213">
        <v>262558</v>
      </c>
      <c r="B213" t="str">
        <f>"VIDEO DVD CRYIN"</f>
        <v>VIDEO DVD CRYIN</v>
      </c>
      <c r="C213" t="s">
        <v>3541</v>
      </c>
      <c r="D213" t="s">
        <v>3542</v>
      </c>
      <c r="E213">
        <v>5163396</v>
      </c>
      <c r="F213" s="3" t="str">
        <f>"2020-01-22  - Due: 12-22-2019. Notified: 12-29-2019, 1-5-2020, 1-13-2020"</f>
        <v>2020-01-22  - Due: 12-22-2019. Notified: 12-29-2019, 1-5-2020, 1-13-2020</v>
      </c>
      <c r="G213" s="3" t="str">
        <f>"A cry in the wild"</f>
        <v>A cry in the wild</v>
      </c>
      <c r="H213" t="str">
        <f>"Griffiths, Mark"</f>
        <v>Griffiths, Mark</v>
      </c>
      <c r="I213">
        <v>52</v>
      </c>
      <c r="J213" s="2">
        <v>43782</v>
      </c>
      <c r="K213" s="1">
        <v>16</v>
      </c>
    </row>
    <row r="214" spans="1:11" ht="16" x14ac:dyDescent="0.2">
      <c r="A214">
        <v>264923</v>
      </c>
      <c r="B214" t="str">
        <f>"VIDEO DVD HOOT"</f>
        <v>VIDEO DVD HOOT</v>
      </c>
      <c r="C214" t="s">
        <v>3541</v>
      </c>
      <c r="D214" t="s">
        <v>3542</v>
      </c>
      <c r="E214">
        <v>5178836</v>
      </c>
      <c r="F214" s="3" t="str">
        <f>"2019-08-17  - Due: 7-22-2019. Notified: 7-29-2019, 8-5-2019, 8-12-2019, 9-24-2019"</f>
        <v>2019-08-17  - Due: 7-22-2019. Notified: 7-29-2019, 8-5-2019, 8-12-2019, 9-24-2019</v>
      </c>
      <c r="G214" s="3" t="s">
        <v>3570</v>
      </c>
      <c r="H214" t="str">
        <f>"Shriner, Wil"</f>
        <v>Shriner, Wil</v>
      </c>
      <c r="I214">
        <v>86</v>
      </c>
      <c r="J214" s="2">
        <v>43651</v>
      </c>
      <c r="K214" s="1">
        <v>18</v>
      </c>
    </row>
    <row r="215" spans="1:11" ht="32" x14ac:dyDescent="0.2">
      <c r="A215">
        <v>265587</v>
      </c>
      <c r="B215" t="str">
        <f>"E BRIDW"</f>
        <v>E BRIDW</v>
      </c>
      <c r="C215" t="s">
        <v>3541</v>
      </c>
      <c r="D215" t="s">
        <v>3542</v>
      </c>
      <c r="E215">
        <v>5200717</v>
      </c>
      <c r="F215" s="3" t="str">
        <f>"2019-09-05  - BD - WB - Brought in replacement copy; waiving fee because she spoke to someone about options and it was not mentioned.    9-5-2019  - Due: 9-5-2019."</f>
        <v>2019-09-05  - BD - WB - Brought in replacement copy; waiving fee because she spoke to someone about options and it was not mentioned.    9-5-2019  - Due: 9-5-2019.</v>
      </c>
      <c r="G215" s="3" t="str">
        <f>"Clifford's best friend: a story about Emily Elizabeth"</f>
        <v>Clifford's best friend: a story about Emily Elizabeth</v>
      </c>
      <c r="H215" t="str">
        <f>"Bridwell, Norman"</f>
        <v>Bridwell, Norman</v>
      </c>
      <c r="I215">
        <v>62</v>
      </c>
      <c r="J215" s="2">
        <v>43675</v>
      </c>
      <c r="K215" s="1">
        <v>9</v>
      </c>
    </row>
    <row r="216" spans="1:11" ht="16" x14ac:dyDescent="0.2">
      <c r="A216">
        <v>265739</v>
      </c>
      <c r="B216" t="str">
        <f>"B CAPUC"</f>
        <v>B CAPUC</v>
      </c>
      <c r="C216" t="s">
        <v>3541</v>
      </c>
      <c r="D216" t="s">
        <v>3542</v>
      </c>
      <c r="E216" t="s">
        <v>3544</v>
      </c>
      <c r="F216" s="3" t="str">
        <f>"2020-01-03  - kt - missing"</f>
        <v>2020-01-03  - kt - missing</v>
      </c>
      <c r="G216" s="3" t="str">
        <f>"Biscuit's day at the farm"</f>
        <v>Biscuit's day at the farm</v>
      </c>
      <c r="H216" t="str">
        <f>"Capucilli, Alyssa Satin (1957-)"</f>
        <v>Capucilli, Alyssa Satin (1957-)</v>
      </c>
      <c r="I216">
        <v>77</v>
      </c>
      <c r="J216" s="2">
        <v>43754</v>
      </c>
      <c r="K216" s="1">
        <v>9</v>
      </c>
    </row>
    <row r="217" spans="1:11" ht="16" x14ac:dyDescent="0.2">
      <c r="A217">
        <v>268173</v>
      </c>
      <c r="B217" t="str">
        <f>"T HELLO"</f>
        <v>T HELLO</v>
      </c>
      <c r="C217" t="s">
        <v>3541</v>
      </c>
      <c r="D217" t="s">
        <v>3542</v>
      </c>
      <c r="E217" t="s">
        <v>3544</v>
      </c>
      <c r="F217" s="3" t="str">
        <f>"2019-11-15  - Inventory - "</f>
        <v xml:space="preserve">2019-11-15  - Inventory - </v>
      </c>
      <c r="G217" s="3" t="str">
        <f>"Hello, circulos!: shapes in English and Spanish"</f>
        <v>Hello, circulos!: shapes in English and Spanish</v>
      </c>
      <c r="I217">
        <v>38</v>
      </c>
      <c r="J217" s="2">
        <v>43536</v>
      </c>
      <c r="K217" s="1">
        <v>13</v>
      </c>
    </row>
    <row r="218" spans="1:11" ht="16" x14ac:dyDescent="0.2">
      <c r="A218">
        <v>268238</v>
      </c>
      <c r="B218" t="str">
        <f>"VIDEO DVD MADAG"</f>
        <v>VIDEO DVD MADAG</v>
      </c>
      <c r="C218" t="s">
        <v>3560</v>
      </c>
      <c r="D218" t="str">
        <f>"Circ Prob Box"</f>
        <v>Circ Prob Box</v>
      </c>
      <c r="E218">
        <v>5185268</v>
      </c>
      <c r="F218" s="3" t="str">
        <f>"2020-01-30  - BD - WB - emailed    1-30-2020  - BD - Check In - WB - missing disc"</f>
        <v>2020-01-30  - BD - WB - emailed    1-30-2020  - BD - Check In - WB - missing disc</v>
      </c>
      <c r="G218" s="3" t="s">
        <v>3571</v>
      </c>
      <c r="I218">
        <v>106</v>
      </c>
      <c r="J218" s="2">
        <v>43845</v>
      </c>
      <c r="K218" s="1">
        <v>20</v>
      </c>
    </row>
    <row r="219" spans="1:11" ht="16" x14ac:dyDescent="0.2">
      <c r="A219">
        <v>268506</v>
      </c>
      <c r="B219" t="str">
        <f>"T EHLER"</f>
        <v>T EHLER</v>
      </c>
      <c r="C219" t="s">
        <v>3541</v>
      </c>
      <c r="D219" t="s">
        <v>3542</v>
      </c>
      <c r="E219">
        <v>5091030</v>
      </c>
      <c r="F219" s="3" t="str">
        <f>"2020-01-08  - dw - member paid for lost book    1-8-2020  - Due: 12-27-2019. Notified: 1-3-2020"</f>
        <v>2020-01-08  - dw - member paid for lost book    1-8-2020  - Due: 12-27-2019. Notified: 1-3-2020</v>
      </c>
      <c r="G219" s="3" t="str">
        <f>"Eating the alphabet: fruits &amp; vegetables from A to Z"</f>
        <v>Eating the alphabet: fruits &amp; vegetables from A to Z</v>
      </c>
      <c r="H219" t="str">
        <f>"Ehlert, Lois"</f>
        <v>Ehlert, Lois</v>
      </c>
      <c r="I219">
        <v>17</v>
      </c>
      <c r="J219" s="2">
        <v>43810</v>
      </c>
      <c r="K219" s="1">
        <v>10</v>
      </c>
    </row>
    <row r="220" spans="1:11" ht="16" x14ac:dyDescent="0.2">
      <c r="A220">
        <v>268520</v>
      </c>
      <c r="B220" t="str">
        <f>"E WALTD"</f>
        <v>E WALTD</v>
      </c>
      <c r="C220" t="s">
        <v>3541</v>
      </c>
      <c r="D220" t="s">
        <v>3542</v>
      </c>
      <c r="E220">
        <v>5216175</v>
      </c>
      <c r="F220" s="3" t="str">
        <f>"2019-08-19  - Due: 7-24-2019. Notified: 7-31-2019, 8-7-2019, 8-14-2019, 9-24-2019"</f>
        <v>2019-08-19  - Due: 7-24-2019. Notified: 7-31-2019, 8-7-2019, 8-14-2019, 9-24-2019</v>
      </c>
      <c r="G220" s="3" t="s">
        <v>3572</v>
      </c>
      <c r="H220" t="str">
        <f>"Redbank, Tennant"</f>
        <v>Redbank, Tennant</v>
      </c>
      <c r="I220">
        <v>48</v>
      </c>
      <c r="J220" s="2">
        <v>43656</v>
      </c>
      <c r="K220" s="1">
        <v>9</v>
      </c>
    </row>
    <row r="221" spans="1:11" ht="16" x14ac:dyDescent="0.2">
      <c r="A221">
        <v>268536</v>
      </c>
      <c r="B221" t="str">
        <f>"J WARNE"</f>
        <v>J WARNE</v>
      </c>
      <c r="C221" t="s">
        <v>3541</v>
      </c>
      <c r="D221" t="s">
        <v>3542</v>
      </c>
      <c r="E221">
        <v>5214221</v>
      </c>
      <c r="F221" s="3" t="str">
        <f>"2020-01-04  - Due: 12-5-2019. Notified: 12-12-2019, 12-19-2019, 12-27-2019"</f>
        <v>2020-01-04  - Due: 12-5-2019. Notified: 12-12-2019, 12-19-2019, 12-27-2019</v>
      </c>
      <c r="G221" s="3" t="str">
        <f>"The mystery of the wild ponies"</f>
        <v>The mystery of the wild ponies</v>
      </c>
      <c r="H221" t="str">
        <f>"Warner, Gertrude Chandler (1890-)"</f>
        <v>Warner, Gertrude Chandler (1890-)</v>
      </c>
      <c r="I221">
        <v>17</v>
      </c>
      <c r="J221" s="2">
        <v>43790</v>
      </c>
      <c r="K221" s="1">
        <v>9</v>
      </c>
    </row>
    <row r="222" spans="1:11" ht="16" x14ac:dyDescent="0.2">
      <c r="A222">
        <v>269154</v>
      </c>
      <c r="B222" t="str">
        <f>"VIDEO J DVD BEREN"</f>
        <v>VIDEO J DVD BEREN</v>
      </c>
      <c r="C222" t="s">
        <v>3545</v>
      </c>
      <c r="D222" t="str">
        <f>"Tech Serv"</f>
        <v>Tech Serv</v>
      </c>
      <c r="E222" t="s">
        <v>3544</v>
      </c>
      <c r="F222" s="3" t="str">
        <f>"2019-10-07  - cab - Check In - LL - this disc was cracked whne member checked out"</f>
        <v>2019-10-07  - cab - Check In - LL - this disc was cracked whne member checked out</v>
      </c>
      <c r="G222" s="3" t="str">
        <f>"Berenstain bears: pumpkin party"</f>
        <v>Berenstain bears: pumpkin party</v>
      </c>
      <c r="I222">
        <v>38</v>
      </c>
      <c r="J222" s="2">
        <v>43719</v>
      </c>
      <c r="K222" s="1">
        <v>11</v>
      </c>
    </row>
    <row r="223" spans="1:11" ht="16" x14ac:dyDescent="0.2">
      <c r="A223">
        <v>269694</v>
      </c>
      <c r="B223" t="str">
        <f>"J 394.2 CHR PRO"</f>
        <v>J 394.2 CHR PRO</v>
      </c>
      <c r="C223" t="s">
        <v>3541</v>
      </c>
      <c r="D223" t="s">
        <v>3542</v>
      </c>
      <c r="E223">
        <v>5170218</v>
      </c>
      <c r="F223" s="3" t="str">
        <f>"2020-01-18  - Due: 12-19-2019. Notified: 12-27-2019, 1-2-2020, 1-10-2020"</f>
        <v>2020-01-18  - Due: 12-19-2019. Notified: 12-27-2019, 1-2-2020, 1-10-2020</v>
      </c>
      <c r="G223" s="3" t="str">
        <f>"Christmas Eve with Mrs. Claus"</f>
        <v>Christmas Eve with Mrs. Claus</v>
      </c>
      <c r="H223" t="str">
        <f>"Proeller Hueston, Marie."</f>
        <v>Proeller Hueston, Marie.</v>
      </c>
      <c r="I223">
        <v>19</v>
      </c>
      <c r="J223" s="2">
        <v>43804</v>
      </c>
      <c r="K223" s="1">
        <v>18</v>
      </c>
    </row>
    <row r="224" spans="1:11" ht="48" x14ac:dyDescent="0.2">
      <c r="A224">
        <v>270165</v>
      </c>
      <c r="B224" t="str">
        <f>"VIDEO DVD NIGHT"</f>
        <v>VIDEO DVD NIGHT</v>
      </c>
      <c r="C224" t="s">
        <v>3560</v>
      </c>
      <c r="D224" t="str">
        <f>"Tech Serv"</f>
        <v>Tech Serv</v>
      </c>
      <c r="E224">
        <v>5203131</v>
      </c>
      <c r="F224" s="3" t="s">
        <v>3573</v>
      </c>
      <c r="G224" s="3" t="str">
        <f>"The nightmare before Christmas"</f>
        <v>The nightmare before Christmas</v>
      </c>
      <c r="I224">
        <v>39</v>
      </c>
      <c r="J224" s="2">
        <v>43730</v>
      </c>
      <c r="K224" s="1">
        <v>20</v>
      </c>
    </row>
    <row r="225" spans="1:11" ht="16" x14ac:dyDescent="0.2">
      <c r="A225">
        <v>270484</v>
      </c>
      <c r="B225" t="str">
        <f>"VIDEO DVD ALPHA"</f>
        <v>VIDEO DVD ALPHA</v>
      </c>
      <c r="C225" t="s">
        <v>3541</v>
      </c>
      <c r="D225" t="s">
        <v>3542</v>
      </c>
      <c r="E225">
        <v>5214195</v>
      </c>
      <c r="F225" s="3" t="str">
        <f>"2020-01-26  - Due: 12-29-2019. Notified: 1-5-2020, 1-12-2020, 1-21-2020"</f>
        <v>2020-01-26  - Due: 12-29-2019. Notified: 1-5-2020, 1-12-2020, 1-21-2020</v>
      </c>
      <c r="G225" s="3" t="str">
        <f>"Alpha and omega"</f>
        <v>Alpha and omega</v>
      </c>
      <c r="H225" t="str">
        <f>"Bell, Anthony"</f>
        <v>Bell, Anthony</v>
      </c>
      <c r="I225">
        <v>75</v>
      </c>
      <c r="J225" s="2">
        <v>43821</v>
      </c>
      <c r="K225" s="1">
        <v>10</v>
      </c>
    </row>
    <row r="226" spans="1:11" ht="16" x14ac:dyDescent="0.2">
      <c r="A226">
        <v>271819</v>
      </c>
      <c r="B226" t="str">
        <f>"VIDEO DVD MOTHE"</f>
        <v>VIDEO DVD MOTHE</v>
      </c>
      <c r="C226" t="s">
        <v>3541</v>
      </c>
      <c r="D226" t="s">
        <v>3542</v>
      </c>
      <c r="E226" t="s">
        <v>3544</v>
      </c>
      <c r="F226" s="3" t="str">
        <f>"2020-01-31  - Inventory - "</f>
        <v xml:space="preserve">2020-01-31  - Inventory - </v>
      </c>
      <c r="G226" s="3" t="str">
        <f>"Mother of George"</f>
        <v>Mother of George</v>
      </c>
      <c r="H226" t="str">
        <f>"Gurira, Danai"</f>
        <v>Gurira, Danai</v>
      </c>
      <c r="I226">
        <v>11</v>
      </c>
      <c r="J226" s="2">
        <v>42780</v>
      </c>
      <c r="K226" s="1">
        <v>37</v>
      </c>
    </row>
    <row r="227" spans="1:11" ht="16" x14ac:dyDescent="0.2">
      <c r="A227">
        <v>271843</v>
      </c>
      <c r="B227" t="str">
        <f>"VIDEO DVD BALTO"</f>
        <v>VIDEO DVD BALTO</v>
      </c>
      <c r="C227" t="s">
        <v>3541</v>
      </c>
      <c r="D227" t="s">
        <v>3542</v>
      </c>
      <c r="E227">
        <v>5214328</v>
      </c>
      <c r="F227" s="3" t="str">
        <f>"2020-01-26  - Due: 12-29-2019. Notified: 1-5-2020, 1-12-2020, 1-21-2020"</f>
        <v>2020-01-26  - Due: 12-29-2019. Notified: 1-5-2020, 1-12-2020, 1-21-2020</v>
      </c>
      <c r="G227" s="3" t="str">
        <f>"Balto II: wolf quest"</f>
        <v>Balto II: wolf quest</v>
      </c>
      <c r="I227">
        <v>37</v>
      </c>
      <c r="J227" s="2">
        <v>43821</v>
      </c>
      <c r="K227" s="1">
        <v>35</v>
      </c>
    </row>
    <row r="228" spans="1:11" ht="16" x14ac:dyDescent="0.2">
      <c r="A228">
        <v>272978</v>
      </c>
      <c r="B228" t="str">
        <f>"E SPONG"</f>
        <v>E SPONG</v>
      </c>
      <c r="C228" t="s">
        <v>3541</v>
      </c>
      <c r="D228" t="s">
        <v>3542</v>
      </c>
      <c r="E228">
        <v>5178665</v>
      </c>
      <c r="F228" s="3" t="str">
        <f>"2019-08-27  - Due: 8-1-2019. Notified: 8-9-2019, 8-15-2019, 8-23-2019, 10-29-2019"</f>
        <v>2019-08-27  - Due: 8-1-2019. Notified: 8-9-2019, 8-15-2019, 8-23-2019, 10-29-2019</v>
      </c>
      <c r="G228" s="3" t="str">
        <f>"SpongeBob SquarePants: you're fired!"</f>
        <v>SpongeBob SquarePants: you're fired!</v>
      </c>
      <c r="I228">
        <v>58</v>
      </c>
      <c r="J228" s="2">
        <v>43664</v>
      </c>
      <c r="K228" s="1">
        <v>9</v>
      </c>
    </row>
    <row r="229" spans="1:11" ht="16" x14ac:dyDescent="0.2">
      <c r="A229">
        <v>272981</v>
      </c>
      <c r="B229" t="str">
        <f>"E FALCO"</f>
        <v>E FALCO</v>
      </c>
      <c r="C229" t="s">
        <v>3541</v>
      </c>
      <c r="D229" t="s">
        <v>3542</v>
      </c>
      <c r="E229" t="s">
        <v>3544</v>
      </c>
      <c r="F229" s="3" t="str">
        <f>"2019-06-14  - Inventory - "</f>
        <v xml:space="preserve">2019-06-14  - Inventory - </v>
      </c>
      <c r="G229" s="3" t="str">
        <f>"Olivia and her alien brother"</f>
        <v>Olivia and her alien brother</v>
      </c>
      <c r="H229" t="str">
        <f>"Testa, Maggie."</f>
        <v>Testa, Maggie.</v>
      </c>
      <c r="I229">
        <v>43</v>
      </c>
      <c r="J229" s="2">
        <v>43522</v>
      </c>
      <c r="K229" s="1">
        <v>9</v>
      </c>
    </row>
    <row r="230" spans="1:11" ht="16" x14ac:dyDescent="0.2">
      <c r="A230">
        <v>272993</v>
      </c>
      <c r="B230" t="str">
        <f>"J 468.6 GON"</f>
        <v>J 468.6 GON</v>
      </c>
      <c r="C230" t="s">
        <v>3541</v>
      </c>
      <c r="D230" t="s">
        <v>3542</v>
      </c>
      <c r="E230" t="s">
        <v>3544</v>
      </c>
      <c r="F230" s="3" t="str">
        <f>"2019-04-05  - Inventory - "</f>
        <v xml:space="preserve">2019-04-05  - Inventory - </v>
      </c>
      <c r="G230" s="3" t="str">
        <f>"I know the river loves me"</f>
        <v>I know the river loves me</v>
      </c>
      <c r="H230" t="str">
        <f>"Gonzalez, Maya Christina."</f>
        <v>Gonzalez, Maya Christina.</v>
      </c>
      <c r="I230">
        <v>1</v>
      </c>
      <c r="J230" s="2">
        <v>41813</v>
      </c>
      <c r="K230" s="1">
        <v>14</v>
      </c>
    </row>
    <row r="231" spans="1:11" ht="16" x14ac:dyDescent="0.2">
      <c r="A231">
        <v>273291</v>
      </c>
      <c r="B231" t="str">
        <f>"AUDIO 153.8 BRO"</f>
        <v>AUDIO 153.8 BRO</v>
      </c>
      <c r="C231" t="s">
        <v>3541</v>
      </c>
      <c r="D231" t="s">
        <v>3542</v>
      </c>
      <c r="E231" t="s">
        <v>3544</v>
      </c>
      <c r="F231" s="3" t="str">
        <f>"2020-01-10  - Inventory - "</f>
        <v xml:space="preserve">2020-01-10  - Inventory - </v>
      </c>
      <c r="G231" s="3" t="str">
        <f>"Influence: mastering life's most powerful skill"</f>
        <v>Influence: mastering life's most powerful skill</v>
      </c>
      <c r="H231" t="str">
        <f>"Brown, Kenneth G."</f>
        <v>Brown, Kenneth G.</v>
      </c>
      <c r="I231">
        <v>37</v>
      </c>
      <c r="J231" s="2">
        <v>43485</v>
      </c>
      <c r="K231" s="1">
        <v>30</v>
      </c>
    </row>
    <row r="232" spans="1:11" ht="16" x14ac:dyDescent="0.2">
      <c r="A232">
        <v>273329</v>
      </c>
      <c r="B232" t="str">
        <f>"VIDEO DVD LABOR"</f>
        <v>VIDEO DVD LABOR</v>
      </c>
      <c r="C232" t="s">
        <v>3541</v>
      </c>
      <c r="D232" t="s">
        <v>3542</v>
      </c>
      <c r="E232" t="s">
        <v>3544</v>
      </c>
      <c r="F232" s="3" t="str">
        <f>"2020-01-31  - Inventory - "</f>
        <v xml:space="preserve">2020-01-31  - Inventory - </v>
      </c>
      <c r="G232" s="3" t="str">
        <f>"Labor day"</f>
        <v>Labor day</v>
      </c>
      <c r="H232" t="str">
        <f>"Reitman, Jason"</f>
        <v>Reitman, Jason</v>
      </c>
      <c r="I232">
        <v>27</v>
      </c>
      <c r="J232" s="2">
        <v>43410</v>
      </c>
      <c r="K232" s="1">
        <v>21</v>
      </c>
    </row>
    <row r="233" spans="1:11" ht="16" x14ac:dyDescent="0.2">
      <c r="A233">
        <v>273601</v>
      </c>
      <c r="B233" t="str">
        <f>"VIDEO DVD STARW"</f>
        <v>VIDEO DVD STARW</v>
      </c>
      <c r="C233" t="s">
        <v>3541</v>
      </c>
      <c r="D233" t="s">
        <v>3542</v>
      </c>
      <c r="E233">
        <v>5077955</v>
      </c>
      <c r="F233" s="3" t="str">
        <f>"2019-08-30  - Due: 8-4-2019. Notified: 8-11-2019, 8-18-2019, 8-26-2019, 10-29-2019"</f>
        <v>2019-08-30  - Due: 8-4-2019. Notified: 8-11-2019, 8-18-2019, 8-26-2019, 10-29-2019</v>
      </c>
      <c r="G233" s="3" t="str">
        <f>"Star Wars, episode IV: a new hope"</f>
        <v>Star Wars, episode IV: a new hope</v>
      </c>
      <c r="H233" t="str">
        <f>"Lucas, George (1944-)"</f>
        <v>Lucas, George (1944-)</v>
      </c>
      <c r="I233">
        <v>114</v>
      </c>
      <c r="J233" s="2">
        <v>43674</v>
      </c>
      <c r="K233" s="1">
        <v>40</v>
      </c>
    </row>
    <row r="234" spans="1:11" ht="16" x14ac:dyDescent="0.2">
      <c r="A234">
        <v>273725</v>
      </c>
      <c r="B234" t="str">
        <f>"E FROME"</f>
        <v>E FROME</v>
      </c>
      <c r="C234" t="s">
        <v>3545</v>
      </c>
      <c r="D234" t="str">
        <f>"Tech Serv"</f>
        <v>Tech Serv</v>
      </c>
      <c r="E234" t="s">
        <v>3544</v>
      </c>
      <c r="F234" s="3" t="str">
        <f>"2020-01-28  - TL - Check In - WB - Cover is torn."</f>
        <v>2020-01-28  - TL - Check In - WB - Cover is torn.</v>
      </c>
      <c r="G234" s="3" t="str">
        <f>"365 penguins"</f>
        <v>365 penguins</v>
      </c>
      <c r="H234" t="str">
        <f>"Fromental, Jean-Luc"</f>
        <v>Fromental, Jean-Luc</v>
      </c>
      <c r="I234">
        <v>69</v>
      </c>
      <c r="J234" s="2">
        <v>43795</v>
      </c>
      <c r="K234" s="1">
        <v>18</v>
      </c>
    </row>
    <row r="235" spans="1:11" ht="16" x14ac:dyDescent="0.2">
      <c r="A235">
        <v>274604</v>
      </c>
      <c r="B235" t="str">
        <f>"AUDIO LESCR"</f>
        <v>AUDIO LESCR</v>
      </c>
      <c r="C235" t="s">
        <v>3545</v>
      </c>
      <c r="D235" t="str">
        <f>"Tech Serv"</f>
        <v>Tech Serv</v>
      </c>
      <c r="E235" t="s">
        <v>3544</v>
      </c>
      <c r="F235" s="3" t="str">
        <f>"2019-08-04  - cab - Check In - WB - disc 5 skips"</f>
        <v>2019-08-04  - cab - Check In - WB - disc 5 skips</v>
      </c>
      <c r="G235" s="3" t="str">
        <f>"The keeper: a novel"</f>
        <v>The keeper: a novel</v>
      </c>
      <c r="H235" t="str">
        <f>"Lescroart, John T."</f>
        <v>Lescroart, John T.</v>
      </c>
      <c r="I235">
        <v>14</v>
      </c>
      <c r="J235" s="2">
        <v>43678</v>
      </c>
      <c r="K235" s="1">
        <v>42</v>
      </c>
    </row>
    <row r="236" spans="1:11" ht="32" x14ac:dyDescent="0.2">
      <c r="A236">
        <v>274612</v>
      </c>
      <c r="B236" t="str">
        <f>"VIDEO J DVD BEREN"</f>
        <v>VIDEO J DVD BEREN</v>
      </c>
      <c r="C236" t="s">
        <v>3541</v>
      </c>
      <c r="D236" t="s">
        <v>3542</v>
      </c>
      <c r="E236">
        <v>5124370</v>
      </c>
      <c r="F236" s="3" t="str">
        <f>"2019-10-06  - cjb - WB - paid    8-2-2019  - Due: 7-7-2019. Notified: 7-14-2019, 7-21-2019, 7-29-2019, 9-24-2019"</f>
        <v>2019-10-06  - cjb - WB - paid    8-2-2019  - Due: 7-7-2019. Notified: 7-14-2019, 7-21-2019, 7-29-2019, 9-24-2019</v>
      </c>
      <c r="G236" s="3" t="str">
        <f>"Berenstain bears: ready, set, go!"</f>
        <v>Berenstain bears: ready, set, go!</v>
      </c>
      <c r="I236">
        <v>26</v>
      </c>
      <c r="J236" s="2">
        <v>43646</v>
      </c>
      <c r="K236" s="1">
        <v>15</v>
      </c>
    </row>
    <row r="237" spans="1:11" ht="16" x14ac:dyDescent="0.2">
      <c r="A237">
        <v>275055</v>
      </c>
      <c r="B237" t="str">
        <f>"J 572 BAT"</f>
        <v>J 572 BAT</v>
      </c>
      <c r="C237" t="s">
        <v>3541</v>
      </c>
      <c r="D237" t="s">
        <v>3542</v>
      </c>
      <c r="E237" t="s">
        <v>3544</v>
      </c>
      <c r="F237" s="3" t="str">
        <f>"2019-11-08  - Inventory - "</f>
        <v xml:space="preserve">2019-11-08  - Inventory - </v>
      </c>
      <c r="G237" s="3" t="str">
        <f>"The winking, blinking sea: all about bioluminescence"</f>
        <v>The winking, blinking sea: all about bioluminescence</v>
      </c>
      <c r="H237" t="str">
        <f>"Batten, Mary"</f>
        <v>Batten, Mary</v>
      </c>
      <c r="I237">
        <v>1</v>
      </c>
      <c r="J237" s="2">
        <v>42560</v>
      </c>
      <c r="K237" s="1">
        <v>13</v>
      </c>
    </row>
    <row r="238" spans="1:11" ht="16" x14ac:dyDescent="0.2">
      <c r="A238">
        <v>275058</v>
      </c>
      <c r="B238" t="str">
        <f>"E DANIEL"</f>
        <v>E DANIEL</v>
      </c>
      <c r="C238" t="s">
        <v>3545</v>
      </c>
      <c r="D238" t="str">
        <f>"Tech Serv"</f>
        <v>Tech Serv</v>
      </c>
      <c r="E238" t="s">
        <v>3544</v>
      </c>
      <c r="F238" s="3" t="str">
        <f>"2020-01-15  - mbw - Check In - WB - disc won't play"</f>
        <v>2020-01-15  - mbw - Check In - WB - disc won't play</v>
      </c>
      <c r="G238" s="3" t="str">
        <f>"Daniel Tiger's neighborhood: Daniel goes to school"</f>
        <v>Daniel Tiger's neighborhood: Daniel goes to school</v>
      </c>
      <c r="H238" t="str">
        <f>"Friedman, Becky,"</f>
        <v>Friedman, Becky,</v>
      </c>
      <c r="I238">
        <v>62</v>
      </c>
      <c r="J238" s="2">
        <v>43804</v>
      </c>
      <c r="K238" s="1">
        <v>9</v>
      </c>
    </row>
    <row r="239" spans="1:11" ht="16" x14ac:dyDescent="0.2">
      <c r="A239">
        <v>275128</v>
      </c>
      <c r="B239" t="str">
        <f>"E SCOTT"</f>
        <v>E SCOTT</v>
      </c>
      <c r="C239" t="s">
        <v>3541</v>
      </c>
      <c r="D239" t="s">
        <v>3542</v>
      </c>
      <c r="E239">
        <v>5206952</v>
      </c>
      <c r="F239" s="3" t="str">
        <f>"2020-01-09  - Due: 12-10-2019. Notified: 12-17-2019, 12-27-2019, 1-3-2020"</f>
        <v>2020-01-09  - Due: 12-10-2019. Notified: 12-17-2019, 12-27-2019, 1-3-2020</v>
      </c>
      <c r="G239" s="3" t="str">
        <f>"Splat the Cat and the pumpkin-picking plan"</f>
        <v>Splat the Cat and the pumpkin-picking plan</v>
      </c>
      <c r="H239" t="str">
        <f>"Hapka, Cathy"</f>
        <v>Hapka, Cathy</v>
      </c>
      <c r="I239">
        <v>63</v>
      </c>
      <c r="J239" s="2">
        <v>43795</v>
      </c>
      <c r="K239" s="1">
        <v>9</v>
      </c>
    </row>
    <row r="240" spans="1:11" ht="16" x14ac:dyDescent="0.2">
      <c r="A240">
        <v>275816</v>
      </c>
      <c r="B240" t="str">
        <f>"158.2 BYO"</f>
        <v>158.2 BYO</v>
      </c>
      <c r="C240" t="s">
        <v>3541</v>
      </c>
      <c r="D240" t="s">
        <v>3542</v>
      </c>
      <c r="E240">
        <v>5211727</v>
      </c>
      <c r="F240" s="3" t="str">
        <f>"2019-11-02  - Due: 10-7-2019. Notified: 10-14-2019, 10-21-2019, 10-28-2019, 12-10-2019"</f>
        <v>2019-11-02  - Due: 10-7-2019. Notified: 10-14-2019, 10-21-2019, 10-28-2019, 12-10-2019</v>
      </c>
      <c r="G240" s="3" t="str">
        <f>"Four things that matter most: a book about living"</f>
        <v>Four things that matter most: a book about living</v>
      </c>
      <c r="H240" t="str">
        <f>"Byock, Ira."</f>
        <v>Byock, Ira.</v>
      </c>
      <c r="I240">
        <v>15</v>
      </c>
      <c r="J240" s="2">
        <v>43665</v>
      </c>
      <c r="K240" s="1">
        <v>29</v>
      </c>
    </row>
    <row r="241" spans="1:11" ht="32" x14ac:dyDescent="0.2">
      <c r="A241">
        <v>275864</v>
      </c>
      <c r="B241" t="str">
        <f>"J 500 SMI"</f>
        <v>J 500 SMI</v>
      </c>
      <c r="C241" t="s">
        <v>3541</v>
      </c>
      <c r="D241" t="s">
        <v>3542</v>
      </c>
      <c r="E241">
        <v>9032</v>
      </c>
      <c r="F241" s="3" t="str">
        <f>"2019-09-11  - Tess - Coding error, coded lost destroyed. Member paid on 8/7/19 $24.00    8-27-2019  - AM - WB - paid $24.    8-27-2019  - Due: 8-31-2019."</f>
        <v>2019-09-11  - Tess - Coding error, coded lost destroyed. Member paid on 8/7/19 $24.00    8-27-2019  - AM - WB - paid $24.    8-27-2019  - Due: 8-31-2019.</v>
      </c>
      <c r="G241" s="3" t="str">
        <f>"If...: a mind-bending new way of looking at big ideas and numbers"</f>
        <v>If...: a mind-bending new way of looking at big ideas and numbers</v>
      </c>
      <c r="H241" t="str">
        <f>"Smith, David J."</f>
        <v>Smith, David J.</v>
      </c>
      <c r="I241">
        <v>13</v>
      </c>
      <c r="J241" s="2">
        <v>43656</v>
      </c>
      <c r="K241" s="1">
        <v>24</v>
      </c>
    </row>
    <row r="242" spans="1:11" ht="16" x14ac:dyDescent="0.2">
      <c r="A242">
        <v>275898</v>
      </c>
      <c r="B242" t="str">
        <f>"B DORAT"</f>
        <v>B DORAT</v>
      </c>
      <c r="C242" t="s">
        <v>3541</v>
      </c>
      <c r="D242" t="s">
        <v>3542</v>
      </c>
      <c r="E242" t="s">
        <v>3544</v>
      </c>
      <c r="F242" s="3" t="str">
        <f>"2019-09-11  - Tess - This book can not be located. It is coded missing."</f>
        <v>2019-09-11  - Tess - This book can not be located. It is coded missing.</v>
      </c>
      <c r="G242" s="3" t="str">
        <f>"Meet my friends"</f>
        <v>Meet my friends</v>
      </c>
      <c r="H242" t="str">
        <f>"Aikins, Dave"</f>
        <v>Aikins, Dave</v>
      </c>
      <c r="I242">
        <v>44</v>
      </c>
      <c r="J242" s="2">
        <v>43618</v>
      </c>
      <c r="K242" s="1">
        <v>9</v>
      </c>
    </row>
    <row r="243" spans="1:11" ht="32" x14ac:dyDescent="0.2">
      <c r="A243">
        <v>275904</v>
      </c>
      <c r="B243" t="str">
        <f>"B DANIE"</f>
        <v>B DANIE</v>
      </c>
      <c r="C243" t="s">
        <v>3541</v>
      </c>
      <c r="D243" t="s">
        <v>3542</v>
      </c>
      <c r="E243">
        <v>5117604</v>
      </c>
      <c r="F243" s="3" t="str">
        <f>"2019-05-25  - ss - WB - member paid for item.    5-6-2019  - Due: 4-9-2019. Notified: 4-16-2019, 4-23-2019, 5-1-2019"</f>
        <v>2019-05-25  - ss - WB - member paid for item.    5-6-2019  - Due: 4-9-2019. Notified: 4-16-2019, 4-23-2019, 5-1-2019</v>
      </c>
      <c r="G243" s="3" t="str">
        <f>"Daniel Tiger's neighborhood: friends help each other"</f>
        <v>Daniel Tiger's neighborhood: friends help each other</v>
      </c>
      <c r="H243" t="str">
        <f>"McDoogle, Farrah,"</f>
        <v>McDoogle, Farrah,</v>
      </c>
      <c r="I243">
        <v>48</v>
      </c>
      <c r="J243" s="2">
        <v>43536</v>
      </c>
      <c r="K243" s="1">
        <v>9</v>
      </c>
    </row>
    <row r="244" spans="1:11" ht="32" x14ac:dyDescent="0.2">
      <c r="A244">
        <v>276268</v>
      </c>
      <c r="B244" t="str">
        <f>"VIDEO J DVD BARBI"</f>
        <v>VIDEO J DVD BARBI</v>
      </c>
      <c r="C244" t="s">
        <v>3541</v>
      </c>
      <c r="D244" t="s">
        <v>3542</v>
      </c>
      <c r="E244">
        <v>5124279</v>
      </c>
      <c r="F244" s="3" t="str">
        <f>"2019-10-06  - cjb - WB - paid    8-2-2019  - Due: 7-7-2019. Notified: 7-14-2019, 7-21-2019, 7-29-2019, 9-24-2019"</f>
        <v>2019-10-06  - cjb - WB - paid    8-2-2019  - Due: 7-7-2019. Notified: 7-14-2019, 7-21-2019, 7-29-2019, 9-24-2019</v>
      </c>
      <c r="G244" s="3" t="str">
        <f>"Barbie in a Christmas carol"</f>
        <v>Barbie in a Christmas carol</v>
      </c>
      <c r="I244">
        <v>91</v>
      </c>
      <c r="J244" s="2">
        <v>43646</v>
      </c>
      <c r="K244" s="1">
        <v>22</v>
      </c>
    </row>
    <row r="245" spans="1:11" ht="16" x14ac:dyDescent="0.2">
      <c r="A245">
        <v>276285</v>
      </c>
      <c r="B245" t="str">
        <f>"VIDEO J DVD SUPER"</f>
        <v>VIDEO J DVD SUPER</v>
      </c>
      <c r="C245" t="s">
        <v>3541</v>
      </c>
      <c r="D245" t="s">
        <v>3542</v>
      </c>
      <c r="E245">
        <v>5124481</v>
      </c>
      <c r="F245" s="3" t="str">
        <f>"2020-02-01  - Due: 1-5-2020. Notified: 1-12-2020, 1-19-2020, 1-27-2020"</f>
        <v>2020-02-01  - Due: 1-5-2020. Notified: 1-12-2020, 1-19-2020, 1-27-2020</v>
      </c>
      <c r="G245" s="3" t="str">
        <f>"Super why: under the sea"</f>
        <v>Super why: under the sea</v>
      </c>
      <c r="I245">
        <v>60</v>
      </c>
      <c r="J245" s="2">
        <v>43814</v>
      </c>
      <c r="K245" s="1">
        <v>24</v>
      </c>
    </row>
    <row r="246" spans="1:11" ht="32" x14ac:dyDescent="0.2">
      <c r="A246">
        <v>276346</v>
      </c>
      <c r="B246" t="str">
        <f>"J GN KIBUI"</f>
        <v>J GN KIBUI</v>
      </c>
      <c r="C246" t="s">
        <v>3541</v>
      </c>
      <c r="D246" t="s">
        <v>3542</v>
      </c>
      <c r="E246">
        <v>5088641</v>
      </c>
      <c r="F246" s="3" t="str">
        <f>"2019-05-28  - ss - LL - member paid with card.    5-11-2019  - Due: 5-28-2019. Notified: 4-22-2019, 4-28-2019, 5-6-2019"</f>
        <v>2019-05-28  - ss - LL - member paid with card.    5-11-2019  - Due: 5-28-2019. Notified: 4-22-2019, 4-28-2019, 5-6-2019</v>
      </c>
      <c r="G246" s="3" t="str">
        <f>"The last council"</f>
        <v>The last council</v>
      </c>
      <c r="H246" t="str">
        <f>"Kibuishi, Kazu (1978-)"</f>
        <v>Kibuishi, Kazu (1978-)</v>
      </c>
      <c r="I246">
        <v>77</v>
      </c>
      <c r="J246" s="2">
        <v>43527</v>
      </c>
      <c r="K246" s="1">
        <v>16</v>
      </c>
    </row>
    <row r="247" spans="1:11" ht="16" x14ac:dyDescent="0.2">
      <c r="A247">
        <v>276386</v>
      </c>
      <c r="B247" t="str">
        <f>"VIDEO DVD SIMPS"</f>
        <v>VIDEO DVD SIMPS</v>
      </c>
      <c r="C247" t="s">
        <v>3541</v>
      </c>
      <c r="D247" t="s">
        <v>3542</v>
      </c>
      <c r="E247" t="s">
        <v>3544</v>
      </c>
      <c r="F247" s="3" t="str">
        <f>"2019-08-11  - mm - Searched 3 times"</f>
        <v>2019-08-11  - mm - Searched 3 times</v>
      </c>
      <c r="G247" s="3" t="str">
        <f>"The Simpsons movie"</f>
        <v>The Simpsons movie</v>
      </c>
      <c r="H247" t="str">
        <f>"Silverman, David (1957-)"</f>
        <v>Silverman, David (1957-)</v>
      </c>
      <c r="I247">
        <v>64</v>
      </c>
      <c r="J247" s="2">
        <v>43606</v>
      </c>
      <c r="K247" s="1">
        <v>15</v>
      </c>
    </row>
    <row r="248" spans="1:11" ht="16" x14ac:dyDescent="0.2">
      <c r="A248">
        <v>276424</v>
      </c>
      <c r="B248" t="str">
        <f>"VIDEO DVD FAULT"</f>
        <v>VIDEO DVD FAULT</v>
      </c>
      <c r="C248" t="s">
        <v>3541</v>
      </c>
      <c r="D248" t="s">
        <v>3542</v>
      </c>
      <c r="E248" t="s">
        <v>3544</v>
      </c>
      <c r="F248" s="3" t="str">
        <f>"2020-01-29  - cab - lost in transit"</f>
        <v>2020-01-29  - cab - lost in transit</v>
      </c>
      <c r="G248" s="3" t="str">
        <f>"The fault in our stars"</f>
        <v>The fault in our stars</v>
      </c>
      <c r="H248" t="str">
        <f>"Boone, Josh"</f>
        <v>Boone, Josh</v>
      </c>
      <c r="I248">
        <v>35</v>
      </c>
      <c r="J248" s="2">
        <v>43801</v>
      </c>
      <c r="K248" s="1">
        <v>26</v>
      </c>
    </row>
    <row r="249" spans="1:11" ht="16" x14ac:dyDescent="0.2">
      <c r="A249">
        <v>276468</v>
      </c>
      <c r="B249" t="str">
        <f>"VIDEO DVD FEDUP"</f>
        <v>VIDEO DVD FEDUP</v>
      </c>
      <c r="C249" t="s">
        <v>3541</v>
      </c>
      <c r="D249" t="s">
        <v>3542</v>
      </c>
      <c r="E249" t="s">
        <v>3544</v>
      </c>
      <c r="F249" s="3" t="str">
        <f>"2019-10-30  - mbw - searched 3x at WB (we have this item on Kanopy)"</f>
        <v>2019-10-30  - mbw - searched 3x at WB (we have this item on Kanopy)</v>
      </c>
      <c r="G249" s="3" t="str">
        <f>"Fed up"</f>
        <v>Fed up</v>
      </c>
      <c r="H249" t="str">
        <f>"Soechtig, Stephanie."</f>
        <v>Soechtig, Stephanie.</v>
      </c>
      <c r="I249">
        <v>29</v>
      </c>
      <c r="J249" s="2">
        <v>42968</v>
      </c>
      <c r="K249" s="1">
        <v>15</v>
      </c>
    </row>
    <row r="250" spans="1:11" ht="16" x14ac:dyDescent="0.2">
      <c r="A250">
        <v>276955</v>
      </c>
      <c r="B250" t="str">
        <f>"VIDEO DVD GOODO"</f>
        <v>VIDEO DVD GOODO</v>
      </c>
      <c r="C250" t="s">
        <v>3541</v>
      </c>
      <c r="D250" t="s">
        <v>3542</v>
      </c>
      <c r="E250" t="s">
        <v>3544</v>
      </c>
      <c r="F250" s="3" t="str">
        <f>"2020-01-17  - Inventory - "</f>
        <v xml:space="preserve">2020-01-17  - Inventory - </v>
      </c>
      <c r="G250" s="3" t="str">
        <f>"Good ol' Freda"</f>
        <v>Good ol' Freda</v>
      </c>
      <c r="H250" t="str">
        <f>"White, Ryan, (1981-)"</f>
        <v>White, Ryan, (1981-)</v>
      </c>
      <c r="I250">
        <v>7</v>
      </c>
      <c r="J250" s="2">
        <v>42090</v>
      </c>
      <c r="K250" s="1">
        <v>19</v>
      </c>
    </row>
    <row r="251" spans="1:11" ht="48" x14ac:dyDescent="0.2">
      <c r="A251">
        <v>276983</v>
      </c>
      <c r="B251" t="str">
        <f>"AUDIO GRISH"</f>
        <v>AUDIO GRISH</v>
      </c>
      <c r="C251" t="s">
        <v>3545</v>
      </c>
      <c r="D251" t="str">
        <f>"Tech Serv"</f>
        <v>Tech Serv</v>
      </c>
      <c r="E251">
        <v>5174825</v>
      </c>
      <c r="F251" s="3" t="s">
        <v>3574</v>
      </c>
      <c r="G251" s="3" t="str">
        <f>"Gray Mountain"</f>
        <v>Gray Mountain</v>
      </c>
      <c r="H251" t="str">
        <f>"Grisham, John"</f>
        <v>Grisham, John</v>
      </c>
      <c r="I251">
        <v>40</v>
      </c>
      <c r="J251" s="2">
        <v>43739</v>
      </c>
      <c r="K251" s="1">
        <v>50</v>
      </c>
    </row>
    <row r="252" spans="1:11" ht="16" x14ac:dyDescent="0.2">
      <c r="A252">
        <v>277000</v>
      </c>
      <c r="B252" t="str">
        <f>"VIDEO DVD LETTE"</f>
        <v>VIDEO DVD LETTE</v>
      </c>
      <c r="C252" t="s">
        <v>3541</v>
      </c>
      <c r="D252" t="s">
        <v>3542</v>
      </c>
      <c r="E252" t="s">
        <v>3544</v>
      </c>
      <c r="F252" s="3" t="str">
        <f>"2020-01-31  - Inventory - "</f>
        <v xml:space="preserve">2020-01-31  - Inventory - </v>
      </c>
      <c r="G252" s="3" t="str">
        <f>"A letter to Momo"</f>
        <v>A letter to Momo</v>
      </c>
      <c r="H252" t="str">
        <f>"Okiura, Hiroyuki"</f>
        <v>Okiura, Hiroyuki</v>
      </c>
      <c r="I252">
        <v>34</v>
      </c>
      <c r="J252" s="2">
        <v>42822</v>
      </c>
      <c r="K252" s="1">
        <v>23</v>
      </c>
    </row>
    <row r="253" spans="1:11" ht="16" x14ac:dyDescent="0.2">
      <c r="A253">
        <v>277049</v>
      </c>
      <c r="B253" t="str">
        <f>"E MAYER"</f>
        <v>E MAYER</v>
      </c>
      <c r="C253" t="s">
        <v>3541</v>
      </c>
      <c r="D253" t="s">
        <v>3542</v>
      </c>
      <c r="E253" t="s">
        <v>3544</v>
      </c>
      <c r="F253" s="3" t="str">
        <f>"2019-07-17  - rm - Member thought book had been returned. Item not found on shelf."</f>
        <v>2019-07-17  - rm - Member thought book had been returned. Item not found on shelf.</v>
      </c>
      <c r="G253" s="3" t="str">
        <f>"Just a secret"</f>
        <v>Just a secret</v>
      </c>
      <c r="H253" t="str">
        <f>"Mayer, Gina"</f>
        <v>Mayer, Gina</v>
      </c>
      <c r="I253">
        <v>42</v>
      </c>
      <c r="J253" s="2">
        <v>43654</v>
      </c>
      <c r="K253" s="1">
        <v>8</v>
      </c>
    </row>
    <row r="254" spans="1:11" ht="16" x14ac:dyDescent="0.2">
      <c r="A254">
        <v>278642</v>
      </c>
      <c r="B254" t="str">
        <f>"VIDEO DVD HOMEA"</f>
        <v>VIDEO DVD HOMEA</v>
      </c>
      <c r="C254" t="s">
        <v>3545</v>
      </c>
      <c r="D254" t="str">
        <f>"Tech Serv"</f>
        <v>Tech Serv</v>
      </c>
      <c r="E254" t="s">
        <v>3544</v>
      </c>
      <c r="F254" s="3" t="str">
        <f>"2019-12-21  - austin - Check In - WB - missing disc"</f>
        <v>2019-12-21  - austin - Check In - WB - missing disc</v>
      </c>
      <c r="G254" s="3" t="str">
        <f>"Home alone complete collection: 4 films"</f>
        <v>Home alone complete collection: 4 films</v>
      </c>
      <c r="H254" t="str">
        <f>"Hughes, John (1950-)"</f>
        <v>Hughes, John (1950-)</v>
      </c>
      <c r="I254">
        <v>86</v>
      </c>
      <c r="J254" s="2">
        <v>43782</v>
      </c>
      <c r="K254" s="1">
        <v>18</v>
      </c>
    </row>
    <row r="255" spans="1:11" ht="16" x14ac:dyDescent="0.2">
      <c r="A255">
        <v>278691</v>
      </c>
      <c r="B255" t="str">
        <f>"VIDEO DVD STARW"</f>
        <v>VIDEO DVD STARW</v>
      </c>
      <c r="C255" t="s">
        <v>3541</v>
      </c>
      <c r="D255" t="s">
        <v>3542</v>
      </c>
      <c r="E255" t="s">
        <v>3544</v>
      </c>
      <c r="F255" s="3" t="str">
        <f>"2020-01-31  - Inventory - "</f>
        <v xml:space="preserve">2020-01-31  - Inventory - </v>
      </c>
      <c r="G255" s="3" t="str">
        <f>"Star wars : the clone wars: the lost missions"</f>
        <v>Star wars : the clone wars: the lost missions</v>
      </c>
      <c r="I255">
        <v>38</v>
      </c>
      <c r="J255" s="2">
        <v>43631</v>
      </c>
      <c r="K255" s="1">
        <v>35</v>
      </c>
    </row>
    <row r="256" spans="1:11" ht="32" x14ac:dyDescent="0.2">
      <c r="A256">
        <v>278719</v>
      </c>
      <c r="B256" t="str">
        <f>"B SCIEN"</f>
        <v>B SCIEN</v>
      </c>
      <c r="C256" t="s">
        <v>3545</v>
      </c>
      <c r="D256" t="s">
        <v>3542</v>
      </c>
      <c r="E256">
        <v>5209055</v>
      </c>
      <c r="F256" s="3" t="str">
        <f>"2019-08-24  - BD - LL - member says pages cannot be found; paying by cc    8-24-2019  - Due: 8-13-2019. Notified: 8-20-2019"</f>
        <v>2019-08-24  - BD - LL - member says pages cannot be found; paying by cc    8-24-2019  - Due: 8-13-2019. Notified: 8-20-2019</v>
      </c>
      <c r="G256" s="3" t="str">
        <f>"The solar system"</f>
        <v>The solar system</v>
      </c>
      <c r="H256" t="str">
        <f>"Bauer, Jeff."</f>
        <v>Bauer, Jeff.</v>
      </c>
      <c r="I256">
        <v>26</v>
      </c>
      <c r="J256" s="2">
        <v>43662</v>
      </c>
      <c r="K256" s="1">
        <v>8</v>
      </c>
    </row>
    <row r="257" spans="1:11" ht="16" x14ac:dyDescent="0.2">
      <c r="A257">
        <v>278839</v>
      </c>
      <c r="B257" t="str">
        <f>"J 921 LEE"</f>
        <v>J 921 LEE</v>
      </c>
      <c r="C257" t="s">
        <v>3541</v>
      </c>
      <c r="D257" t="s">
        <v>3542</v>
      </c>
      <c r="E257">
        <v>5169220</v>
      </c>
      <c r="F257" s="3" t="str">
        <f>"2019-06-15  - Due: 5-19-2019. Notified: 5-26-2019, 6-2-2019, 6-10-2019, 8-6-2019"</f>
        <v>2019-06-15  - Due: 5-19-2019. Notified: 5-26-2019, 6-2-2019, 6-10-2019, 8-6-2019</v>
      </c>
      <c r="G257" s="3" t="str">
        <f>"Who was Stan Lee?"</f>
        <v>Who was Stan Lee?</v>
      </c>
      <c r="H257" t="str">
        <f>"Edgers, Geoff."</f>
        <v>Edgers, Geoff.</v>
      </c>
      <c r="I257">
        <v>22</v>
      </c>
      <c r="J257" s="2">
        <v>43565</v>
      </c>
      <c r="K257" s="1">
        <v>10</v>
      </c>
    </row>
    <row r="258" spans="1:11" ht="16" x14ac:dyDescent="0.2">
      <c r="A258">
        <v>278895</v>
      </c>
      <c r="B258" t="str">
        <f>"J AMERI"</f>
        <v>J AMERI</v>
      </c>
      <c r="C258" t="s">
        <v>3541</v>
      </c>
      <c r="D258" t="s">
        <v>3542</v>
      </c>
      <c r="E258" t="s">
        <v>3544</v>
      </c>
      <c r="F258" s="3" t="str">
        <f>"2019-09-13  - Inventory - "</f>
        <v xml:space="preserve">2019-09-13  - Inventory - </v>
      </c>
      <c r="G258" s="3" t="s">
        <v>3575</v>
      </c>
      <c r="H258" t="str">
        <f>"Yep, Laurence"</f>
        <v>Yep, Laurence</v>
      </c>
      <c r="I258">
        <v>30</v>
      </c>
      <c r="J258" s="2">
        <v>43601</v>
      </c>
      <c r="K258" s="1">
        <v>12</v>
      </c>
    </row>
    <row r="259" spans="1:11" ht="16" x14ac:dyDescent="0.2">
      <c r="A259">
        <v>278973</v>
      </c>
      <c r="B259" t="str">
        <f>"VIDEO DVD DUPLI"</f>
        <v>VIDEO DVD DUPLI</v>
      </c>
      <c r="C259" t="s">
        <v>3541</v>
      </c>
      <c r="D259" t="s">
        <v>3542</v>
      </c>
      <c r="E259" t="s">
        <v>3544</v>
      </c>
      <c r="F259" s="3" t="str">
        <f>"2020-01-17  - Inventory - "</f>
        <v xml:space="preserve">2020-01-17  - Inventory - </v>
      </c>
      <c r="G259" s="3" t="s">
        <v>3576</v>
      </c>
      <c r="H259" t="str">
        <f>"Gilroy, Tony"</f>
        <v>Gilroy, Tony</v>
      </c>
      <c r="I259">
        <v>22</v>
      </c>
      <c r="J259" s="2">
        <v>43643</v>
      </c>
      <c r="K259" s="1">
        <v>15</v>
      </c>
    </row>
    <row r="260" spans="1:11" ht="16" x14ac:dyDescent="0.2">
      <c r="A260">
        <v>279077</v>
      </c>
      <c r="B260" t="str">
        <f>"J LEGON"</f>
        <v>J LEGON</v>
      </c>
      <c r="C260" t="s">
        <v>3541</v>
      </c>
      <c r="D260" t="s">
        <v>3542</v>
      </c>
      <c r="E260">
        <v>5124646</v>
      </c>
      <c r="F260" s="3" t="str">
        <f>"2020-01-11  - Tess - WB - Books were lost    1-11-2020  - Due: 1-8-2020."</f>
        <v>2020-01-11  - Tess - WB - Books were lost    1-11-2020  - Due: 1-8-2020.</v>
      </c>
      <c r="G260" s="3" t="str">
        <f>"A team divided"</f>
        <v>A team divided</v>
      </c>
      <c r="H260" t="str">
        <f>"West, Tracey (1965-)"</f>
        <v>West, Tracey (1965-)</v>
      </c>
      <c r="I260">
        <v>56</v>
      </c>
      <c r="J260" s="2">
        <v>43813</v>
      </c>
      <c r="K260" s="1">
        <v>10</v>
      </c>
    </row>
    <row r="261" spans="1:11" ht="16" x14ac:dyDescent="0.2">
      <c r="A261">
        <v>279368</v>
      </c>
      <c r="B261" t="str">
        <f>"E KANN"</f>
        <v>E KANN</v>
      </c>
      <c r="C261" t="s">
        <v>3541</v>
      </c>
      <c r="D261" t="s">
        <v>3542</v>
      </c>
      <c r="E261" t="s">
        <v>3544</v>
      </c>
      <c r="F261" s="3" t="str">
        <f>"2019-06-14  - Inventory - "</f>
        <v xml:space="preserve">2019-06-14  - Inventory - </v>
      </c>
      <c r="G261" s="3" t="s">
        <v>3577</v>
      </c>
      <c r="H261" t="str">
        <f>"Kann, Victoria"</f>
        <v>Kann, Victoria</v>
      </c>
      <c r="I261">
        <v>55</v>
      </c>
      <c r="J261" s="2">
        <v>43505</v>
      </c>
      <c r="K261" s="1">
        <v>11</v>
      </c>
    </row>
    <row r="262" spans="1:11" ht="16" x14ac:dyDescent="0.2">
      <c r="A262">
        <v>279404</v>
      </c>
      <c r="B262" t="str">
        <f>"VIDEO DVD MAKIN"</f>
        <v>VIDEO DVD MAKIN</v>
      </c>
      <c r="C262" t="s">
        <v>3541</v>
      </c>
      <c r="D262" t="s">
        <v>3542</v>
      </c>
      <c r="E262" t="s">
        <v>3544</v>
      </c>
      <c r="F262" s="3" t="str">
        <f>"2020-01-31  - Inventory - "</f>
        <v xml:space="preserve">2020-01-31  - Inventory - </v>
      </c>
      <c r="G262" s="3" t="str">
        <f>"The making of a lady"</f>
        <v>The making of a lady</v>
      </c>
      <c r="H262" t="str">
        <f>"Smith, Richard Curson"</f>
        <v>Smith, Richard Curson</v>
      </c>
      <c r="I262">
        <v>24</v>
      </c>
      <c r="J262" s="2">
        <v>43232</v>
      </c>
      <c r="K262" s="1">
        <v>20</v>
      </c>
    </row>
    <row r="263" spans="1:11" ht="48" x14ac:dyDescent="0.2">
      <c r="A263">
        <v>279448</v>
      </c>
      <c r="B263" t="str">
        <f>"VIDEO DVD GAMEO v.4b"</f>
        <v>VIDEO DVD GAMEO v.4b</v>
      </c>
      <c r="C263" t="s">
        <v>3541</v>
      </c>
      <c r="D263" t="s">
        <v>3542</v>
      </c>
      <c r="E263" t="s">
        <v>3544</v>
      </c>
      <c r="F263" s="3" t="s">
        <v>3578</v>
      </c>
      <c r="G263" s="3" t="str">
        <f>"Game of thrones, v.4b: fourth season"</f>
        <v>Game of thrones, v.4b: fourth season</v>
      </c>
      <c r="H263" t="str">
        <f>"Minahan, David"</f>
        <v>Minahan, David</v>
      </c>
      <c r="I263">
        <v>62</v>
      </c>
      <c r="J263" s="2">
        <v>43762</v>
      </c>
      <c r="K263" s="1">
        <v>32</v>
      </c>
    </row>
    <row r="264" spans="1:11" ht="32" x14ac:dyDescent="0.2">
      <c r="A264">
        <v>279575</v>
      </c>
      <c r="B264" t="str">
        <f>"YA AVEYA"</f>
        <v>YA AVEYA</v>
      </c>
      <c r="C264" t="s">
        <v>3541</v>
      </c>
      <c r="D264" t="s">
        <v>3542</v>
      </c>
      <c r="E264">
        <v>5100294</v>
      </c>
      <c r="F264" s="3" t="str">
        <f>"2020-01-07  - PayPal - Paid    7-23-2019  - Due: 6-26-2019. Notified: 7-3-2019, 7-10-2019, 7-17-2019, 9-24-2019"</f>
        <v>2020-01-07  - PayPal - Paid    7-23-2019  - Due: 6-26-2019. Notified: 7-3-2019, 7-10-2019, 7-17-2019, 9-24-2019</v>
      </c>
      <c r="G264" s="3" t="str">
        <f>"Red queen"</f>
        <v>Red queen</v>
      </c>
      <c r="H264" t="str">
        <f>"Aveyard, Victoria."</f>
        <v>Aveyard, Victoria.</v>
      </c>
      <c r="I264">
        <v>60</v>
      </c>
      <c r="J264" s="2">
        <v>43597</v>
      </c>
      <c r="K264" s="1">
        <v>23</v>
      </c>
    </row>
    <row r="265" spans="1:11" ht="16" x14ac:dyDescent="0.2">
      <c r="A265">
        <v>279631</v>
      </c>
      <c r="B265" t="str">
        <f>"VIDEO J DVD SCOOB"</f>
        <v>VIDEO J DVD SCOOB</v>
      </c>
      <c r="C265" t="s">
        <v>3545</v>
      </c>
      <c r="D265" t="str">
        <f>"Tech Serv"</f>
        <v>Tech Serv</v>
      </c>
      <c r="E265" t="s">
        <v>3544</v>
      </c>
      <c r="F265" s="3" t="str">
        <f>"2020-01-09  - kt - Check In - LL - patron paid for missing dvd at wb, can reuse case?"</f>
        <v>2020-01-09  - kt - Check In - LL - patron paid for missing dvd at wb, can reuse case?</v>
      </c>
      <c r="G265" s="3" t="str">
        <f>"Scooby-Doo: moon monster madness"</f>
        <v>Scooby-Doo: moon monster madness</v>
      </c>
      <c r="I265">
        <v>94</v>
      </c>
      <c r="J265" s="2">
        <v>43788</v>
      </c>
      <c r="K265" s="1">
        <v>20</v>
      </c>
    </row>
    <row r="266" spans="1:11" ht="48" x14ac:dyDescent="0.2">
      <c r="A266">
        <v>279738</v>
      </c>
      <c r="B266" t="str">
        <f>"B TRANS"</f>
        <v>B TRANS</v>
      </c>
      <c r="C266" t="s">
        <v>3541</v>
      </c>
      <c r="D266" t="s">
        <v>3542</v>
      </c>
      <c r="E266">
        <v>5137005</v>
      </c>
      <c r="F266" s="3" t="str">
        <f>"2019-10-30  - mm - WB - Member paid $9 for the missing book 279738    9-27-2019  - Tess - WB - Patron called today to say the book is lost.    9-27-2019  - Due: 9-30-2019. Notified: 10-7-2019, 10-14-2019, 10-21-2019"</f>
        <v>2019-10-30  - mm - WB - Member paid $9 for the missing book 279738    9-27-2019  - Tess - WB - Patron called today to say the book is lost.    9-27-2019  - Due: 9-30-2019. Notified: 10-7-2019, 10-14-2019, 10-21-2019</v>
      </c>
      <c r="G266" s="3" t="str">
        <f>"Transformers: rise of the Decepticons"</f>
        <v>Transformers: rise of the Decepticons</v>
      </c>
      <c r="H266" t="str">
        <f>"Frantz, Jennifer."</f>
        <v>Frantz, Jennifer.</v>
      </c>
      <c r="I266">
        <v>36</v>
      </c>
      <c r="J266" s="2">
        <v>43696</v>
      </c>
      <c r="K266" s="1">
        <v>9</v>
      </c>
    </row>
    <row r="267" spans="1:11" ht="16" x14ac:dyDescent="0.2">
      <c r="A267">
        <v>279948</v>
      </c>
      <c r="B267" t="str">
        <f>"VIDEO DVD HOBBI"</f>
        <v>VIDEO DVD HOBBI</v>
      </c>
      <c r="C267" t="s">
        <v>3541</v>
      </c>
      <c r="D267" t="s">
        <v>3542</v>
      </c>
      <c r="E267" t="s">
        <v>3544</v>
      </c>
      <c r="F267" s="3" t="str">
        <f>"2019-09-16  - cab - on reserve list 3 days"</f>
        <v>2019-09-16  - cab - on reserve list 3 days</v>
      </c>
      <c r="G267" s="3" t="str">
        <f>"The hobbit: the battle of the five armies"</f>
        <v>The hobbit: the battle of the five armies</v>
      </c>
      <c r="H267" t="str">
        <f>"Jackson, Peter"</f>
        <v>Jackson, Peter</v>
      </c>
      <c r="I267">
        <v>42</v>
      </c>
      <c r="J267" s="2">
        <v>43515</v>
      </c>
      <c r="K267" s="1">
        <v>26</v>
      </c>
    </row>
    <row r="268" spans="1:11" ht="16" x14ac:dyDescent="0.2">
      <c r="A268">
        <v>280210</v>
      </c>
      <c r="B268" t="str">
        <f>"AUDIO J ROY"</f>
        <v>AUDIO J ROY</v>
      </c>
      <c r="C268" t="s">
        <v>3560</v>
      </c>
      <c r="D268" t="str">
        <f>"Tech Serv"</f>
        <v>Tech Serv</v>
      </c>
      <c r="E268">
        <v>5176451</v>
      </c>
      <c r="F268" s="3" t="str">
        <f>"2020-01-19  - mbw - WB - resolved    1-19-2020  - mbw - Missing one cd, paid $25 on 1/19/2020"</f>
        <v>2020-01-19  - mbw - WB - resolved    1-19-2020  - mbw - Missing one cd, paid $25 on 1/19/2020</v>
      </c>
      <c r="G268" s="3" t="str">
        <f>"Calendar mysteries, v.1: books 1- 6"</f>
        <v>Calendar mysteries, v.1: books 1- 6</v>
      </c>
      <c r="H268" t="str">
        <f>"Roy, Ron (1940-)"</f>
        <v>Roy, Ron (1940-)</v>
      </c>
      <c r="I268">
        <v>32</v>
      </c>
      <c r="J268" s="2">
        <v>43805</v>
      </c>
      <c r="K268" s="1">
        <v>43</v>
      </c>
    </row>
    <row r="269" spans="1:11" ht="16" x14ac:dyDescent="0.2">
      <c r="A269">
        <v>280373</v>
      </c>
      <c r="B269" t="str">
        <f>"E FALCO"</f>
        <v>E FALCO</v>
      </c>
      <c r="C269" t="s">
        <v>3541</v>
      </c>
      <c r="D269" t="s">
        <v>3542</v>
      </c>
      <c r="E269" t="s">
        <v>3544</v>
      </c>
      <c r="F269" s="3" t="str">
        <f>"2019-06-14  - Inventory - "</f>
        <v xml:space="preserve">2019-06-14  - Inventory - </v>
      </c>
      <c r="G269" s="3" t="str">
        <f>"A sweet surprise for mom"</f>
        <v>A sweet surprise for mom</v>
      </c>
      <c r="H269" t="str">
        <f>"McDoogle, Farrah,"</f>
        <v>McDoogle, Farrah,</v>
      </c>
      <c r="I269">
        <v>35</v>
      </c>
      <c r="J269" s="2">
        <v>43527</v>
      </c>
      <c r="K269" s="1">
        <v>9</v>
      </c>
    </row>
    <row r="270" spans="1:11" ht="16" x14ac:dyDescent="0.2">
      <c r="A270">
        <v>280398</v>
      </c>
      <c r="B270" t="str">
        <f>"J MEADO"</f>
        <v>J MEADO</v>
      </c>
      <c r="C270" t="s">
        <v>3545</v>
      </c>
      <c r="D270" t="str">
        <f>"Tech Serv"</f>
        <v>Tech Serv</v>
      </c>
      <c r="E270" t="s">
        <v>3544</v>
      </c>
      <c r="F270" s="3" t="str">
        <f>"2019-04-23  - TL - Check In - WB - Loose spine."</f>
        <v>2019-04-23  - TL - Check In - WB - Loose spine.</v>
      </c>
      <c r="G270" s="3" t="str">
        <f>"Roxie the baking fairy"</f>
        <v>Roxie the baking fairy</v>
      </c>
      <c r="H270" t="str">
        <f>"Meadows, Daisy"</f>
        <v>Meadows, Daisy</v>
      </c>
      <c r="I270">
        <v>42</v>
      </c>
      <c r="J270" s="2">
        <v>43557</v>
      </c>
      <c r="K270" s="1">
        <v>10</v>
      </c>
    </row>
    <row r="271" spans="1:11" ht="16" x14ac:dyDescent="0.2">
      <c r="A271">
        <v>280495</v>
      </c>
      <c r="B271" t="str">
        <f>"J 468.3 PAL"</f>
        <v>J 468.3 PAL</v>
      </c>
      <c r="C271" t="s">
        <v>3545</v>
      </c>
      <c r="D271" t="str">
        <f>"Tech Serv"</f>
        <v>Tech Serv</v>
      </c>
      <c r="E271" t="s">
        <v>3544</v>
      </c>
      <c r="F271" s="3" t="str">
        <f>"2020-01-13  - pg - Check In - WB - worn"</f>
        <v>2020-01-13  - pg - Check In - WB - worn</v>
      </c>
      <c r="G271" s="3" t="str">
        <f>"Palabras: gira la rueda : encuentra el dibujo"</f>
        <v>Palabras: gira la rueda : encuentra el dibujo</v>
      </c>
      <c r="I271">
        <v>41</v>
      </c>
      <c r="J271" s="2">
        <v>43783</v>
      </c>
      <c r="K271" s="1">
        <v>20</v>
      </c>
    </row>
    <row r="272" spans="1:11" ht="32" x14ac:dyDescent="0.2">
      <c r="A272">
        <v>280696</v>
      </c>
      <c r="B272" t="str">
        <f>"AUDIO 530.11 WOL v.1"</f>
        <v>AUDIO 530.11 WOL v.1</v>
      </c>
      <c r="C272" t="s">
        <v>3541</v>
      </c>
      <c r="D272" t="s">
        <v>3542</v>
      </c>
      <c r="E272">
        <v>4701</v>
      </c>
      <c r="F272" s="3" t="str">
        <f>"2019-12-04  - Due: 3-9-2018. Notified: 3-16-2018, 3-23-2018, 3-30-2018, 5-17-2018"</f>
        <v>2019-12-04  - Due: 3-9-2018. Notified: 3-16-2018, 3-23-2018, 3-30-2018, 5-17-2018</v>
      </c>
      <c r="G272" s="3" t="str">
        <f>"Einstein's relativity and quantum revolution: modern physics for non-scientists, Part 1"</f>
        <v>Einstein's relativity and quantum revolution: modern physics for non-scientists, Part 1</v>
      </c>
      <c r="H272" t="str">
        <f>"Wolfson, Richard"</f>
        <v>Wolfson, Richard</v>
      </c>
      <c r="I272">
        <v>5</v>
      </c>
      <c r="J272" s="2">
        <v>42913</v>
      </c>
      <c r="K272" s="1">
        <v>40</v>
      </c>
    </row>
    <row r="273" spans="1:11" ht="16" x14ac:dyDescent="0.2">
      <c r="A273">
        <v>281197</v>
      </c>
      <c r="B273" t="str">
        <f>"VIDEO DVD PRIME v.1"</f>
        <v>VIDEO DVD PRIME v.1</v>
      </c>
      <c r="C273" t="s">
        <v>3541</v>
      </c>
      <c r="D273" t="s">
        <v>3542</v>
      </c>
      <c r="E273" t="s">
        <v>3544</v>
      </c>
      <c r="F273" s="3" t="str">
        <f>"2020-01-31  - Inventory - "</f>
        <v xml:space="preserve">2020-01-31  - Inventory - </v>
      </c>
      <c r="G273" s="3" t="str">
        <f>"Prime suspect"</f>
        <v>Prime suspect</v>
      </c>
      <c r="I273">
        <v>37</v>
      </c>
      <c r="J273" s="2">
        <v>43329</v>
      </c>
      <c r="K273" s="1">
        <v>15</v>
      </c>
    </row>
    <row r="274" spans="1:11" ht="16" x14ac:dyDescent="0.2">
      <c r="A274">
        <v>281369</v>
      </c>
      <c r="B274" t="str">
        <f>"VIDEO DVD STUAR"</f>
        <v>VIDEO DVD STUAR</v>
      </c>
      <c r="C274" t="s">
        <v>3541</v>
      </c>
      <c r="D274" t="s">
        <v>3542</v>
      </c>
      <c r="E274" t="s">
        <v>3544</v>
      </c>
      <c r="F274" s="3" t="str">
        <f>"2020-01-31  - Inventory - "</f>
        <v xml:space="preserve">2020-01-31  - Inventory - </v>
      </c>
      <c r="G274" s="3" t="str">
        <f>"Stuart Little 2"</f>
        <v>Stuart Little 2</v>
      </c>
      <c r="H274" t="str">
        <f>"Minkoff, Rob"</f>
        <v>Minkoff, Rob</v>
      </c>
      <c r="I274">
        <v>18</v>
      </c>
      <c r="J274" s="2">
        <v>42705</v>
      </c>
      <c r="K274" s="1">
        <v>22</v>
      </c>
    </row>
    <row r="275" spans="1:11" ht="16" x14ac:dyDescent="0.2">
      <c r="A275">
        <v>281715</v>
      </c>
      <c r="B275" t="str">
        <f>"ADULT GN AUNGT"</f>
        <v>ADULT GN AUNGT</v>
      </c>
      <c r="C275" t="s">
        <v>3545</v>
      </c>
      <c r="D275" t="str">
        <f>"Tech Serv"</f>
        <v>Tech Serv</v>
      </c>
      <c r="E275" t="s">
        <v>3544</v>
      </c>
      <c r="F275" s="3" t="str">
        <f>"2019-11-10  - JD - Check In - LL - Does this need to be in a different section as a graphic novel?"</f>
        <v>2019-11-10  - JD - Check In - LL - Does this need to be in a different section as a graphic novel?</v>
      </c>
      <c r="G275" s="3" t="str">
        <f>"Zen pencils: cartoon quotes from inspirational folks"</f>
        <v>Zen pencils: cartoon quotes from inspirational folks</v>
      </c>
      <c r="H275" t="str">
        <f>"Aung Than, Gavin."</f>
        <v>Aung Than, Gavin.</v>
      </c>
      <c r="I275">
        <v>11</v>
      </c>
      <c r="J275" s="2">
        <v>43766</v>
      </c>
      <c r="K275" s="1">
        <v>20</v>
      </c>
    </row>
    <row r="276" spans="1:11" ht="16" x14ac:dyDescent="0.2">
      <c r="A276">
        <v>281802</v>
      </c>
      <c r="B276" t="str">
        <f>"T COHEN"</f>
        <v>T COHEN</v>
      </c>
      <c r="C276" t="s">
        <v>3541</v>
      </c>
      <c r="D276" t="s">
        <v>3542</v>
      </c>
      <c r="E276" t="s">
        <v>3544</v>
      </c>
      <c r="F276" s="3" t="str">
        <f>"2019-11-15  - Inventory - "</f>
        <v xml:space="preserve">2019-11-15  - Inventory - </v>
      </c>
      <c r="G276" s="3" t="str">
        <f>"A white butter-fly"</f>
        <v>A white butter-fly</v>
      </c>
      <c r="H276" t="str">
        <f>"Cohen, Laurie, (1988-)"</f>
        <v>Cohen, Laurie, (1988-)</v>
      </c>
      <c r="I276">
        <v>25</v>
      </c>
      <c r="J276" s="2">
        <v>43758</v>
      </c>
      <c r="K276" s="1">
        <v>20</v>
      </c>
    </row>
    <row r="277" spans="1:11" ht="48" x14ac:dyDescent="0.2">
      <c r="A277">
        <v>282642</v>
      </c>
      <c r="B277" t="str">
        <f>"VIDEO DVD MADMA"</f>
        <v>VIDEO DVD MADMA</v>
      </c>
      <c r="C277" t="s">
        <v>3560</v>
      </c>
      <c r="D277" t="str">
        <f>"Tech Serv"</f>
        <v>Tech Serv</v>
      </c>
      <c r="E277">
        <v>5029017</v>
      </c>
      <c r="F277" s="3" t="s">
        <v>3579</v>
      </c>
      <c r="G277" s="3" t="str">
        <f>"Mad Max: fury road"</f>
        <v>Mad Max: fury road</v>
      </c>
      <c r="H277" t="str">
        <f>"Miller, George (1945 Mar. 3-)"</f>
        <v>Miller, George (1945 Mar. 3-)</v>
      </c>
      <c r="I277">
        <v>43</v>
      </c>
      <c r="J277" s="2">
        <v>43649</v>
      </c>
      <c r="K277" s="1">
        <v>26</v>
      </c>
    </row>
    <row r="278" spans="1:11" ht="16" x14ac:dyDescent="0.2">
      <c r="A278">
        <v>283113</v>
      </c>
      <c r="B278" t="str">
        <f>"E KANN"</f>
        <v>E KANN</v>
      </c>
      <c r="C278" t="s">
        <v>3541</v>
      </c>
      <c r="D278" t="s">
        <v>3542</v>
      </c>
      <c r="E278" t="s">
        <v>3544</v>
      </c>
      <c r="F278" s="3" t="str">
        <f>"2019-06-14  - Inventory - "</f>
        <v xml:space="preserve">2019-06-14  - Inventory - </v>
      </c>
      <c r="G278" s="3" t="s">
        <v>3580</v>
      </c>
      <c r="H278" t="str">
        <f>"Kann, Victoria"</f>
        <v>Kann, Victoria</v>
      </c>
      <c r="I278">
        <v>44</v>
      </c>
      <c r="J278" s="2">
        <v>43500</v>
      </c>
      <c r="K278" s="1">
        <v>23</v>
      </c>
    </row>
    <row r="279" spans="1:11" ht="16" x14ac:dyDescent="0.2">
      <c r="A279">
        <v>283435</v>
      </c>
      <c r="B279" t="str">
        <f>"KIT J ADA"</f>
        <v>KIT J ADA</v>
      </c>
      <c r="C279" t="s">
        <v>3541</v>
      </c>
      <c r="D279" t="s">
        <v>3542</v>
      </c>
      <c r="E279" t="s">
        <v>3544</v>
      </c>
      <c r="F279" s="3" t="str">
        <f>"2019-11-15  - Inventory - "</f>
        <v xml:space="preserve">2019-11-15  - Inventory - </v>
      </c>
      <c r="G279" s="3" t="str">
        <f>"Canta la letra"</f>
        <v>Canta la letra</v>
      </c>
      <c r="H279" t="str">
        <f>"Ada, Alma Flor"</f>
        <v>Ada, Alma Flor</v>
      </c>
      <c r="I279">
        <v>5</v>
      </c>
      <c r="J279" s="2">
        <v>42831</v>
      </c>
      <c r="K279" s="1">
        <v>15</v>
      </c>
    </row>
    <row r="280" spans="1:11" ht="16" x14ac:dyDescent="0.2">
      <c r="A280">
        <v>283437</v>
      </c>
      <c r="B280" t="str">
        <f>"KIT J ADA"</f>
        <v>KIT J ADA</v>
      </c>
      <c r="C280" t="s">
        <v>3541</v>
      </c>
      <c r="D280" t="s">
        <v>3542</v>
      </c>
      <c r="E280" t="s">
        <v>3544</v>
      </c>
      <c r="F280" s="3" t="str">
        <f>"2019-11-15  - Inventory - "</f>
        <v xml:space="preserve">2019-11-15  - Inventory - </v>
      </c>
      <c r="G280" s="3" t="str">
        <f>"Corre al coro"</f>
        <v>Corre al coro</v>
      </c>
      <c r="H280" t="str">
        <f>"Ada, Alma Flor"</f>
        <v>Ada, Alma Flor</v>
      </c>
      <c r="I280">
        <v>4</v>
      </c>
      <c r="J280" s="2">
        <v>43587</v>
      </c>
      <c r="K280" s="1">
        <v>15</v>
      </c>
    </row>
    <row r="281" spans="1:11" ht="16" x14ac:dyDescent="0.2">
      <c r="A281">
        <v>283450</v>
      </c>
      <c r="B281" t="str">
        <f>"J 741.5 GRO"</f>
        <v>J 741.5 GRO</v>
      </c>
      <c r="C281" t="s">
        <v>3545</v>
      </c>
      <c r="D281" t="str">
        <f>"Tech Serv"</f>
        <v>Tech Serv</v>
      </c>
      <c r="E281" t="s">
        <v>3544</v>
      </c>
      <c r="F281" s="3" t="str">
        <f>"2019-03-22  - jem - Check In - WB - torn spine, pages"</f>
        <v>2019-03-22  - jem - Check In - WB - torn spine, pages</v>
      </c>
      <c r="G281" s="3" t="str">
        <f>"The Simpsons holiday humdinger"</f>
        <v>The Simpsons holiday humdinger</v>
      </c>
      <c r="I281">
        <v>48</v>
      </c>
      <c r="J281" s="2">
        <v>43526</v>
      </c>
      <c r="K281" s="1">
        <v>20</v>
      </c>
    </row>
    <row r="282" spans="1:11" ht="16" x14ac:dyDescent="0.2">
      <c r="A282">
        <v>283726</v>
      </c>
      <c r="B282" t="str">
        <f>"VIDEO J DVD THOMA"</f>
        <v>VIDEO J DVD THOMA</v>
      </c>
      <c r="C282" t="s">
        <v>3541</v>
      </c>
      <c r="D282" t="s">
        <v>3542</v>
      </c>
      <c r="E282">
        <v>29637</v>
      </c>
      <c r="F282" s="3" t="str">
        <f>"2019-05-07  - mew - Member paid $18 on 5/7/19    5-7-2019  - Due: 4-30-2019. Notified: 5-7-2019"</f>
        <v>2019-05-07  - mew - Member paid $18 on 5/7/19    5-7-2019  - Due: 4-30-2019. Notified: 5-7-2019</v>
      </c>
      <c r="G282" s="3" t="str">
        <f>"Thomas &amp; friends: Sodor's legend of the lost treasure"</f>
        <v>Thomas &amp; friends: Sodor's legend of the lost treasure</v>
      </c>
      <c r="I282">
        <v>18</v>
      </c>
      <c r="J282" s="2">
        <v>43563</v>
      </c>
      <c r="K282" s="1">
        <v>18</v>
      </c>
    </row>
    <row r="283" spans="1:11" ht="16" x14ac:dyDescent="0.2">
      <c r="A283">
        <v>283937</v>
      </c>
      <c r="B283" t="str">
        <f>"E KANN"</f>
        <v>E KANN</v>
      </c>
      <c r="C283" t="s">
        <v>3545</v>
      </c>
      <c r="D283" t="str">
        <f>"Tech Serv"</f>
        <v>Tech Serv</v>
      </c>
      <c r="E283" t="s">
        <v>3544</v>
      </c>
      <c r="F283" s="3" t="str">
        <f>"2020-01-16  - ws - Check In - LL - pages coming out"</f>
        <v>2020-01-16  - ws - Check In - LL - pages coming out</v>
      </c>
      <c r="G283" s="3" t="str">
        <f>"Pinkalicious and the Snow Globe"</f>
        <v>Pinkalicious and the Snow Globe</v>
      </c>
      <c r="H283" t="str">
        <f>"Kann, Victoria"</f>
        <v>Kann, Victoria</v>
      </c>
      <c r="I283">
        <v>57</v>
      </c>
      <c r="J283" s="2">
        <v>43829</v>
      </c>
      <c r="K283" s="1">
        <v>10</v>
      </c>
    </row>
    <row r="284" spans="1:11" ht="16" x14ac:dyDescent="0.2">
      <c r="A284">
        <v>284175</v>
      </c>
      <c r="B284" t="str">
        <f>"VIDEO DVD FIGHT"</f>
        <v>VIDEO DVD FIGHT</v>
      </c>
      <c r="C284" t="s">
        <v>3545</v>
      </c>
      <c r="D284" t="str">
        <f>"Tech Serv"</f>
        <v>Tech Serv</v>
      </c>
      <c r="E284" t="s">
        <v>3544</v>
      </c>
      <c r="F284" s="3" t="str">
        <f>"2019-07-30  - ZTS - Check In - WB - Case does not close."</f>
        <v>2019-07-30  - ZTS - Check In - WB - Case does not close.</v>
      </c>
      <c r="G284" s="3" t="str">
        <f>"Fight club"</f>
        <v>Fight club</v>
      </c>
      <c r="H284" t="str">
        <f>"Fincher, David"</f>
        <v>Fincher, David</v>
      </c>
      <c r="I284">
        <v>30</v>
      </c>
      <c r="J284" s="2">
        <v>43670</v>
      </c>
      <c r="K284" s="1">
        <v>12</v>
      </c>
    </row>
    <row r="285" spans="1:11" ht="32" x14ac:dyDescent="0.2">
      <c r="A285">
        <v>284723</v>
      </c>
      <c r="B285" t="str">
        <f>"E BARBI"</f>
        <v>E BARBI</v>
      </c>
      <c r="C285" t="s">
        <v>3541</v>
      </c>
      <c r="D285" t="s">
        <v>3542</v>
      </c>
      <c r="E285">
        <v>5212636</v>
      </c>
      <c r="F285" s="3" t="str">
        <f>"2019-09-01  - Due: 8-6-2019. Notified: 8-13-2019, 8-20-2019, 8-28-2019, 10-29-2019"</f>
        <v>2019-09-01  - Due: 8-6-2019. Notified: 8-13-2019, 8-20-2019, 8-28-2019, 10-29-2019</v>
      </c>
      <c r="G285" s="3" t="str">
        <f>"Barbie and her sisters in the great puppy adventure: a paw-some mystery"</f>
        <v>Barbie and her sisters in the great puppy adventure: a paw-some mystery</v>
      </c>
      <c r="H285" t="str">
        <f>"Man-Kong, Mary"</f>
        <v>Man-Kong, Mary</v>
      </c>
      <c r="I285">
        <v>39</v>
      </c>
      <c r="J285" s="2">
        <v>43669</v>
      </c>
      <c r="K285" s="1">
        <v>10</v>
      </c>
    </row>
    <row r="286" spans="1:11" ht="16" x14ac:dyDescent="0.2">
      <c r="A286">
        <v>284789</v>
      </c>
      <c r="B286" t="str">
        <f>"VIDEO DVD ALVIN"</f>
        <v>VIDEO DVD ALVIN</v>
      </c>
      <c r="C286" t="s">
        <v>3541</v>
      </c>
      <c r="D286" t="s">
        <v>3542</v>
      </c>
      <c r="E286" t="s">
        <v>3544</v>
      </c>
      <c r="F286" s="3" t="str">
        <f>"2019-07-13  - TL - Is on reserve. Checked 3 times, couldn't find it."</f>
        <v>2019-07-13  - TL - Is on reserve. Checked 3 times, couldn't find it.</v>
      </c>
      <c r="G286" s="3" t="str">
        <f>"Alvin and the Chipmunks: chipwrecked"</f>
        <v>Alvin and the Chipmunks: chipwrecked</v>
      </c>
      <c r="H286" t="str">
        <f>"Mitchell, Mike"</f>
        <v>Mitchell, Mike</v>
      </c>
      <c r="I286">
        <v>45</v>
      </c>
      <c r="J286" s="2">
        <v>43548</v>
      </c>
      <c r="K286" s="1">
        <v>13</v>
      </c>
    </row>
    <row r="287" spans="1:11" ht="16" x14ac:dyDescent="0.2">
      <c r="A287">
        <v>284869</v>
      </c>
      <c r="B287" t="str">
        <f>"E CINET"</f>
        <v>E CINET</v>
      </c>
      <c r="C287" t="s">
        <v>3545</v>
      </c>
      <c r="D287" t="str">
        <f>"Tech Serv"</f>
        <v>Tech Serv</v>
      </c>
      <c r="E287" t="s">
        <v>3544</v>
      </c>
      <c r="F287" s="3" t="str">
        <f>"2020-01-24  - ler - Check In - WB - lose pages"</f>
        <v>2020-01-24  - ler - Check In - WB - lose pages</v>
      </c>
      <c r="G287" s="3" t="str">
        <f>"Mom!: the monsters!"</f>
        <v>Mom!: the monsters!</v>
      </c>
      <c r="H287" t="str">
        <f>"Cinetto, Liliana"</f>
        <v>Cinetto, Liliana</v>
      </c>
      <c r="I287">
        <v>15</v>
      </c>
      <c r="J287" s="2">
        <v>43383</v>
      </c>
      <c r="K287" s="1">
        <v>9</v>
      </c>
    </row>
    <row r="288" spans="1:11" ht="16" x14ac:dyDescent="0.2">
      <c r="A288">
        <v>285065</v>
      </c>
      <c r="B288" t="str">
        <f>"VIDEO DVD STARW"</f>
        <v>VIDEO DVD STARW</v>
      </c>
      <c r="C288" t="s">
        <v>3541</v>
      </c>
      <c r="D288" t="s">
        <v>3542</v>
      </c>
      <c r="E288">
        <v>5089838</v>
      </c>
      <c r="F288" s="3" t="str">
        <f>"2019-08-25  - Due: 7-30-2019. Notified: 8-6-2019, 8-13-2019, 8-21-2019, 10-29-2019"</f>
        <v>2019-08-25  - Due: 7-30-2019. Notified: 8-6-2019, 8-13-2019, 8-21-2019, 10-29-2019</v>
      </c>
      <c r="G288" s="3" t="str">
        <f>"Star Wars, episode V: the empire strikes back"</f>
        <v>Star Wars, episode V: the empire strikes back</v>
      </c>
      <c r="I288">
        <v>60</v>
      </c>
      <c r="J288" s="2">
        <v>43669</v>
      </c>
      <c r="K288" s="1">
        <v>45</v>
      </c>
    </row>
    <row r="289" spans="1:11" ht="16" x14ac:dyDescent="0.2">
      <c r="A289">
        <v>285301</v>
      </c>
      <c r="B289" t="str">
        <f>"J PILKE"</f>
        <v>J PILKE</v>
      </c>
      <c r="C289" t="s">
        <v>3541</v>
      </c>
      <c r="D289" t="s">
        <v>3542</v>
      </c>
      <c r="E289">
        <v>5106826</v>
      </c>
      <c r="F289" s="3" t="str">
        <f>"2019-09-08  - dw - WB -    9-8-2019  - dw -     9-8-2019  - Due: 8-20-2019. Notified: 8-27-2019, 9-3-2019"</f>
        <v>2019-09-08  - dw - WB -    9-8-2019  - dw -     9-8-2019  - Due: 8-20-2019. Notified: 8-27-2019, 9-3-2019</v>
      </c>
      <c r="G289" s="3" t="str">
        <f>"Captain Underpants and the attack of the talking toilets"</f>
        <v>Captain Underpants and the attack of the talking toilets</v>
      </c>
      <c r="H289" t="str">
        <f>"Pilkey, Dav (1966-)"</f>
        <v>Pilkey, Dav (1966-)</v>
      </c>
      <c r="I289">
        <v>50</v>
      </c>
      <c r="J289" s="2">
        <v>43683</v>
      </c>
      <c r="K289" s="1">
        <v>11</v>
      </c>
    </row>
    <row r="290" spans="1:11" ht="16" x14ac:dyDescent="0.2">
      <c r="A290">
        <v>285405</v>
      </c>
      <c r="B290" t="str">
        <f>"J SIMON"</f>
        <v>J SIMON</v>
      </c>
      <c r="C290" t="s">
        <v>3545</v>
      </c>
      <c r="D290" t="str">
        <f>"Tech Serv"</f>
        <v>Tech Serv</v>
      </c>
      <c r="E290" t="s">
        <v>3544</v>
      </c>
      <c r="F290" s="3" t="str">
        <f>"2019-12-30  - mm - Check In - WB - Loose page"</f>
        <v>2019-12-30  - mm - Check In - WB - Loose page</v>
      </c>
      <c r="G290" s="3" t="str">
        <f>"Emma, raining cats and dogs... and cupcakes!"</f>
        <v>Emma, raining cats and dogs... and cupcakes!</v>
      </c>
      <c r="H290" t="str">
        <f>"Simon, Coco."</f>
        <v>Simon, Coco.</v>
      </c>
      <c r="I290">
        <v>35</v>
      </c>
      <c r="J290" s="2">
        <v>43819</v>
      </c>
      <c r="K290" s="1">
        <v>11</v>
      </c>
    </row>
    <row r="291" spans="1:11" ht="16" x14ac:dyDescent="0.2">
      <c r="A291">
        <v>285982</v>
      </c>
      <c r="B291" t="str">
        <f>"J ZAPPA"</f>
        <v>J ZAPPA</v>
      </c>
      <c r="C291" t="s">
        <v>3541</v>
      </c>
      <c r="D291" t="s">
        <v>3542</v>
      </c>
      <c r="E291">
        <v>5201000</v>
      </c>
      <c r="F291" s="3" t="str">
        <f>"2019-10-04  - Due: 9-8-2019. Notified: 9-15-2019, 9-22-2019, 9-30-2019, 11-19-2019"</f>
        <v>2019-10-04  - Due: 9-8-2019. Notified: 9-15-2019, 9-22-2019, 9-30-2019, 11-19-2019</v>
      </c>
      <c r="G291" s="3" t="str">
        <f>"Libby and the class election"</f>
        <v>Libby and the class election</v>
      </c>
      <c r="H291" t="str">
        <f>"Zappa, Shana Muldoon"</f>
        <v>Zappa, Shana Muldoon</v>
      </c>
      <c r="I291">
        <v>15</v>
      </c>
      <c r="J291" s="2">
        <v>43675</v>
      </c>
      <c r="K291" s="1">
        <v>12</v>
      </c>
    </row>
    <row r="292" spans="1:11" ht="16" x14ac:dyDescent="0.2">
      <c r="A292">
        <v>286026</v>
      </c>
      <c r="B292" t="str">
        <f>"VIDEO DVD DOWNT v.6"</f>
        <v>VIDEO DVD DOWNT v.6</v>
      </c>
      <c r="C292" t="s">
        <v>3541</v>
      </c>
      <c r="D292" t="s">
        <v>3542</v>
      </c>
      <c r="E292" t="s">
        <v>3544</v>
      </c>
      <c r="F292" s="3" t="str">
        <f>"2019-07-22  - mm - Searched 3 times"</f>
        <v>2019-07-22  - mm - Searched 3 times</v>
      </c>
      <c r="G292" s="3" t="str">
        <f>"Downton Abbey, v.6: season six"</f>
        <v>Downton Abbey, v.6: season six</v>
      </c>
      <c r="I292">
        <v>30</v>
      </c>
      <c r="J292" s="2">
        <v>43629</v>
      </c>
      <c r="K292" s="1">
        <v>40</v>
      </c>
    </row>
    <row r="293" spans="1:11" ht="16" x14ac:dyDescent="0.2">
      <c r="A293">
        <v>286267</v>
      </c>
      <c r="B293" t="str">
        <f>"B KANN"</f>
        <v>B KANN</v>
      </c>
      <c r="C293" t="s">
        <v>3541</v>
      </c>
      <c r="D293" t="s">
        <v>3542</v>
      </c>
      <c r="E293">
        <v>5210763</v>
      </c>
      <c r="F293" s="3" t="str">
        <f>"2019-08-13  - cab - WB - member pd $9.00    8-13-2019  - Due: 7-31-2019. Notified: 8-7-2019"</f>
        <v>2019-08-13  - cab - WB - member pd $9.00    8-13-2019  - Due: 7-31-2019. Notified: 8-7-2019</v>
      </c>
      <c r="G293" s="3" t="str">
        <f>"Pinkalicious: school rules"</f>
        <v>Pinkalicious: school rules</v>
      </c>
      <c r="H293" t="str">
        <f>"Kann, Victoria"</f>
        <v>Kann, Victoria</v>
      </c>
      <c r="I293">
        <v>27</v>
      </c>
      <c r="J293" s="2">
        <v>43621</v>
      </c>
      <c r="K293" s="1">
        <v>9</v>
      </c>
    </row>
    <row r="294" spans="1:11" ht="32" x14ac:dyDescent="0.2">
      <c r="A294">
        <v>286300</v>
      </c>
      <c r="B294" t="str">
        <f>"AUDIO J COLFE"</f>
        <v>AUDIO J COLFE</v>
      </c>
      <c r="C294" t="s">
        <v>3560</v>
      </c>
      <c r="D294" t="str">
        <f>"Tech Serv"</f>
        <v>Tech Serv</v>
      </c>
      <c r="E294">
        <v>5118846</v>
      </c>
      <c r="F294" s="3" t="str">
        <f>"2019-08-13  - mm - Sending to TS!Member paid for item on 7/23/19.    7-23-2019  - ss - LL - paid with card    7-14-2019  - QW - Check In - LL - Missing CD"</f>
        <v>2019-08-13  - mm - Sending to TS!Member paid for item on 7/23/19.    7-23-2019  - ss - LL - paid with card    7-14-2019  - QW - Check In - LL - Missing CD</v>
      </c>
      <c r="G294" s="3" t="str">
        <f>"Land of Stories: beyond the kingdoms"</f>
        <v>Land of Stories: beyond the kingdoms</v>
      </c>
      <c r="H294" t="str">
        <f>"Colfer, Chris, (1990-)"</f>
        <v>Colfer, Chris, (1990-)</v>
      </c>
      <c r="I294">
        <v>18</v>
      </c>
      <c r="J294" s="2">
        <v>43623</v>
      </c>
      <c r="K294" s="1">
        <v>30</v>
      </c>
    </row>
    <row r="295" spans="1:11" ht="16" x14ac:dyDescent="0.2">
      <c r="A295">
        <v>286369</v>
      </c>
      <c r="B295" t="str">
        <f>"VIDEO J DVD LIONG"</f>
        <v>VIDEO J DVD LIONG</v>
      </c>
      <c r="C295" t="s">
        <v>3541</v>
      </c>
      <c r="D295" t="s">
        <v>3542</v>
      </c>
      <c r="E295" t="s">
        <v>3544</v>
      </c>
      <c r="F295" s="3" t="str">
        <f>"2019-11-18  - mbw - lost in transit"</f>
        <v>2019-11-18  - mbw - lost in transit</v>
      </c>
      <c r="G295" s="3" t="str">
        <f>"The lion guard: return of the roar"</f>
        <v>The lion guard: return of the roar</v>
      </c>
      <c r="H295" t="str">
        <f>"Parkins, Howy"</f>
        <v>Parkins, Howy</v>
      </c>
      <c r="I295">
        <v>27</v>
      </c>
      <c r="J295" s="2">
        <v>43679</v>
      </c>
      <c r="K295" s="1">
        <v>18</v>
      </c>
    </row>
    <row r="296" spans="1:11" ht="16" x14ac:dyDescent="0.2">
      <c r="A296">
        <v>286462</v>
      </c>
      <c r="B296" t="str">
        <f>"B SCOTT"</f>
        <v>B SCOTT</v>
      </c>
      <c r="C296" t="s">
        <v>3541</v>
      </c>
      <c r="D296" t="s">
        <v>3542</v>
      </c>
      <c r="E296" t="s">
        <v>3544</v>
      </c>
      <c r="F296" s="3" t="str">
        <f>"2019-07-12  - Inventory - "</f>
        <v xml:space="preserve">2019-07-12  - Inventory - </v>
      </c>
      <c r="G296" s="3" t="str">
        <f>"Splat the Cat up in the air at the fair"</f>
        <v>Splat the Cat up in the air at the fair</v>
      </c>
      <c r="H296" t="str">
        <f>"Hsu Lin, Amy,"</f>
        <v>Hsu Lin, Amy,</v>
      </c>
      <c r="I296">
        <v>12</v>
      </c>
      <c r="J296" s="2">
        <v>42788</v>
      </c>
      <c r="K296" s="1">
        <v>15</v>
      </c>
    </row>
    <row r="297" spans="1:11" ht="16" x14ac:dyDescent="0.2">
      <c r="A297">
        <v>286464</v>
      </c>
      <c r="B297" t="str">
        <f>"B SCOTT"</f>
        <v>B SCOTT</v>
      </c>
      <c r="C297" t="s">
        <v>3541</v>
      </c>
      <c r="D297" t="s">
        <v>3542</v>
      </c>
      <c r="E297" t="s">
        <v>3544</v>
      </c>
      <c r="F297" s="3" t="str">
        <f>"2019-07-12  - Inventory - "</f>
        <v xml:space="preserve">2019-07-12  - Inventory - </v>
      </c>
      <c r="G297" s="3" t="str">
        <f>"Splat the cat and the hotshot"</f>
        <v>Splat the cat and the hotshot</v>
      </c>
      <c r="H297" t="str">
        <f>"Driscoll, Laura"</f>
        <v>Driscoll, Laura</v>
      </c>
      <c r="I297">
        <v>9</v>
      </c>
      <c r="J297" s="2">
        <v>42822</v>
      </c>
      <c r="K297" s="1">
        <v>15</v>
      </c>
    </row>
    <row r="298" spans="1:11" ht="16" x14ac:dyDescent="0.2">
      <c r="A298">
        <v>286781</v>
      </c>
      <c r="B298" t="str">
        <f>"B DISNE"</f>
        <v>B DISNE</v>
      </c>
      <c r="C298" t="s">
        <v>3541</v>
      </c>
      <c r="D298" t="s">
        <v>3542</v>
      </c>
      <c r="E298">
        <v>5207500</v>
      </c>
      <c r="F298" s="3" t="str">
        <f>"2019-03-17  - Due: 2-19-2019. Notified: 2-26-2019, 3-5-2019, 3-13-2019, 5-7-2019"</f>
        <v>2019-03-17  - Due: 2-19-2019. Notified: 2-26-2019, 3-5-2019, 3-13-2019, 5-7-2019</v>
      </c>
      <c r="G298" s="3" t="str">
        <f>"Meet Periwinkle"</f>
        <v>Meet Periwinkle</v>
      </c>
      <c r="H298" t="str">
        <f>"Sisler, Celeste"</f>
        <v>Sisler, Celeste</v>
      </c>
      <c r="I298">
        <v>28</v>
      </c>
      <c r="J298" s="2">
        <v>43487</v>
      </c>
      <c r="K298" s="1">
        <v>9</v>
      </c>
    </row>
    <row r="299" spans="1:11" ht="16" x14ac:dyDescent="0.2">
      <c r="A299">
        <v>287043</v>
      </c>
      <c r="B299" t="str">
        <f>"J GN PEIRC"</f>
        <v>J GN PEIRC</v>
      </c>
      <c r="C299" t="s">
        <v>3541</v>
      </c>
      <c r="D299" t="s">
        <v>3542</v>
      </c>
      <c r="E299">
        <v>5141032</v>
      </c>
      <c r="F299" s="3" t="str">
        <f>"2019-03-02  - Due: 2-3-2019. Notified: 2-10-2019, 2-17-2019, 2-25-2019, 4-17-2019"</f>
        <v>2019-03-02  - Due: 2-3-2019. Notified: 2-10-2019, 2-17-2019, 2-25-2019, 4-17-2019</v>
      </c>
      <c r="G299" s="3" t="str">
        <f>"Big Nate: thunka, thunka, thunka"</f>
        <v>Big Nate: thunka, thunka, thunka</v>
      </c>
      <c r="H299" t="str">
        <f>"Peirce, Lincoln."</f>
        <v>Peirce, Lincoln.</v>
      </c>
      <c r="I299">
        <v>57</v>
      </c>
      <c r="J299" s="2">
        <v>43485</v>
      </c>
      <c r="K299" s="1">
        <v>15</v>
      </c>
    </row>
    <row r="300" spans="1:11" ht="16" x14ac:dyDescent="0.2">
      <c r="A300">
        <v>287215</v>
      </c>
      <c r="B300" t="str">
        <f>"E AWDRY"</f>
        <v>E AWDRY</v>
      </c>
      <c r="C300" t="s">
        <v>3541</v>
      </c>
      <c r="D300" t="s">
        <v>3542</v>
      </c>
      <c r="E300" t="s">
        <v>3544</v>
      </c>
      <c r="F300" s="3" t="str">
        <f>"2019-06-14  - Inventory - "</f>
        <v xml:space="preserve">2019-06-14  - Inventory - </v>
      </c>
      <c r="G300" s="3" t="str">
        <f>"Race to Callan Castle / The Best Engines Ever!: two books in one"</f>
        <v>Race to Callan Castle / The Best Engines Ever!: two books in one</v>
      </c>
      <c r="I300">
        <v>18</v>
      </c>
      <c r="J300" s="2">
        <v>43272</v>
      </c>
      <c r="K300" s="1">
        <v>9</v>
      </c>
    </row>
    <row r="301" spans="1:11" ht="32" x14ac:dyDescent="0.2">
      <c r="A301">
        <v>287249</v>
      </c>
      <c r="B301" t="str">
        <f>"658 SCO"</f>
        <v>658 SCO</v>
      </c>
      <c r="C301" t="s">
        <v>3545</v>
      </c>
      <c r="D301" t="s">
        <v>3542</v>
      </c>
      <c r="E301">
        <v>5109038</v>
      </c>
      <c r="F301" s="3" t="s">
        <v>3581</v>
      </c>
      <c r="G301" s="3" t="str">
        <f>"S.M.A.R.T. goals made simple: 10 steps to master your personal and career goals"</f>
        <v>S.M.A.R.T. goals made simple: 10 steps to master your personal and career goals</v>
      </c>
      <c r="H301" t="str">
        <f>"Scott, S.J."</f>
        <v>Scott, S.J.</v>
      </c>
      <c r="I301">
        <v>3</v>
      </c>
      <c r="J301" s="2">
        <v>43667</v>
      </c>
      <c r="K301" s="1">
        <v>12</v>
      </c>
    </row>
    <row r="302" spans="1:11" ht="32" x14ac:dyDescent="0.2">
      <c r="A302">
        <v>287317</v>
      </c>
      <c r="B302" t="str">
        <f>"E BRIDW"</f>
        <v>E BRIDW</v>
      </c>
      <c r="C302" t="s">
        <v>3541</v>
      </c>
      <c r="D302" t="s">
        <v>3542</v>
      </c>
      <c r="E302">
        <v>5200648</v>
      </c>
      <c r="F302" s="3" t="str">
        <f>"2019-09-05  - BD - WB - Brought in replacement copy; waiving fee because she spoke to someone about options and it was not mentioned.    9-5-2019  - Due: 9-5-2019."</f>
        <v>2019-09-05  - BD - WB - Brought in replacement copy; waiving fee because she spoke to someone about options and it was not mentioned.    9-5-2019  - Due: 9-5-2019.</v>
      </c>
      <c r="G302" s="3" t="str">
        <f>"Clifford's hiccups"</f>
        <v>Clifford's hiccups</v>
      </c>
      <c r="H302" t="str">
        <f>"Bridwell, Norman"</f>
        <v>Bridwell, Norman</v>
      </c>
      <c r="I302">
        <v>18</v>
      </c>
      <c r="J302" s="2">
        <v>43675</v>
      </c>
      <c r="K302" s="1">
        <v>9</v>
      </c>
    </row>
    <row r="303" spans="1:11" ht="16" x14ac:dyDescent="0.2">
      <c r="A303">
        <v>287326</v>
      </c>
      <c r="B303" t="str">
        <f>"B KRENS"</f>
        <v>B KRENS</v>
      </c>
      <c r="C303" t="s">
        <v>3541</v>
      </c>
      <c r="D303" t="s">
        <v>3542</v>
      </c>
      <c r="E303" t="s">
        <v>3544</v>
      </c>
      <c r="F303" s="3" t="str">
        <f>"2019-07-12  - Inventory - "</f>
        <v xml:space="preserve">2019-07-12  - Inventory - </v>
      </c>
      <c r="G303" s="3" t="str">
        <f>"My loose tooth"</f>
        <v>My loose tooth</v>
      </c>
      <c r="H303" t="str">
        <f>"Krensky, Stephen"</f>
        <v>Krensky, Stephen</v>
      </c>
      <c r="I303">
        <v>16</v>
      </c>
      <c r="J303" s="2">
        <v>43603</v>
      </c>
      <c r="K303" s="1">
        <v>9</v>
      </c>
    </row>
    <row r="304" spans="1:11" ht="16" x14ac:dyDescent="0.2">
      <c r="A304">
        <v>287450</v>
      </c>
      <c r="B304" t="str">
        <f>"VIDEO DVD REMAI"</f>
        <v>VIDEO DVD REMAI</v>
      </c>
      <c r="C304" t="s">
        <v>3541</v>
      </c>
      <c r="D304" t="s">
        <v>3542</v>
      </c>
      <c r="E304" t="s">
        <v>3544</v>
      </c>
      <c r="F304" s="3" t="str">
        <f>"2020-01-31  - Inventory - "</f>
        <v xml:space="preserve">2020-01-31  - Inventory - </v>
      </c>
      <c r="G304" s="3" t="str">
        <f>"The remaining"</f>
        <v>The remaining</v>
      </c>
      <c r="H304" t="str">
        <f>"La Scala, Casey"</f>
        <v>La Scala, Casey</v>
      </c>
      <c r="I304">
        <v>11</v>
      </c>
      <c r="J304" s="2">
        <v>43358</v>
      </c>
      <c r="K304" s="1">
        <v>15</v>
      </c>
    </row>
    <row r="305" spans="1:11" ht="16" x14ac:dyDescent="0.2">
      <c r="A305">
        <v>287640</v>
      </c>
      <c r="B305" t="str">
        <f>"YA GN ISAYA"</f>
        <v>YA GN ISAYA</v>
      </c>
      <c r="C305" t="s">
        <v>3541</v>
      </c>
      <c r="D305" t="s">
        <v>3542</v>
      </c>
      <c r="E305">
        <v>5216670</v>
      </c>
      <c r="F305" s="3" t="str">
        <f>"2019-09-22  - Due: 8-25-2019. Notified: 9-3-2019, 9-8-2019, 9-16-2019, 10-29-2019"</f>
        <v>2019-09-22  - Due: 8-25-2019. Notified: 9-3-2019, 9-8-2019, 9-16-2019, 10-29-2019</v>
      </c>
      <c r="G305" s="3" t="str">
        <f>"Attack on Titan, v.18"</f>
        <v>Attack on Titan, v.18</v>
      </c>
      <c r="H305" t="str">
        <f>"Isayama, Hajime, (1986-)"</f>
        <v>Isayama, Hajime, (1986-)</v>
      </c>
      <c r="I305">
        <v>9</v>
      </c>
      <c r="J305" s="2">
        <v>43688</v>
      </c>
      <c r="K305" s="1">
        <v>16</v>
      </c>
    </row>
    <row r="306" spans="1:11" ht="16" x14ac:dyDescent="0.2">
      <c r="A306">
        <v>287854</v>
      </c>
      <c r="B306" t="str">
        <f>"T ROTH"</f>
        <v>T ROTH</v>
      </c>
      <c r="C306" t="s">
        <v>3541</v>
      </c>
      <c r="D306" t="s">
        <v>3542</v>
      </c>
      <c r="E306" t="s">
        <v>3544</v>
      </c>
      <c r="F306" s="3" t="str">
        <f>"2019-11-15  - Inventory - "</f>
        <v xml:space="preserve">2019-11-15  - Inventory - </v>
      </c>
      <c r="G306" s="3" t="str">
        <f>"Mi amor por ti = My love for you"</f>
        <v>Mi amor por ti = My love for you</v>
      </c>
      <c r="H306" t="str">
        <f>"Roth, Susan L."</f>
        <v>Roth, Susan L.</v>
      </c>
      <c r="I306">
        <v>6</v>
      </c>
      <c r="J306" s="2">
        <v>42740</v>
      </c>
      <c r="K306" s="1">
        <v>12</v>
      </c>
    </row>
    <row r="307" spans="1:11" ht="48" x14ac:dyDescent="0.2">
      <c r="A307">
        <v>287884</v>
      </c>
      <c r="B307" t="str">
        <f>"VIDEO DVD GAMEO v.5a"</f>
        <v>VIDEO DVD GAMEO v.5a</v>
      </c>
      <c r="C307" t="s">
        <v>3541</v>
      </c>
      <c r="D307" t="s">
        <v>3542</v>
      </c>
      <c r="E307" t="s">
        <v>3544</v>
      </c>
      <c r="F307" s="3" t="s">
        <v>3578</v>
      </c>
      <c r="G307" s="3" t="str">
        <f>"Game of thrones, v.5a: season five"</f>
        <v>Game of thrones, v.5a: season five</v>
      </c>
      <c r="I307">
        <v>52</v>
      </c>
      <c r="J307" s="2">
        <v>43764</v>
      </c>
      <c r="K307" s="1">
        <v>32</v>
      </c>
    </row>
    <row r="308" spans="1:11" ht="16" x14ac:dyDescent="0.2">
      <c r="A308">
        <v>287921</v>
      </c>
      <c r="B308" t="str">
        <f>"E PARR"</f>
        <v>E PARR</v>
      </c>
      <c r="C308" t="s">
        <v>3541</v>
      </c>
      <c r="D308" t="s">
        <v>3542</v>
      </c>
      <c r="E308">
        <v>5214125</v>
      </c>
      <c r="F308" s="3" t="str">
        <f>"2019-12-29  - Due: 11-30-2019. Notified: 12-7-2019, 12-14-2019, 12-23-2019"</f>
        <v>2019-12-29  - Due: 11-30-2019. Notified: 12-7-2019, 12-14-2019, 12-23-2019</v>
      </c>
      <c r="G308" s="3" t="str">
        <f>"The daddy book"</f>
        <v>The daddy book</v>
      </c>
      <c r="H308" t="str">
        <f>"Parr, Todd"</f>
        <v>Parr, Todd</v>
      </c>
      <c r="I308">
        <v>36</v>
      </c>
      <c r="J308" s="2">
        <v>43782</v>
      </c>
      <c r="K308" s="1">
        <v>15</v>
      </c>
    </row>
    <row r="309" spans="1:11" ht="32" x14ac:dyDescent="0.2">
      <c r="A309">
        <v>287930</v>
      </c>
      <c r="B309" t="str">
        <f>"VIDEO DVD SANDL"</f>
        <v>VIDEO DVD SANDL</v>
      </c>
      <c r="C309" t="s">
        <v>3541</v>
      </c>
      <c r="D309" t="s">
        <v>3542</v>
      </c>
      <c r="E309">
        <v>5048532</v>
      </c>
      <c r="F309" s="3" t="str">
        <f>"2019-12-30  - PayPal - Paid    10-19-2019  - Due: 9-23-2019. Notified: 9-30-2019, 10-7-2019, 10-14-2019, 12-10-2019"</f>
        <v>2019-12-30  - PayPal - Paid    10-19-2019  - Due: 9-23-2019. Notified: 9-30-2019, 10-7-2019, 10-14-2019, 12-10-2019</v>
      </c>
      <c r="G309" s="3" t="str">
        <f>"The sandlot"</f>
        <v>The sandlot</v>
      </c>
      <c r="I309">
        <v>49</v>
      </c>
      <c r="J309" s="2">
        <v>43724</v>
      </c>
      <c r="K309" s="1">
        <v>9</v>
      </c>
    </row>
    <row r="310" spans="1:11" ht="32" x14ac:dyDescent="0.2">
      <c r="A310">
        <v>289157</v>
      </c>
      <c r="B310" t="str">
        <f>"VIDEO DVD MYBIG v.2"</f>
        <v>VIDEO DVD MYBIG v.2</v>
      </c>
      <c r="C310" t="s">
        <v>3541</v>
      </c>
      <c r="D310" t="s">
        <v>3542</v>
      </c>
      <c r="E310">
        <v>5125112</v>
      </c>
      <c r="F310" s="3" t="str">
        <f>"2019-07-24  - cab - member stted they returned it, but we did not find it. I notified member.    7-24-2019  - Due: 7-21-2019."</f>
        <v>2019-07-24  - cab - member stted they returned it, but we did not find it. I notified member.    7-24-2019  - Due: 7-21-2019.</v>
      </c>
      <c r="G310" s="3" t="str">
        <f>"My big fat Greek wedding 2"</f>
        <v>My big fat Greek wedding 2</v>
      </c>
      <c r="H310" t="str">
        <f>"Jones, Kirk (1964-)"</f>
        <v>Jones, Kirk (1964-)</v>
      </c>
      <c r="I310">
        <v>35</v>
      </c>
      <c r="J310" s="2">
        <v>43633</v>
      </c>
      <c r="K310" s="1">
        <v>20</v>
      </c>
    </row>
    <row r="311" spans="1:11" ht="16" x14ac:dyDescent="0.2">
      <c r="A311">
        <v>289243</v>
      </c>
      <c r="B311" t="str">
        <f>"E WALTD"</f>
        <v>E WALTD</v>
      </c>
      <c r="C311" t="s">
        <v>3545</v>
      </c>
      <c r="D311" t="str">
        <f>"Tech Serv"</f>
        <v>Tech Serv</v>
      </c>
      <c r="E311" t="s">
        <v>3544</v>
      </c>
      <c r="F311" s="3" t="str">
        <f>"2020-01-08  - ler - Check In - WB - loose pages"</f>
        <v>2020-01-08  - ler - Check In - WB - loose pages</v>
      </c>
      <c r="G311" s="3" t="str">
        <f>"Finding Dory: three little words"</f>
        <v>Finding Dory: three little words</v>
      </c>
      <c r="H311" t="str">
        <f>"Novesky, Amy."</f>
        <v>Novesky, Amy.</v>
      </c>
      <c r="I311">
        <v>41</v>
      </c>
      <c r="J311" s="2">
        <v>43836</v>
      </c>
      <c r="K311" s="1">
        <v>15</v>
      </c>
    </row>
    <row r="312" spans="1:11" ht="16" x14ac:dyDescent="0.2">
      <c r="A312">
        <v>289347</v>
      </c>
      <c r="B312" t="str">
        <f>"AUDIO J RIORD"</f>
        <v>AUDIO J RIORD</v>
      </c>
      <c r="C312" t="s">
        <v>3541</v>
      </c>
      <c r="D312" t="s">
        <v>3542</v>
      </c>
      <c r="E312">
        <v>5206151</v>
      </c>
      <c r="F312" s="3" t="str">
        <f>"2020-01-24  - Due: 12-27-2019. Notified: 1-3-2020, 1-10-2020, 1-17-2020"</f>
        <v>2020-01-24  - Due: 12-27-2019. Notified: 1-3-2020, 1-10-2020, 1-17-2020</v>
      </c>
      <c r="G312" s="3" t="str">
        <f>"The battle of the Labyrinth"</f>
        <v>The battle of the Labyrinth</v>
      </c>
      <c r="H312" t="str">
        <f>"Riordan, Rick"</f>
        <v>Riordan, Rick</v>
      </c>
      <c r="I312">
        <v>8</v>
      </c>
      <c r="J312" s="2">
        <v>43809</v>
      </c>
      <c r="K312" s="1">
        <v>42</v>
      </c>
    </row>
    <row r="313" spans="1:11" ht="16" x14ac:dyDescent="0.2">
      <c r="A313">
        <v>289576</v>
      </c>
      <c r="B313" t="str">
        <f>"E BARBI"</f>
        <v>E BARBI</v>
      </c>
      <c r="C313" t="s">
        <v>3541</v>
      </c>
      <c r="D313" t="s">
        <v>3542</v>
      </c>
      <c r="E313">
        <v>5212620</v>
      </c>
      <c r="F313" s="3" t="str">
        <f>"2019-09-01  - Due: 8-6-2019. Notified: 8-13-2019, 8-20-2019, 8-28-2019, 10-29-2019"</f>
        <v>2019-09-01  - Due: 8-6-2019. Notified: 8-13-2019, 8-20-2019, 8-28-2019, 10-29-2019</v>
      </c>
      <c r="G313" s="3" t="str">
        <f>"Barbie Star Light Adventure: Space Princess"</f>
        <v>Barbie Star Light Adventure: Space Princess</v>
      </c>
      <c r="H313" t="str">
        <f>"Man-Kong, Mary"</f>
        <v>Man-Kong, Mary</v>
      </c>
      <c r="I313">
        <v>30</v>
      </c>
      <c r="J313" s="2">
        <v>43669</v>
      </c>
      <c r="K313" s="1">
        <v>10</v>
      </c>
    </row>
    <row r="314" spans="1:11" ht="32" x14ac:dyDescent="0.2">
      <c r="A314">
        <v>289739</v>
      </c>
      <c r="B314" t="str">
        <f>"B KANN"</f>
        <v>B KANN</v>
      </c>
      <c r="C314" t="s">
        <v>3545</v>
      </c>
      <c r="D314" t="s">
        <v>3542</v>
      </c>
      <c r="E314">
        <v>5206472</v>
      </c>
      <c r="F314" s="3" t="str">
        <f>"2019-07-10  - BD - LL - paid    7-10-2019  - BD - LL - emailed    7-10-2019  - BD - Check In - LL - liquid damage"</f>
        <v>2019-07-10  - BD - LL - paid    7-10-2019  - BD - LL - emailed    7-10-2019  - BD - Check In - LL - liquid damage</v>
      </c>
      <c r="G314" s="3" t="str">
        <f>"Pinkalicious: puptastic!"</f>
        <v>Pinkalicious: puptastic!</v>
      </c>
      <c r="H314" t="str">
        <f>"Kann, Victoria"</f>
        <v>Kann, Victoria</v>
      </c>
      <c r="I314">
        <v>24</v>
      </c>
      <c r="J314" s="2">
        <v>43621</v>
      </c>
      <c r="K314" s="1">
        <v>15</v>
      </c>
    </row>
    <row r="315" spans="1:11" ht="32" x14ac:dyDescent="0.2">
      <c r="A315">
        <v>289889</v>
      </c>
      <c r="B315" t="str">
        <f>"VIDEO DVD ANGRY"</f>
        <v>VIDEO DVD ANGRY</v>
      </c>
      <c r="C315" t="s">
        <v>3541</v>
      </c>
      <c r="D315" t="s">
        <v>3542</v>
      </c>
      <c r="E315">
        <v>5097268</v>
      </c>
      <c r="F315" s="3" t="str">
        <f>"2019-12-18  - mm - WB - DW charged $15 for the missing DVD #289889.    12-18-2019  - mm - Check In - WB - Missing DVD"</f>
        <v>2019-12-18  - mm - WB - DW charged $15 for the missing DVD #289889.    12-18-2019  - mm - Check In - WB - Missing DVD</v>
      </c>
      <c r="G315" s="3" t="str">
        <f>"The Angry Birds Movie"</f>
        <v>The Angry Birds Movie</v>
      </c>
      <c r="I315">
        <v>48</v>
      </c>
      <c r="J315" s="2">
        <v>43782</v>
      </c>
      <c r="K315" s="1">
        <v>30.99</v>
      </c>
    </row>
    <row r="316" spans="1:11" ht="16" x14ac:dyDescent="0.2">
      <c r="A316">
        <v>290499</v>
      </c>
      <c r="B316" t="str">
        <f>"E REILE"</f>
        <v>E REILE</v>
      </c>
      <c r="C316" t="s">
        <v>3541</v>
      </c>
      <c r="D316" t="s">
        <v>3542</v>
      </c>
      <c r="E316" t="s">
        <v>3544</v>
      </c>
      <c r="F316" s="3" t="str">
        <f>"2019-11-13  - kt - Searched 3 times as of 11/13/19"</f>
        <v>2019-11-13  - kt - Searched 3 times as of 11/13/19</v>
      </c>
      <c r="G316" s="3" t="str">
        <f>"Making a splash"</f>
        <v>Making a splash</v>
      </c>
      <c r="H316" t="str">
        <f>"Reiley, Carol E."</f>
        <v>Reiley, Carol E.</v>
      </c>
      <c r="I316">
        <v>32</v>
      </c>
      <c r="J316" s="2">
        <v>43635</v>
      </c>
      <c r="K316" s="1">
        <v>11</v>
      </c>
    </row>
    <row r="317" spans="1:11" ht="16" x14ac:dyDescent="0.2">
      <c r="A317">
        <v>290621</v>
      </c>
      <c r="B317" t="str">
        <f>"T FRANC"</f>
        <v>T FRANC</v>
      </c>
      <c r="C317" t="s">
        <v>3545</v>
      </c>
      <c r="D317" t="str">
        <f>"Tech Serv"</f>
        <v>Tech Serv</v>
      </c>
      <c r="E317" t="s">
        <v>3544</v>
      </c>
      <c r="F317" s="3" t="str">
        <f>"2020-01-13  - brw - Check In - WB - spine"</f>
        <v>2020-01-13  - brw - Check In - WB - spine</v>
      </c>
      <c r="G317" s="3" t="s">
        <v>3582</v>
      </c>
      <c r="H317" t="str">
        <f>"Franceschelli, Christopher."</f>
        <v>Franceschelli, Christopher.</v>
      </c>
      <c r="I317">
        <v>38</v>
      </c>
      <c r="J317" s="2">
        <v>43810</v>
      </c>
      <c r="K317" s="1">
        <v>22</v>
      </c>
    </row>
    <row r="318" spans="1:11" ht="16" x14ac:dyDescent="0.2">
      <c r="A318">
        <v>290798</v>
      </c>
      <c r="B318" t="str">
        <f>"VIDEO DVD RUSHM"</f>
        <v>VIDEO DVD RUSHM</v>
      </c>
      <c r="C318" t="s">
        <v>3545</v>
      </c>
      <c r="D318" t="str">
        <f>"Tech Serv"</f>
        <v>Tech Serv</v>
      </c>
      <c r="E318" t="s">
        <v>3544</v>
      </c>
      <c r="F318" s="3" t="str">
        <f>"2020-01-26  - cab - Check In - WB - doesnt work"</f>
        <v>2020-01-26  - cab - Check In - WB - doesnt work</v>
      </c>
      <c r="G318" s="3" t="s">
        <v>3583</v>
      </c>
      <c r="H318" t="str">
        <f>"Anderson, Wes (1969-)"</f>
        <v>Anderson, Wes (1969-)</v>
      </c>
      <c r="I318">
        <v>24</v>
      </c>
      <c r="J318" s="2">
        <v>43848</v>
      </c>
      <c r="K318" s="1">
        <v>10</v>
      </c>
    </row>
    <row r="319" spans="1:11" ht="32" x14ac:dyDescent="0.2">
      <c r="A319">
        <v>290844</v>
      </c>
      <c r="B319" t="str">
        <f>"AUDIO SLAUG"</f>
        <v>AUDIO SLAUG</v>
      </c>
      <c r="C319" t="s">
        <v>3545</v>
      </c>
      <c r="D319" t="str">
        <f>"Tech Serv"</f>
        <v>Tech Serv</v>
      </c>
      <c r="E319">
        <v>11657</v>
      </c>
      <c r="F319" s="3" t="str">
        <f>"2019-12-09  - mm - Sending to TS.    10-24-2019  - Tess - WB - Car ate the CD's. I gave her a pass on this. Sent the car to the dealership and they will try to get it out."</f>
        <v>2019-12-09  - mm - Sending to TS.    10-24-2019  - Tess - WB - Car ate the CD's. I gave her a pass on this. Sent the car to the dealership and they will try to get it out.</v>
      </c>
      <c r="G319" s="3" t="str">
        <f>"The kept woman: a novel"</f>
        <v>The kept woman: a novel</v>
      </c>
      <c r="H319" t="str">
        <f>"Slaughter, Karin (1971-)"</f>
        <v>Slaughter, Karin (1971-)</v>
      </c>
      <c r="I319">
        <v>16</v>
      </c>
      <c r="J319" s="2">
        <v>43723</v>
      </c>
      <c r="K319" s="1">
        <v>45</v>
      </c>
    </row>
    <row r="320" spans="1:11" ht="32" x14ac:dyDescent="0.2">
      <c r="A320">
        <v>291509</v>
      </c>
      <c r="B320" t="str">
        <f>"306.874 LYT"</f>
        <v>306.874 LYT</v>
      </c>
      <c r="C320" t="s">
        <v>3541</v>
      </c>
      <c r="D320" t="s">
        <v>3542</v>
      </c>
      <c r="E320">
        <v>5106315</v>
      </c>
      <c r="F320" s="3" t="str">
        <f>"2019-09-11  - crd - WB - member paid for item    9-7-2019  - Due: 8-10-2019. Notified: 8-18-2019, 8-24-2019, 9-4-2019"</f>
        <v>2019-09-11  - crd - WB - member paid for item    9-7-2019  - Due: 8-10-2019. Notified: 8-18-2019, 8-24-2019, 9-4-2019</v>
      </c>
      <c r="G320" s="3" t="str">
        <f>"How to raise an adult: break free of the overparenting trap and prepare your kid for success"</f>
        <v>How to raise an adult: break free of the overparenting trap and prepare your kid for success</v>
      </c>
      <c r="H320" t="str">
        <f>"Lythcott-Haims, Julie."</f>
        <v>Lythcott-Haims, Julie.</v>
      </c>
      <c r="I320">
        <v>30</v>
      </c>
      <c r="J320" s="2">
        <v>43669</v>
      </c>
      <c r="K320" s="1">
        <v>21</v>
      </c>
    </row>
    <row r="321" spans="1:11" ht="16" x14ac:dyDescent="0.2">
      <c r="A321">
        <v>291528</v>
      </c>
      <c r="B321" t="str">
        <f>"VIDEO DVD SEAOF"</f>
        <v>VIDEO DVD SEAOF</v>
      </c>
      <c r="C321" t="s">
        <v>3541</v>
      </c>
      <c r="D321" t="s">
        <v>3542</v>
      </c>
      <c r="E321" t="s">
        <v>3544</v>
      </c>
      <c r="F321" s="3" t="str">
        <f>"2020-01-31  - Inventory - "</f>
        <v xml:space="preserve">2020-01-31  - Inventory - </v>
      </c>
      <c r="G321" s="3" t="str">
        <f>"The sea of trees"</f>
        <v>The sea of trees</v>
      </c>
      <c r="H321" t="str">
        <f>"Van Sant, Gus"</f>
        <v>Van Sant, Gus</v>
      </c>
      <c r="I321">
        <v>31</v>
      </c>
      <c r="J321" s="2">
        <v>43617</v>
      </c>
      <c r="K321" s="1">
        <v>17</v>
      </c>
    </row>
    <row r="322" spans="1:11" ht="16" x14ac:dyDescent="0.2">
      <c r="A322">
        <v>291647</v>
      </c>
      <c r="B322" t="str">
        <f>"VIDEO DVD EIGHT"</f>
        <v>VIDEO DVD EIGHT</v>
      </c>
      <c r="C322" t="s">
        <v>3541</v>
      </c>
      <c r="D322" t="s">
        <v>3542</v>
      </c>
      <c r="E322" t="s">
        <v>3544</v>
      </c>
      <c r="F322" s="3" t="str">
        <f>"2020-01-17  - Inventory - "</f>
        <v xml:space="preserve">2020-01-17  - Inventory - </v>
      </c>
      <c r="G322" s="3" t="str">
        <f>"Eight days a week: the touring years"</f>
        <v>Eight days a week: the touring years</v>
      </c>
      <c r="H322" t="str">
        <f>"Howard, Ron"</f>
        <v>Howard, Ron</v>
      </c>
      <c r="I322">
        <v>10</v>
      </c>
      <c r="J322" s="2">
        <v>43153</v>
      </c>
      <c r="K322" s="1">
        <v>27</v>
      </c>
    </row>
    <row r="323" spans="1:11" ht="16" x14ac:dyDescent="0.2">
      <c r="A323">
        <v>291693</v>
      </c>
      <c r="B323" t="str">
        <f>"J MEADO"</f>
        <v>J MEADO</v>
      </c>
      <c r="C323" t="s">
        <v>3541</v>
      </c>
      <c r="D323" t="s">
        <v>3542</v>
      </c>
      <c r="E323">
        <v>5178555</v>
      </c>
      <c r="F323" s="3" t="str">
        <f>"2019-08-12  - Due: 7-17-2019. Notified: 7-24-2019, 7-31-2019, 8-7-2019, 9-24-2019"</f>
        <v>2019-08-12  - Due: 7-17-2019. Notified: 7-24-2019, 7-31-2019, 8-7-2019, 9-24-2019</v>
      </c>
      <c r="G323" s="3" t="str">
        <f>"Georgia the guinea pig fairy"</f>
        <v>Georgia the guinea pig fairy</v>
      </c>
      <c r="H323" t="str">
        <f>"Meadows, Daisy"</f>
        <v>Meadows, Daisy</v>
      </c>
      <c r="I323">
        <v>9</v>
      </c>
      <c r="J323" s="2">
        <v>43649</v>
      </c>
      <c r="K323" s="1">
        <v>10</v>
      </c>
    </row>
    <row r="324" spans="1:11" ht="16" x14ac:dyDescent="0.2">
      <c r="A324">
        <v>291705</v>
      </c>
      <c r="B324" t="str">
        <f>"AUDIO PETER"</f>
        <v>AUDIO PETER</v>
      </c>
      <c r="C324" t="s">
        <v>3545</v>
      </c>
      <c r="D324" t="str">
        <f>"Tech Serv"</f>
        <v>Tech Serv</v>
      </c>
      <c r="E324">
        <v>5093008</v>
      </c>
      <c r="F324" s="4" t="e">
        <v>#N/A</v>
      </c>
      <c r="G324" s="3" t="str">
        <f>"Crocodile on the sandbank"</f>
        <v>Crocodile on the sandbank</v>
      </c>
      <c r="H324" t="str">
        <f>"Peters, Elizabeth"</f>
        <v>Peters, Elizabeth</v>
      </c>
      <c r="I324">
        <v>7</v>
      </c>
      <c r="J324" s="2">
        <v>43642</v>
      </c>
      <c r="K324" s="1">
        <v>32</v>
      </c>
    </row>
    <row r="325" spans="1:11" ht="16" x14ac:dyDescent="0.2">
      <c r="A325">
        <v>291831</v>
      </c>
      <c r="B325" t="str">
        <f>"J RIORD"</f>
        <v>J RIORD</v>
      </c>
      <c r="C325" t="s">
        <v>3545</v>
      </c>
      <c r="D325" t="str">
        <f>"Tech Serv"</f>
        <v>Tech Serv</v>
      </c>
      <c r="E325" t="s">
        <v>3544</v>
      </c>
      <c r="F325" s="3" t="str">
        <f>"2020-01-31  - JW - Check In - WB - Broken spine."</f>
        <v>2020-01-31  - JW - Check In - WB - Broken spine.</v>
      </c>
      <c r="G325" s="3" t="str">
        <f>"The mark of Athena"</f>
        <v>The mark of Athena</v>
      </c>
      <c r="H325" t="str">
        <f>"Riordan, Rick"</f>
        <v>Riordan, Rick</v>
      </c>
      <c r="I325">
        <v>39</v>
      </c>
      <c r="J325" s="2">
        <v>43845</v>
      </c>
      <c r="K325" s="1">
        <v>25</v>
      </c>
    </row>
    <row r="326" spans="1:11" ht="16" x14ac:dyDescent="0.2">
      <c r="A326">
        <v>292577</v>
      </c>
      <c r="B326" t="str">
        <f>"VIDEO J DVD GOODN"</f>
        <v>VIDEO J DVD GOODN</v>
      </c>
      <c r="C326" t="s">
        <v>3541</v>
      </c>
      <c r="D326" t="s">
        <v>3542</v>
      </c>
      <c r="E326">
        <v>5141424</v>
      </c>
      <c r="F326" s="3" t="str">
        <f>"2019-08-12  - rm - LL - Member reports that dog ate DVD.    8-12-2019  - Due: 8-12-2019."</f>
        <v>2019-08-12  - rm - LL - Member reports that dog ate DVD.    8-12-2019  - Due: 8-12-2019.</v>
      </c>
      <c r="G326" s="3" t="str">
        <f>"Good night, gorilla...and more great sleepytime stories"</f>
        <v>Good night, gorilla...and more great sleepytime stories</v>
      </c>
      <c r="I326">
        <v>6</v>
      </c>
      <c r="J326" s="2">
        <v>43682</v>
      </c>
      <c r="K326" s="1">
        <v>20</v>
      </c>
    </row>
    <row r="327" spans="1:11" ht="16" x14ac:dyDescent="0.2">
      <c r="A327">
        <v>292650</v>
      </c>
      <c r="B327" t="str">
        <f>"YA GN ISAYA"</f>
        <v>YA GN ISAYA</v>
      </c>
      <c r="C327" t="s">
        <v>3541</v>
      </c>
      <c r="D327" t="s">
        <v>3542</v>
      </c>
      <c r="E327">
        <v>5216438</v>
      </c>
      <c r="F327" s="3" t="str">
        <f>"2019-09-22  - Due: 8-25-2019. Notified: 9-3-2019, 9-8-2019, 9-16-2019, 10-29-2019"</f>
        <v>2019-09-22  - Due: 8-25-2019. Notified: 9-3-2019, 9-8-2019, 9-16-2019, 10-29-2019</v>
      </c>
      <c r="G327" s="3" t="str">
        <f>"Attack on Titan, v.20"</f>
        <v>Attack on Titan, v.20</v>
      </c>
      <c r="H327" t="str">
        <f>"Isayama, Hajime, (1986-)"</f>
        <v>Isayama, Hajime, (1986-)</v>
      </c>
      <c r="I327">
        <v>5</v>
      </c>
      <c r="J327" s="2">
        <v>43688</v>
      </c>
      <c r="K327" s="1">
        <v>16</v>
      </c>
    </row>
    <row r="328" spans="1:11" ht="16" x14ac:dyDescent="0.2">
      <c r="A328">
        <v>293041</v>
      </c>
      <c r="B328" t="str">
        <f>"VIDEO J DVD SCOOB"</f>
        <v>VIDEO J DVD SCOOB</v>
      </c>
      <c r="C328" t="s">
        <v>3545</v>
      </c>
      <c r="D328" t="str">
        <f>"Tech Serv"</f>
        <v>Tech Serv</v>
      </c>
      <c r="E328" t="s">
        <v>3544</v>
      </c>
      <c r="F328" s="3" t="str">
        <f>"2019-08-01  - mm - Check In - WB - damaged descriptive cover"</f>
        <v>2019-08-01  - mm - Check In - WB - damaged descriptive cover</v>
      </c>
      <c r="G328" s="3" t="str">
        <f>"Scooby-Doo in where's my mummy?"</f>
        <v>Scooby-Doo in where's my mummy?</v>
      </c>
      <c r="I328">
        <v>42</v>
      </c>
      <c r="J328" s="2">
        <v>43670</v>
      </c>
      <c r="K328" s="1">
        <v>11</v>
      </c>
    </row>
    <row r="329" spans="1:11" ht="16" x14ac:dyDescent="0.2">
      <c r="A329">
        <v>293050</v>
      </c>
      <c r="B329" t="str">
        <f>"VIDEO DVD DRFEE"</f>
        <v>VIDEO DVD DRFEE</v>
      </c>
      <c r="C329" t="s">
        <v>3541</v>
      </c>
      <c r="D329" t="s">
        <v>3542</v>
      </c>
      <c r="E329">
        <v>5156</v>
      </c>
      <c r="F329" s="3" t="str">
        <f>"2019-12-29  - Due: 11-30-2019. Notified: 12-7-2019, 12-14-2019, 12-23-2019"</f>
        <v>2019-12-29  - Due: 11-30-2019. Notified: 12-7-2019, 12-14-2019, 12-23-2019</v>
      </c>
      <c r="G329" s="3" t="str">
        <f>"Dr. Feelgood"</f>
        <v>Dr. Feelgood</v>
      </c>
      <c r="H329" t="str">
        <f>"Marson, Eve"</f>
        <v>Marson, Eve</v>
      </c>
      <c r="I329">
        <v>9</v>
      </c>
      <c r="J329" s="2">
        <v>43785</v>
      </c>
      <c r="K329" s="1">
        <v>22</v>
      </c>
    </row>
    <row r="330" spans="1:11" ht="80" x14ac:dyDescent="0.2">
      <c r="A330">
        <v>293547</v>
      </c>
      <c r="B330" t="str">
        <f>"VIDEO DVD PLANE"</f>
        <v>VIDEO DVD PLANE</v>
      </c>
      <c r="C330" t="s">
        <v>3560</v>
      </c>
      <c r="D330" t="str">
        <f>"Tech Serv"</f>
        <v>Tech Serv</v>
      </c>
      <c r="E330">
        <v>5112614</v>
      </c>
      <c r="F330" s="3" t="s">
        <v>3584</v>
      </c>
      <c r="G330" s="3" t="str">
        <f>"Planet of the apes legacy collection"</f>
        <v>Planet of the apes legacy collection</v>
      </c>
      <c r="I330">
        <v>12</v>
      </c>
      <c r="J330" s="2">
        <v>43728</v>
      </c>
      <c r="K330" s="1">
        <v>25</v>
      </c>
    </row>
    <row r="331" spans="1:11" ht="32" x14ac:dyDescent="0.2">
      <c r="A331">
        <v>293547</v>
      </c>
      <c r="B331" t="str">
        <f>"VIDEO DVD PLANE"</f>
        <v>VIDEO DVD PLANE</v>
      </c>
      <c r="C331" t="s">
        <v>3545</v>
      </c>
      <c r="D331" t="str">
        <f>"Tech Serv"</f>
        <v>Tech Serv</v>
      </c>
      <c r="E331" t="s">
        <v>3544</v>
      </c>
      <c r="F331" s="3" t="str">
        <f>"2019-10-13  - gp - Check In - LL - Was in problem box at LL, member stated that missing DVD was not in case when checked out. Item was last checked out in April 2019. member problem resolved."</f>
        <v>2019-10-13  - gp - Check In - LL - Was in problem box at LL, member stated that missing DVD was not in case when checked out. Item was last checked out in April 2019. member problem resolved.</v>
      </c>
      <c r="G331" s="3" t="str">
        <f>"Planet of the apes legacy collection"</f>
        <v>Planet of the apes legacy collection</v>
      </c>
      <c r="I331">
        <v>12</v>
      </c>
      <c r="J331" s="2">
        <v>43728</v>
      </c>
      <c r="K331" s="1">
        <v>25</v>
      </c>
    </row>
    <row r="332" spans="1:11" ht="32" x14ac:dyDescent="0.2">
      <c r="A332">
        <v>293812</v>
      </c>
      <c r="B332" t="str">
        <f>"J KINNE"</f>
        <v>J KINNE</v>
      </c>
      <c r="C332" t="s">
        <v>3541</v>
      </c>
      <c r="D332" t="s">
        <v>3542</v>
      </c>
      <c r="E332">
        <v>5165105</v>
      </c>
      <c r="F332" s="3" t="str">
        <f>"2019-09-14  - crd - WB - paid for item    9-14-2019  - crd - member reported item lost    9-14-2019  - Due: 9-9-2019."</f>
        <v>2019-09-14  - crd - WB - paid for item    9-14-2019  - crd - member reported item lost    9-14-2019  - Due: 9-9-2019.</v>
      </c>
      <c r="G332" s="3" t="str">
        <f>"Diary of a wimpy kid 4: dog days"</f>
        <v>Diary of a wimpy kid 4: dog days</v>
      </c>
      <c r="H332" t="str">
        <f>"Kinney, Jeff"</f>
        <v>Kinney, Jeff</v>
      </c>
      <c r="I332">
        <v>40</v>
      </c>
      <c r="J332" s="2">
        <v>43657</v>
      </c>
      <c r="K332" s="1">
        <v>19</v>
      </c>
    </row>
    <row r="333" spans="1:11" ht="16" x14ac:dyDescent="0.2">
      <c r="A333">
        <v>293915</v>
      </c>
      <c r="B333" t="str">
        <f>"VIDEO DVD HOLLA"</f>
        <v>VIDEO DVD HOLLA</v>
      </c>
      <c r="C333" t="s">
        <v>3541</v>
      </c>
      <c r="D333" t="s">
        <v>3542</v>
      </c>
      <c r="E333" t="s">
        <v>3544</v>
      </c>
      <c r="F333" s="3" t="str">
        <f>"2020-01-17  - Inventory - "</f>
        <v xml:space="preserve">2020-01-17  - Inventory - </v>
      </c>
      <c r="G333" s="3" t="str">
        <f>"The Hollars"</f>
        <v>The Hollars</v>
      </c>
      <c r="H333" t="str">
        <f>"Krasinski, John"</f>
        <v>Krasinski, John</v>
      </c>
      <c r="I333">
        <v>26</v>
      </c>
      <c r="J333" s="2">
        <v>43717</v>
      </c>
      <c r="K333" s="1">
        <v>18</v>
      </c>
    </row>
    <row r="334" spans="1:11" ht="16" x14ac:dyDescent="0.2">
      <c r="A334">
        <v>294345</v>
      </c>
      <c r="B334" t="str">
        <f>"J RIORD"</f>
        <v>J RIORD</v>
      </c>
      <c r="C334" t="s">
        <v>3545</v>
      </c>
      <c r="D334" t="str">
        <f>"Tech Serv"</f>
        <v>Tech Serv</v>
      </c>
      <c r="E334" t="s">
        <v>3544</v>
      </c>
      <c r="F334" s="3" t="str">
        <f>"2020-01-31  - kl - Check In - LL - cover loose, needs repair"</f>
        <v>2020-01-31  - kl - Check In - LL - cover loose, needs repair</v>
      </c>
      <c r="G334" s="3" t="str">
        <f>"The serpent's shadow"</f>
        <v>The serpent's shadow</v>
      </c>
      <c r="H334" t="str">
        <f>"Riordan, Rick"</f>
        <v>Riordan, Rick</v>
      </c>
      <c r="I334">
        <v>28</v>
      </c>
      <c r="J334" s="2">
        <v>43835</v>
      </c>
      <c r="K334" s="1">
        <v>15</v>
      </c>
    </row>
    <row r="335" spans="1:11" ht="32" x14ac:dyDescent="0.2">
      <c r="A335">
        <v>294654</v>
      </c>
      <c r="B335" t="str">
        <f>"155.2 CAI"</f>
        <v>155.2 CAI</v>
      </c>
      <c r="C335" t="s">
        <v>3541</v>
      </c>
      <c r="D335" t="s">
        <v>3542</v>
      </c>
      <c r="E335">
        <v>5135233</v>
      </c>
      <c r="F335" s="3" t="str">
        <f>"2019-11-23  - ss - WB - paid for item with credit card    11-23-2019  - Due: 11-12-2019. Notified: 11-19-2019"</f>
        <v>2019-11-23  - ss - WB - paid for item with credit card    11-23-2019  - Due: 11-12-2019. Notified: 11-19-2019</v>
      </c>
      <c r="G335" s="3" t="str">
        <f>"Quiet: the power of introverts in a world that can't stop talking"</f>
        <v>Quiet: the power of introverts in a world that can't stop talking</v>
      </c>
      <c r="H335" t="str">
        <f>"Cain, Susan."</f>
        <v>Cain, Susan.</v>
      </c>
      <c r="I335">
        <v>19</v>
      </c>
      <c r="J335" s="2">
        <v>43767</v>
      </c>
      <c r="K335" s="1">
        <v>21</v>
      </c>
    </row>
    <row r="336" spans="1:11" ht="16" x14ac:dyDescent="0.2">
      <c r="A336">
        <v>294796</v>
      </c>
      <c r="B336" t="str">
        <f>"VIDEO DVD ORANG v.4"</f>
        <v>VIDEO DVD ORANG v.4</v>
      </c>
      <c r="C336" t="s">
        <v>3541</v>
      </c>
      <c r="D336" t="s">
        <v>3542</v>
      </c>
      <c r="E336" t="s">
        <v>3544</v>
      </c>
      <c r="F336" s="3" t="str">
        <f>"2020-01-31  - Inventory - "</f>
        <v xml:space="preserve">2020-01-31  - Inventory - </v>
      </c>
      <c r="G336" s="3" t="str">
        <f>"Orange is the new black, v.4: season four"</f>
        <v>Orange is the new black, v.4: season four</v>
      </c>
      <c r="I336">
        <v>10</v>
      </c>
      <c r="J336" s="2">
        <v>43177</v>
      </c>
      <c r="K336" s="1">
        <v>30</v>
      </c>
    </row>
    <row r="337" spans="1:11" ht="16" x14ac:dyDescent="0.2">
      <c r="A337">
        <v>295313</v>
      </c>
      <c r="B337" t="str">
        <f>"J GN PEIRC"</f>
        <v>J GN PEIRC</v>
      </c>
      <c r="C337" t="s">
        <v>3541</v>
      </c>
      <c r="D337" t="s">
        <v>3542</v>
      </c>
      <c r="E337">
        <v>5156284</v>
      </c>
      <c r="F337" s="3" t="str">
        <f>"2020-01-13  - gp - LL - lost book    1-13-2020  - Due: 1-8-2020."</f>
        <v>2020-01-13  - gp - LL - lost book    1-13-2020  - Due: 1-8-2020.</v>
      </c>
      <c r="G337" s="3" t="str">
        <f>"Big Nate: welcome to my world"</f>
        <v>Big Nate: welcome to my world</v>
      </c>
      <c r="H337" t="str">
        <f>"Peirce, Lincoln."</f>
        <v>Peirce, Lincoln.</v>
      </c>
      <c r="I337">
        <v>30</v>
      </c>
      <c r="J337" s="2">
        <v>43801</v>
      </c>
      <c r="K337" s="1">
        <v>15</v>
      </c>
    </row>
    <row r="338" spans="1:11" ht="16" x14ac:dyDescent="0.2">
      <c r="A338">
        <v>295392</v>
      </c>
      <c r="B338" t="str">
        <f>"VIDEO DVD ROCKD"</f>
        <v>VIDEO DVD ROCKD</v>
      </c>
      <c r="C338" t="s">
        <v>3541</v>
      </c>
      <c r="D338" t="s">
        <v>3542</v>
      </c>
      <c r="E338" t="s">
        <v>3544</v>
      </c>
      <c r="F338" s="3" t="str">
        <f>"2020-01-31  - Inventory - "</f>
        <v xml:space="preserve">2020-01-31  - Inventory - </v>
      </c>
      <c r="G338" s="3" t="str">
        <f>"Rock dog"</f>
        <v>Rock dog</v>
      </c>
      <c r="H338" t="str">
        <f>"Brannon, Ash"</f>
        <v>Brannon, Ash</v>
      </c>
      <c r="I338">
        <v>20</v>
      </c>
      <c r="J338" s="2">
        <v>43513</v>
      </c>
      <c r="K338" s="1">
        <v>21</v>
      </c>
    </row>
    <row r="339" spans="1:11" ht="16" x14ac:dyDescent="0.2">
      <c r="A339">
        <v>295396</v>
      </c>
      <c r="B339" t="str">
        <f>"VIDEO DVD DONTB"</f>
        <v>VIDEO DVD DONTB</v>
      </c>
      <c r="C339" t="s">
        <v>3541</v>
      </c>
      <c r="D339" t="s">
        <v>3542</v>
      </c>
      <c r="E339" t="s">
        <v>3544</v>
      </c>
      <c r="F339" s="3" t="str">
        <f>"2020-01-18  - BD - 3 searches completed at LL"</f>
        <v>2020-01-18  - BD - 3 searches completed at LL</v>
      </c>
      <c r="G339" s="3" t="str">
        <f>"Don't blink: Robert Frank"</f>
        <v>Don't blink: Robert Frank</v>
      </c>
      <c r="H339" t="str">
        <f>"Israel, Laura."</f>
        <v>Israel, Laura.</v>
      </c>
      <c r="I339">
        <v>6</v>
      </c>
      <c r="J339" s="2">
        <v>43409</v>
      </c>
      <c r="K339" s="1">
        <v>23</v>
      </c>
    </row>
    <row r="340" spans="1:11" ht="16" x14ac:dyDescent="0.2">
      <c r="A340">
        <v>295410</v>
      </c>
      <c r="B340" t="str">
        <f>"VIDEO DVD BEAUT"</f>
        <v>VIDEO DVD BEAUT</v>
      </c>
      <c r="C340" t="s">
        <v>3541</v>
      </c>
      <c r="D340" t="s">
        <v>3542</v>
      </c>
      <c r="E340">
        <v>5178731</v>
      </c>
      <c r="F340" s="3" t="str">
        <f>"2019-08-17  - Due: 7-22-2019. Notified: 7-29-2019, 8-5-2019, 8-12-2019, 9-24-2019"</f>
        <v>2019-08-17  - Due: 7-22-2019. Notified: 7-29-2019, 8-5-2019, 8-12-2019, 9-24-2019</v>
      </c>
      <c r="G340" s="3" t="str">
        <f>"Beauty and the Beast"</f>
        <v>Beauty and the Beast</v>
      </c>
      <c r="H340" t="str">
        <f>"Condon, Bill"</f>
        <v>Condon, Bill</v>
      </c>
      <c r="I340">
        <v>30</v>
      </c>
      <c r="J340" s="2">
        <v>43651</v>
      </c>
      <c r="K340" s="1">
        <v>29.99</v>
      </c>
    </row>
    <row r="341" spans="1:11" ht="16" x14ac:dyDescent="0.2">
      <c r="A341">
        <v>295710</v>
      </c>
      <c r="B341" t="str">
        <f>"AUDIO GREEN"</f>
        <v>AUDIO GREEN</v>
      </c>
      <c r="C341" t="s">
        <v>3545</v>
      </c>
      <c r="D341" t="str">
        <f>"Circ Prob Box"</f>
        <v>Circ Prob Box</v>
      </c>
      <c r="E341">
        <v>5041666</v>
      </c>
      <c r="F341" s="3" t="str">
        <f>"2020-02-01  - kl - Check In - WB - missing #1 disc"</f>
        <v>2020-02-01  - kl - Check In - WB - missing #1 disc</v>
      </c>
      <c r="G341" s="3" t="str">
        <f>"The Sunshine sisters: a novel"</f>
        <v>The Sunshine sisters: a novel</v>
      </c>
      <c r="H341" t="str">
        <f>"Green, Jane (1968-)"</f>
        <v>Green, Jane (1968-)</v>
      </c>
      <c r="I341">
        <v>10</v>
      </c>
      <c r="J341" s="2">
        <v>43856</v>
      </c>
      <c r="K341" s="1">
        <v>50</v>
      </c>
    </row>
    <row r="342" spans="1:11" ht="16" x14ac:dyDescent="0.2">
      <c r="A342">
        <v>295716</v>
      </c>
      <c r="B342" t="str">
        <f>"E CARR"</f>
        <v>E CARR</v>
      </c>
      <c r="C342" t="s">
        <v>3541</v>
      </c>
      <c r="D342" t="s">
        <v>3542</v>
      </c>
      <c r="E342" t="s">
        <v>3544</v>
      </c>
      <c r="F342" s="3" t="str">
        <f>"2019-06-14  - Inventory - "</f>
        <v xml:space="preserve">2019-06-14  - Inventory - </v>
      </c>
      <c r="G342" s="3" t="str">
        <f>"Jake and Miller's big adventure: a prepper's book for kids"</f>
        <v>Jake and Miller's big adventure: a prepper's book for kids</v>
      </c>
      <c r="H342" t="str">
        <f>"Carr, Bernie."</f>
        <v>Carr, Bernie.</v>
      </c>
      <c r="I342">
        <v>7</v>
      </c>
      <c r="J342" s="2">
        <v>43481</v>
      </c>
      <c r="K342" s="1">
        <v>21</v>
      </c>
    </row>
    <row r="343" spans="1:11" ht="32" x14ac:dyDescent="0.2">
      <c r="A343">
        <v>296358</v>
      </c>
      <c r="B343" t="str">
        <f>"J OSBOR"</f>
        <v>J OSBOR</v>
      </c>
      <c r="C343" t="s">
        <v>3541</v>
      </c>
      <c r="D343" t="s">
        <v>3542</v>
      </c>
      <c r="E343">
        <v>5211644</v>
      </c>
      <c r="F343" s="3" t="str">
        <f>"2019-09-04  - mew - WB - member paid $9 on 9/4/19    8-28-2019  - Due: 8-2-2019. Notified: 8-9-2019, 8-16-2019, 8-23-2019"</f>
        <v>2019-09-04  - mew - WB - member paid $9 on 9/4/19    8-28-2019  - Due: 8-2-2019. Notified: 8-9-2019, 8-16-2019, 8-23-2019</v>
      </c>
      <c r="G343" s="3" t="str">
        <f>"Twister on Tuesday"</f>
        <v>Twister on Tuesday</v>
      </c>
      <c r="H343" t="str">
        <f>"Osborne, Mary Pope"</f>
        <v>Osborne, Mary Pope</v>
      </c>
      <c r="I343">
        <v>17</v>
      </c>
      <c r="J343" s="2">
        <v>43665</v>
      </c>
      <c r="K343" s="1">
        <v>9</v>
      </c>
    </row>
    <row r="344" spans="1:11" ht="16" x14ac:dyDescent="0.2">
      <c r="A344">
        <v>296481</v>
      </c>
      <c r="B344" t="str">
        <f>"VIDEO DVD BIGLI v.1"</f>
        <v>VIDEO DVD BIGLI v.1</v>
      </c>
      <c r="C344" t="s">
        <v>3541</v>
      </c>
      <c r="D344" t="s">
        <v>3542</v>
      </c>
      <c r="E344" t="s">
        <v>3544</v>
      </c>
      <c r="F344" s="3" t="str">
        <f>"2020-01-17  - Inventory - "</f>
        <v xml:space="preserve">2020-01-17  - Inventory - </v>
      </c>
      <c r="G344" s="3" t="str">
        <f>"Big little lies, v.1: season one"</f>
        <v>Big little lies, v.1: season one</v>
      </c>
      <c r="I344">
        <v>46</v>
      </c>
      <c r="J344" s="2">
        <v>43781</v>
      </c>
      <c r="K344" s="1">
        <v>33</v>
      </c>
    </row>
    <row r="345" spans="1:11" ht="16" x14ac:dyDescent="0.2">
      <c r="A345">
        <v>296536</v>
      </c>
      <c r="B345" t="str">
        <f>"J STINE"</f>
        <v>J STINE</v>
      </c>
      <c r="C345" t="s">
        <v>3541</v>
      </c>
      <c r="D345" t="s">
        <v>3542</v>
      </c>
      <c r="E345">
        <v>5180997</v>
      </c>
      <c r="F345" s="3" t="str">
        <f>"2019-10-20  - Due: 9-24-2019. Notified: 10-1-2019, 10-8-2019, 10-16-2019, 12-10-2019"</f>
        <v>2019-10-20  - Due: 9-24-2019. Notified: 10-1-2019, 10-8-2019, 10-16-2019, 12-10-2019</v>
      </c>
      <c r="G345" s="3" t="str">
        <f>"The campfire collection"</f>
        <v>The campfire collection</v>
      </c>
      <c r="H345" t="str">
        <f>"Stine, R. L."</f>
        <v>Stine, R. L.</v>
      </c>
      <c r="I345">
        <v>20</v>
      </c>
      <c r="J345" s="2">
        <v>43704</v>
      </c>
      <c r="K345" s="1">
        <v>13</v>
      </c>
    </row>
    <row r="346" spans="1:11" ht="16" x14ac:dyDescent="0.2">
      <c r="A346">
        <v>296717</v>
      </c>
      <c r="B346" t="str">
        <f>"B BARBI"</f>
        <v>B BARBI</v>
      </c>
      <c r="C346" t="s">
        <v>3541</v>
      </c>
      <c r="D346" t="s">
        <v>3542</v>
      </c>
      <c r="E346">
        <v>5207383</v>
      </c>
      <c r="F346" s="3" t="str">
        <f>"2019-03-17  - Due: 2-19-2019. Notified: 2-26-2019, 3-5-2019, 3-13-2019, 5-7-2019"</f>
        <v>2019-03-17  - Due: 2-19-2019. Notified: 2-26-2019, 3-5-2019, 3-13-2019, 5-7-2019</v>
      </c>
      <c r="G346" s="3" t="str">
        <f>"Barbie Dreamtopia: the best birthday"</f>
        <v>Barbie Dreamtopia: the best birthday</v>
      </c>
      <c r="H346" t="str">
        <f>"Man-Kong, Mary"</f>
        <v>Man-Kong, Mary</v>
      </c>
      <c r="I346">
        <v>12</v>
      </c>
      <c r="J346" s="2">
        <v>43487</v>
      </c>
      <c r="K346" s="1">
        <v>10</v>
      </c>
    </row>
    <row r="347" spans="1:11" ht="16" x14ac:dyDescent="0.2">
      <c r="A347">
        <v>296734</v>
      </c>
      <c r="B347" t="str">
        <f>"J GN PEIRC"</f>
        <v>J GN PEIRC</v>
      </c>
      <c r="C347" t="s">
        <v>3541</v>
      </c>
      <c r="D347" t="s">
        <v>3542</v>
      </c>
      <c r="E347">
        <v>5140916</v>
      </c>
      <c r="F347" s="3" t="str">
        <f>"2019-03-02  - Due: 2-3-2019. Notified: 2-10-2019, 2-17-2019, 2-25-2019, 4-17-2019"</f>
        <v>2019-03-02  - Due: 2-3-2019. Notified: 2-10-2019, 2-17-2019, 2-25-2019, 4-17-2019</v>
      </c>
      <c r="G347" s="3" t="str">
        <f>"Big Nate: a good old-fashioned wedgie"</f>
        <v>Big Nate: a good old-fashioned wedgie</v>
      </c>
      <c r="H347" t="str">
        <f>"Peirce, Lincoln."</f>
        <v>Peirce, Lincoln.</v>
      </c>
      <c r="I347">
        <v>30</v>
      </c>
      <c r="J347" s="2">
        <v>43485</v>
      </c>
      <c r="K347" s="1">
        <v>15</v>
      </c>
    </row>
    <row r="348" spans="1:11" ht="16" x14ac:dyDescent="0.2">
      <c r="A348">
        <v>296743</v>
      </c>
      <c r="B348" t="str">
        <f>"T HANNI"</f>
        <v>T HANNI</v>
      </c>
      <c r="C348" t="s">
        <v>3541</v>
      </c>
      <c r="D348" t="s">
        <v>3542</v>
      </c>
      <c r="E348" t="s">
        <v>3544</v>
      </c>
      <c r="F348" s="3" t="str">
        <f>"2019-11-15  - Inventory - "</f>
        <v xml:space="preserve">2019-11-15  - Inventory - </v>
      </c>
      <c r="G348" s="3" t="str">
        <f>"Under construction"</f>
        <v>Under construction</v>
      </c>
      <c r="H348" t="str">
        <f>"Hannigan, Paula."</f>
        <v>Hannigan, Paula.</v>
      </c>
      <c r="I348">
        <v>6</v>
      </c>
      <c r="J348" s="2">
        <v>43164</v>
      </c>
      <c r="K348" s="1">
        <v>11</v>
      </c>
    </row>
    <row r="349" spans="1:11" ht="16" x14ac:dyDescent="0.2">
      <c r="A349">
        <v>296839</v>
      </c>
      <c r="B349" t="str">
        <f>"J KINNE"</f>
        <v>J KINNE</v>
      </c>
      <c r="C349" t="s">
        <v>3541</v>
      </c>
      <c r="D349" t="s">
        <v>3542</v>
      </c>
      <c r="E349">
        <v>5136756</v>
      </c>
      <c r="F349" s="3" t="str">
        <f>"2019-11-11  - Due: 10-16-2019. Notified: 10-23-2019, 10-30-2019, 11-6-2019, 12-31-2019"</f>
        <v>2019-11-11  - Due: 10-16-2019. Notified: 10-23-2019, 10-30-2019, 11-6-2019, 12-31-2019</v>
      </c>
      <c r="G349" s="3" t="str">
        <f>"Diary of a wimpy kid 4: dog days"</f>
        <v>Diary of a wimpy kid 4: dog days</v>
      </c>
      <c r="H349" t="str">
        <f>"Kinney, Jeff"</f>
        <v>Kinney, Jeff</v>
      </c>
      <c r="I349">
        <v>34</v>
      </c>
      <c r="J349" s="2">
        <v>43740</v>
      </c>
      <c r="K349" s="1">
        <v>19</v>
      </c>
    </row>
    <row r="350" spans="1:11" ht="16" x14ac:dyDescent="0.2">
      <c r="A350">
        <v>296995</v>
      </c>
      <c r="B350" t="str">
        <f>"332.024 SCH"</f>
        <v>332.024 SCH</v>
      </c>
      <c r="C350" t="s">
        <v>3541</v>
      </c>
      <c r="D350" t="s">
        <v>3542</v>
      </c>
      <c r="E350">
        <v>5099663</v>
      </c>
      <c r="F350" s="3" t="str">
        <f>"2019-12-19  - Due: 11-20-2019. Notified: 11-30-2019, 12-4-2019, 12-11-2019, 1-21-2020"</f>
        <v>2019-12-19  - Due: 11-20-2019. Notified: 11-30-2019, 12-4-2019, 12-11-2019, 1-21-2020</v>
      </c>
      <c r="G350" s="3" t="str">
        <f>"Modern investing: gambling in disguise"</f>
        <v>Modern investing: gambling in disguise</v>
      </c>
      <c r="H350" t="str">
        <f>"Schneider, David"</f>
        <v>Schneider, David</v>
      </c>
      <c r="I350">
        <v>8</v>
      </c>
      <c r="J350" s="2">
        <v>43747</v>
      </c>
      <c r="K350" s="1">
        <v>20</v>
      </c>
    </row>
    <row r="351" spans="1:11" ht="32" x14ac:dyDescent="0.2">
      <c r="A351">
        <v>297049</v>
      </c>
      <c r="B351" t="str">
        <f>"J 791.43 STA"</f>
        <v>J 791.43 STA</v>
      </c>
      <c r="C351" t="s">
        <v>3541</v>
      </c>
      <c r="D351" t="s">
        <v>3542</v>
      </c>
      <c r="E351">
        <v>5119608</v>
      </c>
      <c r="F351" s="3" t="str">
        <f>"2019-10-28  - mm - WB - Member will search one more time for this item at home, or else she will pay.    10-27-2019  - Due: 10-1-2019. Notified: 10-8-2019, 10-15-2019, 10-23-2019, 12-10-2019"</f>
        <v>2019-10-28  - mm - WB - Member will search one more time for this item at home, or else she will pay.    10-27-2019  - Due: 10-1-2019. Notified: 10-8-2019, 10-15-2019, 10-23-2019, 12-10-2019</v>
      </c>
      <c r="G351" s="3" t="str">
        <f>"LEGO Star Wars: Jedi Heroes"</f>
        <v>LEGO Star Wars: Jedi Heroes</v>
      </c>
      <c r="I351">
        <v>11</v>
      </c>
      <c r="J351" s="2">
        <v>43697</v>
      </c>
      <c r="K351" s="1">
        <v>15</v>
      </c>
    </row>
    <row r="352" spans="1:11" ht="16" x14ac:dyDescent="0.2">
      <c r="A352">
        <v>297534</v>
      </c>
      <c r="B352" t="str">
        <f>"MAG Special Issue Austin Home/2017"</f>
        <v>MAG Special Issue Austin Home/2017</v>
      </c>
      <c r="C352" t="s">
        <v>3541</v>
      </c>
      <c r="D352" t="s">
        <v>3542</v>
      </c>
      <c r="E352">
        <v>5067276</v>
      </c>
      <c r="F352" s="3" t="str">
        <f>"2019-12-18  - Due: 11-19-2019. Notified: 11-26-2019, 12-3-2019, 12-11-2019, 1-21-2020"</f>
        <v>2019-12-18  - Due: 11-19-2019. Notified: 11-26-2019, 12-3-2019, 12-11-2019, 1-21-2020</v>
      </c>
      <c r="G352" s="3" t="str">
        <f>"Austin Monthly 2017"</f>
        <v>Austin Monthly 2017</v>
      </c>
      <c r="I352">
        <v>13</v>
      </c>
      <c r="J352" s="2">
        <v>43774</v>
      </c>
      <c r="K352" s="1">
        <v>5</v>
      </c>
    </row>
    <row r="353" spans="1:11" ht="16" x14ac:dyDescent="0.2">
      <c r="A353">
        <v>297783</v>
      </c>
      <c r="B353" t="str">
        <f>"VIDEO DVD HITCH"</f>
        <v>VIDEO DVD HITCH</v>
      </c>
      <c r="C353" t="s">
        <v>3541</v>
      </c>
      <c r="D353" t="s">
        <v>3542</v>
      </c>
      <c r="E353" t="s">
        <v>3544</v>
      </c>
      <c r="F353" s="3" t="str">
        <f>"2019-09-24  - ss - searched 3 times"</f>
        <v>2019-09-24  - ss - searched 3 times</v>
      </c>
      <c r="G353" s="3" t="s">
        <v>3585</v>
      </c>
      <c r="H353" t="str">
        <f>"Tennant, Andy"</f>
        <v>Tennant, Andy</v>
      </c>
      <c r="I353">
        <v>8</v>
      </c>
      <c r="J353" s="2">
        <v>43541</v>
      </c>
      <c r="K353" s="1">
        <v>17</v>
      </c>
    </row>
    <row r="354" spans="1:11" ht="16" x14ac:dyDescent="0.2">
      <c r="A354">
        <v>297915</v>
      </c>
      <c r="B354" t="str">
        <f>"VIDEO J DVD BARBI"</f>
        <v>VIDEO J DVD BARBI</v>
      </c>
      <c r="C354" t="s">
        <v>3541</v>
      </c>
      <c r="D354" t="s">
        <v>3542</v>
      </c>
      <c r="E354">
        <v>5117721</v>
      </c>
      <c r="F354" s="3" t="str">
        <f>"2019-09-05  - Due: 8-8-2019. Notified: 8-15-2019, 8-22-2019, 8-30-2019, 10-29-2019"</f>
        <v>2019-09-05  - Due: 8-8-2019. Notified: 8-15-2019, 8-22-2019, 8-30-2019, 10-29-2019</v>
      </c>
      <c r="G354" s="3" t="str">
        <f>"Barbie in the Nutcracker"</f>
        <v>Barbie in the Nutcracker</v>
      </c>
      <c r="I354">
        <v>14</v>
      </c>
      <c r="J354" s="2">
        <v>43678</v>
      </c>
      <c r="K354" s="1">
        <v>15</v>
      </c>
    </row>
    <row r="355" spans="1:11" ht="16" x14ac:dyDescent="0.2">
      <c r="A355">
        <v>298066</v>
      </c>
      <c r="B355" t="str">
        <f>"VIDEO DVD DURRE v.2"</f>
        <v>VIDEO DVD DURRE v.2</v>
      </c>
      <c r="C355" t="s">
        <v>3545</v>
      </c>
      <c r="D355" t="str">
        <f>"Tech Serv"</f>
        <v>Tech Serv</v>
      </c>
      <c r="E355" t="s">
        <v>3544</v>
      </c>
      <c r="F355" s="3" t="str">
        <f>"2020-01-19  - jd - Check In - LL - cracked disc"</f>
        <v>2020-01-19  - jd - Check In - LL - cracked disc</v>
      </c>
      <c r="G355" s="3" t="str">
        <f>"The Durrells in Corfu, v.2: season two"</f>
        <v>The Durrells in Corfu, v.2: season two</v>
      </c>
      <c r="I355">
        <v>15</v>
      </c>
      <c r="J355" s="2">
        <v>43847</v>
      </c>
      <c r="K355" s="1">
        <v>28</v>
      </c>
    </row>
    <row r="356" spans="1:11" ht="16" x14ac:dyDescent="0.2">
      <c r="A356">
        <v>298287</v>
      </c>
      <c r="B356" t="str">
        <f>"976.4 RIL"</f>
        <v>976.4 RIL</v>
      </c>
      <c r="C356" t="s">
        <v>3541</v>
      </c>
      <c r="D356" t="s">
        <v>3542</v>
      </c>
      <c r="E356" t="s">
        <v>3544</v>
      </c>
      <c r="F356" s="3" t="str">
        <f>"2020-01-14  - cab - missing from reserve list 3 days"</f>
        <v>2020-01-14  - cab - missing from reserve list 3 days</v>
      </c>
      <c r="G356" s="3" t="str">
        <f>"Famous trees of Texas"</f>
        <v>Famous trees of Texas</v>
      </c>
      <c r="H356" t="str">
        <f>"Riley, Gretchen, (1963-)"</f>
        <v>Riley, Gretchen, (1963-)</v>
      </c>
      <c r="I356">
        <v>1</v>
      </c>
      <c r="K356" s="1">
        <v>35</v>
      </c>
    </row>
    <row r="357" spans="1:11" ht="32" x14ac:dyDescent="0.2">
      <c r="A357">
        <v>298307</v>
      </c>
      <c r="B357" t="str">
        <f>"J LINDS"</f>
        <v>J LINDS</v>
      </c>
      <c r="C357" t="s">
        <v>3541</v>
      </c>
      <c r="D357" t="s">
        <v>3542</v>
      </c>
      <c r="E357" t="s">
        <v>3544</v>
      </c>
      <c r="F357" s="3" t="str">
        <f>"2019-09-13  - Inventory - "</f>
        <v xml:space="preserve">2019-09-13  - Inventory - </v>
      </c>
      <c r="G357" s="3" t="str">
        <f>"The magic pudding: being the adventures of Bunyip Bluegum and his friends Bill Barnacle &amp; Sam Sawnoff"</f>
        <v>The magic pudding: being the adventures of Bunyip Bluegum and his friends Bill Barnacle &amp; Sam Sawnoff</v>
      </c>
      <c r="H357" t="str">
        <f>"Lindsay, Norman, (1879-1969.)"</f>
        <v>Lindsay, Norman, (1879-1969.)</v>
      </c>
      <c r="I357">
        <v>1</v>
      </c>
      <c r="J357" s="2">
        <v>43081</v>
      </c>
      <c r="K357" s="1">
        <v>11</v>
      </c>
    </row>
    <row r="358" spans="1:11" ht="16" x14ac:dyDescent="0.2">
      <c r="A358">
        <v>298392</v>
      </c>
      <c r="B358" t="str">
        <f>"VIDEO J DVD MERRY"</f>
        <v>VIDEO J DVD MERRY</v>
      </c>
      <c r="C358" t="s">
        <v>3541</v>
      </c>
      <c r="D358" t="s">
        <v>3542</v>
      </c>
      <c r="E358">
        <v>5141599</v>
      </c>
      <c r="F358" s="3" t="str">
        <f>"2019-09-17  - Due: 8-20-2019. Notified: 8-27-2019, 9-3-2019, 9-11-2019, 10-29-2019"</f>
        <v>2019-09-17  - Due: 8-20-2019. Notified: 8-27-2019, 9-3-2019, 9-11-2019, 10-29-2019</v>
      </c>
      <c r="G358" s="3" t="str">
        <f>"Merry mischief collection: 3 holiday movies"</f>
        <v>Merry mischief collection: 3 holiday movies</v>
      </c>
      <c r="I358">
        <v>8</v>
      </c>
      <c r="J358" s="2">
        <v>43634</v>
      </c>
      <c r="K358" s="1">
        <v>20</v>
      </c>
    </row>
    <row r="359" spans="1:11" ht="16" x14ac:dyDescent="0.2">
      <c r="A359">
        <v>299088</v>
      </c>
      <c r="B359" t="str">
        <f>"AUDIO STEEL"</f>
        <v>AUDIO STEEL</v>
      </c>
      <c r="C359" t="s">
        <v>3541</v>
      </c>
      <c r="D359" t="s">
        <v>3542</v>
      </c>
      <c r="E359" t="s">
        <v>3544</v>
      </c>
      <c r="F359" s="3" t="str">
        <f>"2020-01-29  - cab - lost in transit"</f>
        <v>2020-01-29  - cab - lost in transit</v>
      </c>
      <c r="G359" s="3" t="str">
        <f>"The right time: a novel"</f>
        <v>The right time: a novel</v>
      </c>
      <c r="H359" t="str">
        <f>"Steel, Danielle"</f>
        <v>Steel, Danielle</v>
      </c>
      <c r="I359">
        <v>9</v>
      </c>
      <c r="J359" s="2">
        <v>43649</v>
      </c>
      <c r="K359" s="1">
        <v>40</v>
      </c>
    </row>
    <row r="360" spans="1:11" ht="16" x14ac:dyDescent="0.2">
      <c r="A360">
        <v>299296</v>
      </c>
      <c r="B360" t="str">
        <f>"AUDIO CONNE"</f>
        <v>AUDIO CONNE</v>
      </c>
      <c r="C360" t="s">
        <v>3545</v>
      </c>
      <c r="D360" t="str">
        <f>"Tech Serv"</f>
        <v>Tech Serv</v>
      </c>
      <c r="E360" t="s">
        <v>3544</v>
      </c>
      <c r="F360" s="3" t="str">
        <f>"2020-01-29  - rs - Check In - WB - Clean and recase"</f>
        <v>2020-01-29  - rs - Check In - WB - Clean and recase</v>
      </c>
      <c r="G360" s="3" t="str">
        <f>"The brass verdict: a novel"</f>
        <v>The brass verdict: a novel</v>
      </c>
      <c r="H360" t="str">
        <f>"Connelly, Michael (1956-)"</f>
        <v>Connelly, Michael (1956-)</v>
      </c>
      <c r="I360">
        <v>15</v>
      </c>
      <c r="J360" s="2">
        <v>43742</v>
      </c>
      <c r="K360" s="1">
        <v>25</v>
      </c>
    </row>
    <row r="361" spans="1:11" ht="16" x14ac:dyDescent="0.2">
      <c r="A361">
        <v>299835</v>
      </c>
      <c r="B361" t="str">
        <f>"AUDIO SULLI"</f>
        <v>AUDIO SULLI</v>
      </c>
      <c r="C361" t="s">
        <v>3545</v>
      </c>
      <c r="D361" t="str">
        <f>"Tech Serv"</f>
        <v>Tech Serv</v>
      </c>
      <c r="E361" t="s">
        <v>3544</v>
      </c>
      <c r="F361" s="3" t="str">
        <f>"2020-01-28  - jem - Check In - LL - scratch on disc 10 as per customer note"</f>
        <v>2020-01-28  - jem - Check In - LL - scratch on disc 10 as per customer note</v>
      </c>
      <c r="G361" s="3" t="str">
        <f>"Beneath a scarlet sky: a novel"</f>
        <v>Beneath a scarlet sky: a novel</v>
      </c>
      <c r="H361" t="str">
        <f>"Sullivan, Mark T."</f>
        <v>Sullivan, Mark T.</v>
      </c>
      <c r="I361">
        <v>20</v>
      </c>
      <c r="J361" s="2">
        <v>43834</v>
      </c>
      <c r="K361" s="1">
        <v>20</v>
      </c>
    </row>
    <row r="362" spans="1:11" ht="16" x14ac:dyDescent="0.2">
      <c r="A362">
        <v>299895</v>
      </c>
      <c r="B362" t="str">
        <f>"AUDIO HOGAN"</f>
        <v>AUDIO HOGAN</v>
      </c>
      <c r="C362" t="s">
        <v>3541</v>
      </c>
      <c r="D362" t="s">
        <v>3542</v>
      </c>
      <c r="E362" t="s">
        <v>3544</v>
      </c>
      <c r="F362" s="3" t="str">
        <f>"2020-01-18  - BD - 3 searches completed at LL"</f>
        <v>2020-01-18  - BD - 3 searches completed at LL</v>
      </c>
      <c r="G362" s="3" t="str">
        <f>"The keeper of lost things: a novel"</f>
        <v>The keeper of lost things: a novel</v>
      </c>
      <c r="H362" t="str">
        <f>"Hogan, Ruth"</f>
        <v>Hogan, Ruth</v>
      </c>
      <c r="I362">
        <v>8</v>
      </c>
      <c r="J362" s="2">
        <v>43630</v>
      </c>
      <c r="K362" s="1">
        <v>40</v>
      </c>
    </row>
    <row r="363" spans="1:11" ht="16" x14ac:dyDescent="0.2">
      <c r="A363">
        <v>299896</v>
      </c>
      <c r="B363" t="str">
        <f>"VIDEO J DVD TWENT"</f>
        <v>VIDEO J DVD TWENT</v>
      </c>
      <c r="C363" t="s">
        <v>3545</v>
      </c>
      <c r="D363" t="str">
        <f>"Tech Serv"</f>
        <v>Tech Serv</v>
      </c>
      <c r="E363" t="s">
        <v>3544</v>
      </c>
      <c r="F363" s="3" t="str">
        <f>"2019-07-30  - TL - Check In - WB - Case will not close."</f>
        <v>2019-07-30  - TL - Check In - WB - Case will not close.</v>
      </c>
      <c r="G363" s="3" t="str">
        <f>"Twenty furry tales"</f>
        <v>Twenty furry tales</v>
      </c>
      <c r="I363">
        <v>9</v>
      </c>
      <c r="J363" s="2">
        <v>43620</v>
      </c>
      <c r="K363" s="1">
        <v>10</v>
      </c>
    </row>
    <row r="364" spans="1:11" ht="16" x14ac:dyDescent="0.2">
      <c r="A364">
        <v>300947</v>
      </c>
      <c r="B364" t="str">
        <f>"YA MCCAF"</f>
        <v>YA MCCAF</v>
      </c>
      <c r="C364" t="s">
        <v>3541</v>
      </c>
      <c r="D364" t="s">
        <v>3542</v>
      </c>
      <c r="E364">
        <v>5146382</v>
      </c>
      <c r="F364" s="3" t="str">
        <f>"2019-11-02  - Due: 10-7-2019. Notified: 10-14-2019, 10-21-2019, 10-28-2019, 12-10-2019"</f>
        <v>2019-11-02  - Due: 10-7-2019. Notified: 10-14-2019, 10-21-2019, 10-28-2019, 12-10-2019</v>
      </c>
      <c r="G364" s="3" t="s">
        <v>3586</v>
      </c>
      <c r="H364" t="str">
        <f>"McCafferty, Megan"</f>
        <v>McCafferty, Megan</v>
      </c>
      <c r="I364">
        <v>31</v>
      </c>
      <c r="J364" s="2">
        <v>43731</v>
      </c>
      <c r="K364" s="1">
        <v>22</v>
      </c>
    </row>
    <row r="365" spans="1:11" ht="16" x14ac:dyDescent="0.2">
      <c r="A365">
        <v>301152</v>
      </c>
      <c r="B365" t="str">
        <f>"B SCOTT"</f>
        <v>B SCOTT</v>
      </c>
      <c r="C365" t="s">
        <v>3541</v>
      </c>
      <c r="D365" t="s">
        <v>3542</v>
      </c>
      <c r="E365" t="s">
        <v>3544</v>
      </c>
      <c r="F365" s="3" t="str">
        <f>"2019-07-12  - Inventory - "</f>
        <v xml:space="preserve">2019-07-12  - Inventory - </v>
      </c>
      <c r="G365" s="3" t="str">
        <f>"Splat the cat sings flat"</f>
        <v>Splat the cat sings flat</v>
      </c>
      <c r="H365" t="str">
        <f>"Strathearn, Chris."</f>
        <v>Strathearn, Chris.</v>
      </c>
      <c r="I365">
        <v>71</v>
      </c>
      <c r="J365" s="2">
        <v>42762</v>
      </c>
      <c r="K365" s="1">
        <v>9</v>
      </c>
    </row>
    <row r="366" spans="1:11" ht="16" x14ac:dyDescent="0.2">
      <c r="A366">
        <v>301422</v>
      </c>
      <c r="B366" t="str">
        <f>"158.1 SAL"</f>
        <v>158.1 SAL</v>
      </c>
      <c r="C366" t="s">
        <v>3541</v>
      </c>
      <c r="D366" t="s">
        <v>3542</v>
      </c>
      <c r="E366">
        <v>5119758</v>
      </c>
      <c r="F366" s="3" t="str">
        <f>"2019-10-27  - mbw - Member paid $20 on 10/27    10-27-2019  - Due: 10-26-2019."</f>
        <v>2019-10-27  - mbw - Member paid $20 on 10/27    10-27-2019  - Due: 10-26-2019.</v>
      </c>
      <c r="G366" s="3" t="str">
        <f>"Real happiness: the power of meditation : a 28-day program"</f>
        <v>Real happiness: the power of meditation : a 28-day program</v>
      </c>
      <c r="H366" t="str">
        <f>"Salzberg, Sharon"</f>
        <v>Salzberg, Sharon</v>
      </c>
      <c r="I366">
        <v>37</v>
      </c>
      <c r="J366" s="2">
        <v>43724</v>
      </c>
      <c r="K366" s="1">
        <v>20</v>
      </c>
    </row>
    <row r="367" spans="1:11" ht="16" x14ac:dyDescent="0.2">
      <c r="A367">
        <v>301779</v>
      </c>
      <c r="B367" t="str">
        <f>"J 510 MCG"</f>
        <v>J 510 MCG</v>
      </c>
      <c r="C367" t="s">
        <v>3541</v>
      </c>
      <c r="D367" t="s">
        <v>3542</v>
      </c>
      <c r="E367" t="s">
        <v>3544</v>
      </c>
      <c r="F367" s="3" t="str">
        <f>"2019-11-08  - Inventory - "</f>
        <v xml:space="preserve">2019-11-08  - Inventory - </v>
      </c>
      <c r="G367" s="3" t="str">
        <f>"Teddy bear math"</f>
        <v>Teddy bear math</v>
      </c>
      <c r="H367" t="str">
        <f>"McGrath, Barbara Barbieri (1954-)"</f>
        <v>McGrath, Barbara Barbieri (1954-)</v>
      </c>
      <c r="I367">
        <v>23</v>
      </c>
      <c r="J367" s="2">
        <v>42878</v>
      </c>
      <c r="K367" s="1">
        <v>22</v>
      </c>
    </row>
    <row r="368" spans="1:11" ht="32" x14ac:dyDescent="0.2">
      <c r="A368">
        <v>302347</v>
      </c>
      <c r="B368" t="str">
        <f>"J 921 ROB"</f>
        <v>J 921 ROB</v>
      </c>
      <c r="C368" t="s">
        <v>3545</v>
      </c>
      <c r="D368" t="s">
        <v>3542</v>
      </c>
      <c r="E368">
        <v>5167540</v>
      </c>
      <c r="F368" s="3" t="str">
        <f>"2019-02-27  - gp - LL - member noted that item was left outside in the rain, and will not be returned. Paid $22 with credit card along with late fines for other items    2-27-2019  - Due: 2-27-2019."</f>
        <v>2019-02-27  - gp - LL - member noted that item was left outside in the rain, and will not be returned. Paid $22 with credit card along with late fines for other items    2-27-2019  - Due: 2-27-2019.</v>
      </c>
      <c r="G368" s="3" t="str">
        <f>"Play ball, Jackie!"</f>
        <v>Play ball, Jackie!</v>
      </c>
      <c r="H368" t="str">
        <f>"Krensky, Stephen"</f>
        <v>Krensky, Stephen</v>
      </c>
      <c r="I368">
        <v>28</v>
      </c>
      <c r="J368" s="2">
        <v>43509</v>
      </c>
      <c r="K368" s="1">
        <v>22</v>
      </c>
    </row>
    <row r="369" spans="1:11" ht="32" x14ac:dyDescent="0.2">
      <c r="A369">
        <v>302359</v>
      </c>
      <c r="B369" t="str">
        <f>"YA 658 RAN"</f>
        <v>YA 658 RAN</v>
      </c>
      <c r="C369" t="s">
        <v>3541</v>
      </c>
      <c r="D369" t="s">
        <v>3542</v>
      </c>
      <c r="E369" t="s">
        <v>3544</v>
      </c>
      <c r="F369" s="3" t="str">
        <f>"2019-09-13  - Inventory - "</f>
        <v xml:space="preserve">2019-09-13  - Inventory - </v>
      </c>
      <c r="G369" s="3" t="str">
        <f>"Start it up: the complete teen business guide to turning your passions into pay"</f>
        <v>Start it up: the complete teen business guide to turning your passions into pay</v>
      </c>
      <c r="H369" t="str">
        <f>"Rankin, Kenrya."</f>
        <v>Rankin, Kenrya.</v>
      </c>
      <c r="I369">
        <v>20</v>
      </c>
      <c r="J369" s="2">
        <v>43021</v>
      </c>
      <c r="K369" s="1">
        <v>20</v>
      </c>
    </row>
    <row r="370" spans="1:11" ht="16" x14ac:dyDescent="0.2">
      <c r="A370">
        <v>302573</v>
      </c>
      <c r="B370" t="str">
        <f>"B ROYST"</f>
        <v>B ROYST</v>
      </c>
      <c r="C370" t="s">
        <v>3545</v>
      </c>
      <c r="D370" t="str">
        <f>"Tech Serv"</f>
        <v>Tech Serv</v>
      </c>
      <c r="E370" t="s">
        <v>3544</v>
      </c>
      <c r="F370" s="3" t="str">
        <f>"2019-02-19  - jem - Check In - LL - pages stuck together/torn"</f>
        <v>2019-02-19  - jem - Check In - LL - pages stuck together/torn</v>
      </c>
      <c r="G370" s="3" t="str">
        <f>"Fire fighter!"</f>
        <v>Fire fighter!</v>
      </c>
      <c r="H370" t="str">
        <f>"Royston, Angela"</f>
        <v>Royston, Angela</v>
      </c>
      <c r="I370">
        <v>51</v>
      </c>
      <c r="J370" s="2">
        <v>43333</v>
      </c>
      <c r="K370" s="1">
        <v>20</v>
      </c>
    </row>
    <row r="371" spans="1:11" ht="16" x14ac:dyDescent="0.2">
      <c r="A371">
        <v>302577</v>
      </c>
      <c r="B371" t="str">
        <f>"J 796.72 CHR"</f>
        <v>J 796.72 CHR</v>
      </c>
      <c r="C371" t="s">
        <v>3541</v>
      </c>
      <c r="D371" t="s">
        <v>3542</v>
      </c>
      <c r="E371" t="s">
        <v>3544</v>
      </c>
      <c r="F371" s="3" t="str">
        <f>"2019-11-08  - Inventory - "</f>
        <v xml:space="preserve">2019-11-08  - Inventory - </v>
      </c>
      <c r="G371" s="3" t="str">
        <f>"Great moments in American auto racing"</f>
        <v>Great moments in American auto racing</v>
      </c>
      <c r="H371" t="str">
        <f>"Christopher, Matt"</f>
        <v>Christopher, Matt</v>
      </c>
      <c r="I371">
        <v>9</v>
      </c>
      <c r="J371" s="2">
        <v>43140</v>
      </c>
      <c r="K371" s="1">
        <v>10</v>
      </c>
    </row>
    <row r="372" spans="1:11" ht="16" x14ac:dyDescent="0.2">
      <c r="A372">
        <v>302762</v>
      </c>
      <c r="B372" t="str">
        <f>"J STARW"</f>
        <v>J STARW</v>
      </c>
      <c r="C372" t="s">
        <v>3545</v>
      </c>
      <c r="D372" t="str">
        <f>"Tech Serv"</f>
        <v>Tech Serv</v>
      </c>
      <c r="E372" t="s">
        <v>3544</v>
      </c>
      <c r="F372" s="3" t="str">
        <f>"2020-01-17  - JW - Check In - WB - Loose pages."</f>
        <v>2020-01-17  - JW - Check In - WB - Loose pages.</v>
      </c>
      <c r="G372" s="3" t="str">
        <f>"Fire ring race"</f>
        <v>Fire ring race</v>
      </c>
      <c r="H372" t="str">
        <f>"Windham, Ryder"</f>
        <v>Windham, Ryder</v>
      </c>
      <c r="I372">
        <v>37</v>
      </c>
      <c r="J372" s="2">
        <v>43669</v>
      </c>
      <c r="K372" s="1">
        <v>10</v>
      </c>
    </row>
    <row r="373" spans="1:11" ht="48" x14ac:dyDescent="0.2">
      <c r="A373">
        <v>303393</v>
      </c>
      <c r="B373" t="str">
        <f>"J WHITE"</f>
        <v>J WHITE</v>
      </c>
      <c r="C373" t="s">
        <v>3541</v>
      </c>
      <c r="D373" t="s">
        <v>3542</v>
      </c>
      <c r="E373">
        <v>5108393</v>
      </c>
      <c r="F373" s="3" t="s">
        <v>3587</v>
      </c>
      <c r="G373" s="3" t="s">
        <v>3588</v>
      </c>
      <c r="H373" t="str">
        <f>"Whitesides, Tyler."</f>
        <v>Whitesides, Tyler.</v>
      </c>
      <c r="I373">
        <v>62</v>
      </c>
      <c r="J373" s="2">
        <v>43753</v>
      </c>
      <c r="K373" s="1">
        <v>23</v>
      </c>
    </row>
    <row r="374" spans="1:11" ht="16" x14ac:dyDescent="0.2">
      <c r="A374">
        <v>303414</v>
      </c>
      <c r="B374" t="str">
        <f>"YA CLEAR"</f>
        <v>YA CLEAR</v>
      </c>
      <c r="C374" t="s">
        <v>3541</v>
      </c>
      <c r="D374" t="s">
        <v>3542</v>
      </c>
      <c r="E374">
        <v>5131229</v>
      </c>
      <c r="F374" s="3" t="str">
        <f>"2019-09-27  - Due: 8-30-2019. Notified: 9-6-2019, 9-13-2019, 9-20-2019, 10-29-2019"</f>
        <v>2019-09-27  - Due: 8-30-2019. Notified: 9-6-2019, 9-13-2019, 9-20-2019, 10-29-2019</v>
      </c>
      <c r="G374" s="3" t="s">
        <v>3589</v>
      </c>
      <c r="H374" t="str">
        <f>"Cleary, Beverly"</f>
        <v>Cleary, Beverly</v>
      </c>
      <c r="I374">
        <v>15</v>
      </c>
      <c r="J374" s="2">
        <v>43682</v>
      </c>
      <c r="K374" s="1">
        <v>12</v>
      </c>
    </row>
    <row r="375" spans="1:11" ht="16" x14ac:dyDescent="0.2">
      <c r="A375">
        <v>303432</v>
      </c>
      <c r="B375" t="str">
        <f>"J LUPER"</f>
        <v>J LUPER</v>
      </c>
      <c r="C375" t="s">
        <v>3541</v>
      </c>
      <c r="D375" t="s">
        <v>3542</v>
      </c>
      <c r="E375" t="s">
        <v>3544</v>
      </c>
      <c r="F375" s="3" t="str">
        <f>"2019-09-13  - Inventory - "</f>
        <v xml:space="preserve">2019-09-13  - Inventory - </v>
      </c>
      <c r="G375" s="3" t="str">
        <f>"Jeremy Bender vs. the Cupcake Cadets"</f>
        <v>Jeremy Bender vs. the Cupcake Cadets</v>
      </c>
      <c r="H375" t="str">
        <f>"Luper, Eric"</f>
        <v>Luper, Eric</v>
      </c>
      <c r="I375">
        <v>18</v>
      </c>
      <c r="J375" s="2">
        <v>43682</v>
      </c>
      <c r="K375" s="1">
        <v>21</v>
      </c>
    </row>
    <row r="376" spans="1:11" ht="32" x14ac:dyDescent="0.2">
      <c r="A376">
        <v>303598</v>
      </c>
      <c r="B376" t="str">
        <f>"J 394.2 CHR STR"</f>
        <v>J 394.2 CHR STR</v>
      </c>
      <c r="C376" t="s">
        <v>3541</v>
      </c>
      <c r="D376" t="s">
        <v>3542</v>
      </c>
      <c r="E376" t="s">
        <v>3544</v>
      </c>
      <c r="F376" s="3" t="str">
        <f>"2019-11-08  - Inventory - "</f>
        <v xml:space="preserve">2019-11-08  - Inventory - </v>
      </c>
      <c r="G376" s="3" t="str">
        <f>"Holiday crafting and baking with kids: gifts, sweets and treats for the whole family!"</f>
        <v>Holiday crafting and baking with kids: gifts, sweets and treats for the whole family!</v>
      </c>
      <c r="H376" t="str">
        <f>"Strand, Jessica."</f>
        <v>Strand, Jessica.</v>
      </c>
      <c r="I376">
        <v>19</v>
      </c>
      <c r="J376" s="2">
        <v>43075</v>
      </c>
      <c r="K376" s="1">
        <v>25</v>
      </c>
    </row>
    <row r="377" spans="1:11" ht="16" x14ac:dyDescent="0.2">
      <c r="A377">
        <v>304641</v>
      </c>
      <c r="B377" t="str">
        <f>"J 567.9 GRE"</f>
        <v>J 567.9 GRE</v>
      </c>
      <c r="C377" t="s">
        <v>3541</v>
      </c>
      <c r="D377" t="s">
        <v>3542</v>
      </c>
      <c r="E377">
        <v>5170036</v>
      </c>
      <c r="F377" s="3" t="str">
        <f>"2020-01-18  - Due: 12-19-2019. Notified: 12-27-2019, 1-2-2020, 1-10-2020"</f>
        <v>2020-01-18  - Due: 12-19-2019. Notified: 12-27-2019, 1-2-2020, 1-10-2020</v>
      </c>
      <c r="G377" s="3" t="str">
        <f>"Dinosaurs and me"</f>
        <v>Dinosaurs and me</v>
      </c>
      <c r="H377" t="str">
        <f>"Greenwood, Marie, (1961-)"</f>
        <v>Greenwood, Marie, (1961-)</v>
      </c>
      <c r="I377">
        <v>48</v>
      </c>
      <c r="J377" s="2">
        <v>43786</v>
      </c>
      <c r="K377" s="1">
        <v>18</v>
      </c>
    </row>
    <row r="378" spans="1:11" ht="16" x14ac:dyDescent="0.2">
      <c r="A378">
        <v>304906</v>
      </c>
      <c r="B378" t="str">
        <f>"E MACOM"</f>
        <v>E MACOM</v>
      </c>
      <c r="C378" t="s">
        <v>3541</v>
      </c>
      <c r="D378" t="s">
        <v>3542</v>
      </c>
      <c r="E378">
        <v>5174343</v>
      </c>
      <c r="F378" s="3" t="str">
        <f>"2020-01-24  - Due: 12-27-2019. Notified: 1-3-2020, 1-10-2020, 1-17-2020"</f>
        <v>2020-01-24  - Due: 12-27-2019. Notified: 1-3-2020, 1-10-2020, 1-17-2020</v>
      </c>
      <c r="G378" s="3" t="str">
        <f>"The yippy, yappy Yorkie in a green doggy sweater"</f>
        <v>The yippy, yappy Yorkie in a green doggy sweater</v>
      </c>
      <c r="H378" t="str">
        <f>"Macomber, Debbie"</f>
        <v>Macomber, Debbie</v>
      </c>
      <c r="I378">
        <v>36</v>
      </c>
      <c r="J378" s="2">
        <v>43809</v>
      </c>
      <c r="K378" s="1">
        <v>22</v>
      </c>
    </row>
    <row r="379" spans="1:11" ht="32" x14ac:dyDescent="0.2">
      <c r="A379">
        <v>305654</v>
      </c>
      <c r="B379" t="str">
        <f>"613.9 KLE"</f>
        <v>613.9 KLE</v>
      </c>
      <c r="C379" t="s">
        <v>3541</v>
      </c>
      <c r="D379" t="s">
        <v>3542</v>
      </c>
      <c r="E379">
        <v>5042163</v>
      </c>
      <c r="F379" s="3" t="str">
        <f>"2019-07-24  - Due: 6-27-2019. Notified: 7-5-2019, 7-11-2019, 7-19-2019, 9-24-2019"</f>
        <v>2019-07-24  - Due: 6-27-2019. Notified: 7-5-2019, 7-11-2019, 7-19-2019, 9-24-2019</v>
      </c>
      <c r="G379" s="3" t="str">
        <f>"Sexual intelligence: what we really want from sex--and how to get it"</f>
        <v>Sexual intelligence: what we really want from sex--and how to get it</v>
      </c>
      <c r="H379" t="str">
        <f>"Klein, Marty."</f>
        <v>Klein, Marty.</v>
      </c>
      <c r="I379">
        <v>21</v>
      </c>
      <c r="J379" s="2">
        <v>43604</v>
      </c>
      <c r="K379" s="1">
        <v>31</v>
      </c>
    </row>
    <row r="380" spans="1:11" ht="32" x14ac:dyDescent="0.2">
      <c r="A380">
        <v>306009</v>
      </c>
      <c r="B380" t="str">
        <f>"649 SIE"</f>
        <v>649 SIE</v>
      </c>
      <c r="C380" t="s">
        <v>3541</v>
      </c>
      <c r="D380" t="s">
        <v>3542</v>
      </c>
      <c r="E380" t="s">
        <v>3544</v>
      </c>
      <c r="F380" s="3" t="str">
        <f>"2020-01-22  - TL - Is on reserve. Checked 3 times, couldn't find it."</f>
        <v>2020-01-22  - TL - Is on reserve. Checked 3 times, couldn't find it.</v>
      </c>
      <c r="G380" s="3" t="str">
        <f>"No-drama discipline: the whole-brain way to calm the chaos and nurture your child's developing mind"</f>
        <v>No-drama discipline: the whole-brain way to calm the chaos and nurture your child's developing mind</v>
      </c>
      <c r="H380" t="str">
        <f>"Siegel, Daniel J. (1957-)"</f>
        <v>Siegel, Daniel J. (1957-)</v>
      </c>
      <c r="I380">
        <v>10</v>
      </c>
      <c r="J380" s="2">
        <v>43738</v>
      </c>
      <c r="K380" s="1">
        <v>22</v>
      </c>
    </row>
    <row r="381" spans="1:11" ht="32" x14ac:dyDescent="0.2">
      <c r="A381">
        <v>307385</v>
      </c>
      <c r="B381" t="str">
        <f>"363.3 BER"</f>
        <v>363.3 BER</v>
      </c>
      <c r="C381" t="s">
        <v>3541</v>
      </c>
      <c r="D381" t="s">
        <v>3542</v>
      </c>
      <c r="E381">
        <v>5165135</v>
      </c>
      <c r="F381" s="3" t="str">
        <f>"2019-10-21  - Due: 9-25-2019. Notified: 10-2-2019, 10-9-2019, 10-16-2019, 12-10-2019"</f>
        <v>2019-10-21  - Due: 9-25-2019. Notified: 10-2-2019, 10-9-2019, 10-16-2019, 12-10-2019</v>
      </c>
      <c r="G381" s="3" t="str">
        <f>"Manhunt: the ten-year search for Bin Laden--from 9/11 to Abbottabad"</f>
        <v>Manhunt: the ten-year search for Bin Laden--from 9/11 to Abbottabad</v>
      </c>
      <c r="H381" t="str">
        <f>"Bergen, Peter L. (1962-)"</f>
        <v>Bergen, Peter L. (1962-)</v>
      </c>
      <c r="I381">
        <v>8</v>
      </c>
      <c r="J381" s="2">
        <v>43704</v>
      </c>
      <c r="K381" s="1">
        <v>31</v>
      </c>
    </row>
    <row r="382" spans="1:11" ht="16" x14ac:dyDescent="0.2">
      <c r="A382">
        <v>308733</v>
      </c>
      <c r="B382" t="str">
        <f>"B BEREN"</f>
        <v>B BEREN</v>
      </c>
      <c r="C382" t="s">
        <v>3541</v>
      </c>
      <c r="D382" t="s">
        <v>3542</v>
      </c>
      <c r="E382">
        <v>5213426</v>
      </c>
      <c r="F382" s="3" t="str">
        <f>"2019-11-01  - Due: 10-6-2019. Notified: 10-13-2019, 10-20-2019, 10-28-2019, 12-10-2019"</f>
        <v>2019-11-01  - Due: 10-6-2019. Notified: 10-13-2019, 10-20-2019, 10-28-2019, 12-10-2019</v>
      </c>
      <c r="G382" s="3" t="str">
        <f>"The Berenstain Bears by the sea"</f>
        <v>The Berenstain Bears by the sea</v>
      </c>
      <c r="H382" t="str">
        <f>"Berenstain, Stan (1923-)"</f>
        <v>Berenstain, Stan (1923-)</v>
      </c>
      <c r="I382">
        <v>94</v>
      </c>
      <c r="J382" s="2">
        <v>43730</v>
      </c>
      <c r="K382" s="1">
        <v>9</v>
      </c>
    </row>
    <row r="383" spans="1:11" ht="16" x14ac:dyDescent="0.2">
      <c r="A383">
        <v>308753</v>
      </c>
      <c r="B383" t="str">
        <f>"YA MEANE"</f>
        <v>YA MEANE</v>
      </c>
      <c r="C383" t="s">
        <v>3541</v>
      </c>
      <c r="D383" t="s">
        <v>3542</v>
      </c>
      <c r="E383">
        <v>5146043</v>
      </c>
      <c r="F383" s="3" t="str">
        <f>"2019-11-02  - Due: 10-7-2019. Notified: 10-14-2019, 10-21-2019, 10-28-2019, 12-10-2019"</f>
        <v>2019-11-02  - Due: 10-7-2019. Notified: 10-14-2019, 10-21-2019, 10-28-2019, 12-10-2019</v>
      </c>
      <c r="G383" s="3" t="str">
        <f>"The boy recession"</f>
        <v>The boy recession</v>
      </c>
      <c r="H383" t="str">
        <f>"Meaney, Flynn."</f>
        <v>Meaney, Flynn.</v>
      </c>
      <c r="I383">
        <v>14</v>
      </c>
      <c r="J383" s="2">
        <v>43731</v>
      </c>
      <c r="K383" s="1">
        <v>23</v>
      </c>
    </row>
    <row r="384" spans="1:11" ht="16" x14ac:dyDescent="0.2">
      <c r="A384">
        <v>310473</v>
      </c>
      <c r="B384" t="str">
        <f>"921 FEY LARGE PRINT"</f>
        <v>921 FEY LARGE PRINT</v>
      </c>
      <c r="C384" t="s">
        <v>3541</v>
      </c>
      <c r="D384" t="s">
        <v>3542</v>
      </c>
      <c r="E384" t="s">
        <v>3544</v>
      </c>
      <c r="F384" s="3" t="str">
        <f>"2019-05-17  - Inventory - "</f>
        <v xml:space="preserve">2019-05-17  - Inventory - </v>
      </c>
      <c r="G384" s="3" t="s">
        <v>3590</v>
      </c>
      <c r="H384" t="str">
        <f>"Fey, Tina (1970-)"</f>
        <v>Fey, Tina (1970-)</v>
      </c>
      <c r="I384">
        <v>41</v>
      </c>
      <c r="J384" s="2">
        <v>43280</v>
      </c>
      <c r="K384" s="1">
        <v>34</v>
      </c>
    </row>
    <row r="385" spans="1:11" ht="32" x14ac:dyDescent="0.2">
      <c r="A385">
        <v>310625</v>
      </c>
      <c r="B385" t="str">
        <f>"E OXLEY"</f>
        <v>E OXLEY</v>
      </c>
      <c r="C385" t="s">
        <v>3541</v>
      </c>
      <c r="D385" t="s">
        <v>3542</v>
      </c>
      <c r="E385">
        <v>5119335</v>
      </c>
      <c r="F385" s="3" t="str">
        <f>"2019-10-28  - mm - WB - Member will search one more time for this item at home, or else she will pay.    10-27-2019  - Due: 10-1-2019. Notified: 10-8-2019, 10-15-2019, 10-23-2019, 12-10-2019"</f>
        <v>2019-10-28  - mm - WB - Member will search one more time for this item at home, or else she will pay.    10-27-2019  - Due: 10-1-2019. Notified: 10-8-2019, 10-15-2019, 10-23-2019, 12-10-2019</v>
      </c>
      <c r="G385" s="3" t="str">
        <f>"The chicken problem"</f>
        <v>The chicken problem</v>
      </c>
      <c r="H385" t="str">
        <f>"Oxley, Jennifer"</f>
        <v>Oxley, Jennifer</v>
      </c>
      <c r="I385">
        <v>82</v>
      </c>
      <c r="J385" s="2">
        <v>43697</v>
      </c>
      <c r="K385" s="1">
        <v>22</v>
      </c>
    </row>
    <row r="386" spans="1:11" ht="16" x14ac:dyDescent="0.2">
      <c r="A386">
        <v>310738</v>
      </c>
      <c r="B386" t="str">
        <f>"YA STIEF"</f>
        <v>YA STIEF</v>
      </c>
      <c r="C386" t="s">
        <v>3541</v>
      </c>
      <c r="D386" t="s">
        <v>3542</v>
      </c>
      <c r="E386">
        <v>5130401</v>
      </c>
      <c r="F386" s="3" t="str">
        <f>"2020-01-29  - Due: 1-2-2020. Notified: 1-9-2020, 1-16-2020, 1-24-2020"</f>
        <v>2020-01-29  - Due: 1-2-2020. Notified: 1-9-2020, 1-16-2020, 1-24-2020</v>
      </c>
      <c r="G386" s="3" t="s">
        <v>3591</v>
      </c>
      <c r="H386" t="str">
        <f>"Stiefvater, Maggie, (1981-)"</f>
        <v>Stiefvater, Maggie, (1981-)</v>
      </c>
      <c r="I386">
        <v>27</v>
      </c>
      <c r="J386" s="2">
        <v>43817</v>
      </c>
      <c r="K386" s="1">
        <v>15</v>
      </c>
    </row>
    <row r="387" spans="1:11" ht="16" x14ac:dyDescent="0.2">
      <c r="A387">
        <v>310772</v>
      </c>
      <c r="B387" t="str">
        <f>"YA FLANA"</f>
        <v>YA FLANA</v>
      </c>
      <c r="C387" t="s">
        <v>3545</v>
      </c>
      <c r="D387" t="str">
        <f>"Tech Serv"</f>
        <v>Tech Serv</v>
      </c>
      <c r="E387" t="s">
        <v>3544</v>
      </c>
      <c r="F387" s="3" t="str">
        <f>"2020-01-11  - kl - Check In - WB - broken binding"</f>
        <v>2020-01-11  - kl - Check In - WB - broken binding</v>
      </c>
      <c r="G387" s="3" t="str">
        <f>"The hunters"</f>
        <v>The hunters</v>
      </c>
      <c r="H387" t="str">
        <f>"Flanagan, John (John Anthony)"</f>
        <v>Flanagan, John (John Anthony)</v>
      </c>
      <c r="I387">
        <v>62</v>
      </c>
      <c r="J387" s="2">
        <v>43799</v>
      </c>
      <c r="K387" s="1">
        <v>24</v>
      </c>
    </row>
    <row r="388" spans="1:11" ht="16" x14ac:dyDescent="0.2">
      <c r="A388">
        <v>311170</v>
      </c>
      <c r="B388" t="str">
        <f>"J HOLME"</f>
        <v>J HOLME</v>
      </c>
      <c r="C388" t="s">
        <v>3541</v>
      </c>
      <c r="D388" t="s">
        <v>3542</v>
      </c>
      <c r="E388" t="s">
        <v>3544</v>
      </c>
      <c r="F388" s="3" t="str">
        <f>"2019-09-13  - Inventory - "</f>
        <v xml:space="preserve">2019-09-13  - Inventory - </v>
      </c>
      <c r="G388" s="3" t="str">
        <f>"The normal kid"</f>
        <v>The normal kid</v>
      </c>
      <c r="H388" t="str">
        <f>"Holmes, Elizabeth, (1957-)"</f>
        <v>Holmes, Elizabeth, (1957-)</v>
      </c>
      <c r="I388">
        <v>20</v>
      </c>
      <c r="J388" s="2">
        <v>43657</v>
      </c>
      <c r="K388" s="1">
        <v>23</v>
      </c>
    </row>
    <row r="389" spans="1:11" ht="32" x14ac:dyDescent="0.2">
      <c r="A389">
        <v>311831</v>
      </c>
      <c r="B389" t="str">
        <f>"J 921 LIN"</f>
        <v>J 921 LIN</v>
      </c>
      <c r="C389" t="s">
        <v>3545</v>
      </c>
      <c r="D389" t="str">
        <f>"Tech Serv"</f>
        <v>Tech Serv</v>
      </c>
      <c r="E389" t="s">
        <v>3544</v>
      </c>
      <c r="F389" s="3" t="str">
        <f>"2019-11-20  - TL - Check In - LL - Appears to be a B book, as it resembles the National Geographic Kids books on the B shelf."</f>
        <v>2019-11-20  - TL - Check In - LL - Appears to be a B book, as it resembles the National Geographic Kids books on the B shelf.</v>
      </c>
      <c r="G389" s="3" t="str">
        <f>"Abraham Lincoln"</f>
        <v>Abraham Lincoln</v>
      </c>
      <c r="H389" t="str">
        <f>"Gilpin, Caroline."</f>
        <v>Gilpin, Caroline.</v>
      </c>
      <c r="I389">
        <v>19</v>
      </c>
      <c r="J389" s="2">
        <v>43151</v>
      </c>
      <c r="K389" s="1">
        <v>9</v>
      </c>
    </row>
    <row r="390" spans="1:11" ht="16" x14ac:dyDescent="0.2">
      <c r="A390">
        <v>312087</v>
      </c>
      <c r="B390" t="str">
        <f>"J 468.6 FAL"</f>
        <v>J 468.6 FAL</v>
      </c>
      <c r="C390" t="s">
        <v>3541</v>
      </c>
      <c r="D390" t="s">
        <v>3542</v>
      </c>
      <c r="E390" t="s">
        <v>3544</v>
      </c>
      <c r="F390" s="3" t="str">
        <f>"2019-04-05  - Inventory - "</f>
        <v xml:space="preserve">2019-04-05  - Inventory - </v>
      </c>
      <c r="G390" s="3" t="str">
        <f>"Olivia forma una banda"</f>
        <v>Olivia forma una banda</v>
      </c>
      <c r="H390" t="str">
        <f>"Falconer, Ian (1959-)"</f>
        <v>Falconer, Ian (1959-)</v>
      </c>
      <c r="I390">
        <v>38</v>
      </c>
      <c r="J390" s="2">
        <v>42935</v>
      </c>
      <c r="K390" s="1">
        <v>23</v>
      </c>
    </row>
    <row r="391" spans="1:11" ht="16" x14ac:dyDescent="0.2">
      <c r="A391">
        <v>312262</v>
      </c>
      <c r="B391" t="str">
        <f>"E KANN"</f>
        <v>E KANN</v>
      </c>
      <c r="C391" t="s">
        <v>3541</v>
      </c>
      <c r="D391" t="s">
        <v>3542</v>
      </c>
      <c r="E391" t="s">
        <v>3544</v>
      </c>
      <c r="F391" s="3" t="str">
        <f>"2019-06-14  - Inventory - "</f>
        <v xml:space="preserve">2019-06-14  - Inventory - </v>
      </c>
      <c r="G391" s="3" t="s">
        <v>3592</v>
      </c>
      <c r="H391" t="str">
        <f>"Kann, Victoria"</f>
        <v>Kann, Victoria</v>
      </c>
      <c r="I391">
        <v>90</v>
      </c>
      <c r="J391" s="2">
        <v>43500</v>
      </c>
      <c r="K391" s="1">
        <v>23</v>
      </c>
    </row>
    <row r="392" spans="1:11" ht="32" x14ac:dyDescent="0.2">
      <c r="A392">
        <v>312980</v>
      </c>
      <c r="B392" t="str">
        <f>"J 930.1 WAL"</f>
        <v>J 930.1 WAL</v>
      </c>
      <c r="C392" t="s">
        <v>3541</v>
      </c>
      <c r="D392" t="s">
        <v>3542</v>
      </c>
      <c r="E392">
        <v>5204855</v>
      </c>
      <c r="F392" s="3" t="str">
        <f>"2019-04-25  - Due: 3-29-2019. Notified: 4-5-2019, 4-12-2019, 4-19-2019, 6-18-2019"</f>
        <v>2019-04-25  - Due: 3-29-2019. Notified: 4-5-2019, 4-12-2019, 4-19-2019, 6-18-2019</v>
      </c>
      <c r="G392" s="3" t="str">
        <f>"Their skeletons speak: Kennewick Man and the Paleoamerican world"</f>
        <v>Their skeletons speak: Kennewick Man and the Paleoamerican world</v>
      </c>
      <c r="H392" t="str">
        <f>"Walker, Sally M."</f>
        <v>Walker, Sally M.</v>
      </c>
      <c r="I392">
        <v>11</v>
      </c>
      <c r="J392" s="2">
        <v>43539</v>
      </c>
      <c r="K392" s="1">
        <v>28</v>
      </c>
    </row>
    <row r="393" spans="1:11" ht="16" x14ac:dyDescent="0.2">
      <c r="A393">
        <v>314169</v>
      </c>
      <c r="B393" t="str">
        <f>"J 597.3 MAC"</f>
        <v>J 597.3 MAC</v>
      </c>
      <c r="C393" t="s">
        <v>3541</v>
      </c>
      <c r="D393" t="s">
        <v>3542</v>
      </c>
      <c r="E393" t="s">
        <v>3544</v>
      </c>
      <c r="F393" s="3" t="str">
        <f>"2019-04-05  - Inventory - "</f>
        <v xml:space="preserve">2019-04-05  - Inventory - </v>
      </c>
      <c r="G393" s="3" t="s">
        <v>3593</v>
      </c>
      <c r="H393" t="str">
        <f>"MacQuitty, Miranda"</f>
        <v>MacQuitty, Miranda</v>
      </c>
      <c r="I393">
        <v>27</v>
      </c>
      <c r="J393" s="2">
        <v>42911</v>
      </c>
      <c r="K393" s="1">
        <v>22</v>
      </c>
    </row>
    <row r="394" spans="1:11" ht="16" x14ac:dyDescent="0.2">
      <c r="A394">
        <v>314398</v>
      </c>
      <c r="B394" t="str">
        <f>"J 599.88 ESZ"</f>
        <v>J 599.88 ESZ</v>
      </c>
      <c r="C394" t="s">
        <v>3541</v>
      </c>
      <c r="D394" t="s">
        <v>3542</v>
      </c>
      <c r="E394">
        <v>89533</v>
      </c>
      <c r="F394" s="3" t="str">
        <f>"2020-01-20  - Due: 12-21-2019. Notified: 12-28-2019, 1-4-2020, 1-13-2020"</f>
        <v>2020-01-20  - Due: 12-21-2019. Notified: 12-28-2019, 1-4-2020, 1-13-2020</v>
      </c>
      <c r="G394" s="3" t="s">
        <v>3594</v>
      </c>
      <c r="H394" t="str">
        <f>"Eszterhas, Suzi."</f>
        <v>Eszterhas, Suzi.</v>
      </c>
      <c r="I394">
        <v>8</v>
      </c>
      <c r="J394" s="2">
        <v>43806</v>
      </c>
      <c r="K394" s="1">
        <v>21</v>
      </c>
    </row>
    <row r="395" spans="1:11" ht="16" x14ac:dyDescent="0.2">
      <c r="A395">
        <v>314447</v>
      </c>
      <c r="B395" t="str">
        <f>"920 KEN"</f>
        <v>920 KEN</v>
      </c>
      <c r="C395" t="s">
        <v>3541</v>
      </c>
      <c r="D395" t="s">
        <v>3542</v>
      </c>
      <c r="E395" t="s">
        <v>3544</v>
      </c>
      <c r="F395" s="3" t="str">
        <f>"2019-11-10  - kl - searched 3 times"</f>
        <v>2019-11-10  - kl - searched 3 times</v>
      </c>
      <c r="G395" s="3" t="str">
        <f>"Profiles in courage"</f>
        <v>Profiles in courage</v>
      </c>
      <c r="H395" t="str">
        <f>"Kennedy, John F. (John Fitzgerald) (1917-1963.)"</f>
        <v>Kennedy, John F. (John Fitzgerald) (1917-1963.)</v>
      </c>
      <c r="I395">
        <v>11</v>
      </c>
      <c r="J395" s="2">
        <v>43478</v>
      </c>
      <c r="K395" s="1">
        <v>19</v>
      </c>
    </row>
    <row r="396" spans="1:11" ht="16" x14ac:dyDescent="0.2">
      <c r="A396">
        <v>315123</v>
      </c>
      <c r="B396" t="str">
        <f>"YA ARMST"</f>
        <v>YA ARMST</v>
      </c>
      <c r="C396" t="s">
        <v>3541</v>
      </c>
      <c r="D396" t="s">
        <v>3542</v>
      </c>
      <c r="E396" t="s">
        <v>3544</v>
      </c>
      <c r="F396" s="3" t="str">
        <f>"2019-09-13  - Inventory - "</f>
        <v xml:space="preserve">2019-09-13  - Inventory - </v>
      </c>
      <c r="G396" s="3" t="str">
        <f>"The rising"</f>
        <v>The rising</v>
      </c>
      <c r="H396" t="str">
        <f>"Armstrong, Kelley"</f>
        <v>Armstrong, Kelley</v>
      </c>
      <c r="I396">
        <v>13</v>
      </c>
      <c r="J396" s="2">
        <v>43291</v>
      </c>
      <c r="K396" s="1">
        <v>23</v>
      </c>
    </row>
    <row r="397" spans="1:11" ht="32" x14ac:dyDescent="0.2">
      <c r="A397">
        <v>315364</v>
      </c>
      <c r="B397" t="str">
        <f>"J 921 FAR"</f>
        <v>J 921 FAR</v>
      </c>
      <c r="C397" t="s">
        <v>3541</v>
      </c>
      <c r="D397" t="s">
        <v>3542</v>
      </c>
      <c r="E397" t="s">
        <v>3544</v>
      </c>
      <c r="F397" s="3" t="str">
        <f>"2019-07-06  - BD - 3 searches completed at LL"</f>
        <v>2019-07-06  - BD - 3 searches completed at LL</v>
      </c>
      <c r="G397" s="3" t="str">
        <f>"Mountains beyond mountains: the quest of Dr. Paul Farmer, a man who would cure the world"</f>
        <v>Mountains beyond mountains: the quest of Dr. Paul Farmer, a man who would cure the world</v>
      </c>
      <c r="H397" t="str">
        <f>"Kidder, Tracy"</f>
        <v>Kidder, Tracy</v>
      </c>
      <c r="I397">
        <v>6</v>
      </c>
      <c r="J397" s="2">
        <v>42204</v>
      </c>
      <c r="K397" s="1">
        <v>22</v>
      </c>
    </row>
    <row r="398" spans="1:11" ht="16" x14ac:dyDescent="0.2">
      <c r="A398">
        <v>316339</v>
      </c>
      <c r="B398" t="str">
        <f>"J GN KONAM"</f>
        <v>J GN KONAM</v>
      </c>
      <c r="C398" t="s">
        <v>3560</v>
      </c>
      <c r="D398" t="s">
        <v>3542</v>
      </c>
      <c r="E398" t="s">
        <v>3544</v>
      </c>
      <c r="F398" s="3" t="str">
        <f>"2019-12-08  - mbw - member did not pick up item from reserve shelf."</f>
        <v>2019-12-08  - mbw - member did not pick up item from reserve shelf.</v>
      </c>
      <c r="G398" s="3" t="str">
        <f>"Chi's sweet home, v.2"</f>
        <v>Chi's sweet home, v.2</v>
      </c>
      <c r="H398" t="str">
        <f>"Konami, Kanata, (1958-)"</f>
        <v>Konami, Kanata, (1958-)</v>
      </c>
      <c r="I398">
        <v>59</v>
      </c>
      <c r="J398" s="2">
        <v>43781</v>
      </c>
      <c r="K398" s="1">
        <v>19</v>
      </c>
    </row>
    <row r="399" spans="1:11" ht="32" x14ac:dyDescent="0.2">
      <c r="A399">
        <v>316370</v>
      </c>
      <c r="B399" t="str">
        <f>"J MEADO"</f>
        <v>J MEADO</v>
      </c>
      <c r="C399" t="s">
        <v>3541</v>
      </c>
      <c r="D399" t="s">
        <v>3542</v>
      </c>
      <c r="E399">
        <v>5125432</v>
      </c>
      <c r="F399" s="3" t="str">
        <f>"2020-01-06  - PayPal - Paid    1-6-2020  - Due: 12-7-2019. Notified: 12-14-2019, 12-21-2019, 12-30-2019"</f>
        <v>2020-01-06  - PayPal - Paid    1-6-2020  - Due: 12-7-2019. Notified: 12-14-2019, 12-21-2019, 12-30-2019</v>
      </c>
      <c r="G399" s="3" t="str">
        <f>"Autumn the Falling Leaves Fairy"</f>
        <v>Autumn the Falling Leaves Fairy</v>
      </c>
      <c r="H399" t="str">
        <f>"Meadows, Daisy"</f>
        <v>Meadows, Daisy</v>
      </c>
      <c r="I399">
        <v>62</v>
      </c>
      <c r="J399" s="2">
        <v>43771</v>
      </c>
      <c r="K399" s="1">
        <v>12</v>
      </c>
    </row>
    <row r="400" spans="1:11" ht="32" x14ac:dyDescent="0.2">
      <c r="A400">
        <v>317692</v>
      </c>
      <c r="B400" t="str">
        <f>"T SESAM"</f>
        <v>T SESAM</v>
      </c>
      <c r="C400" t="s">
        <v>3541</v>
      </c>
      <c r="D400" t="s">
        <v>3542</v>
      </c>
      <c r="E400">
        <v>5213280</v>
      </c>
      <c r="F400" s="3" t="s">
        <v>3595</v>
      </c>
      <c r="G400" s="3" t="str">
        <f>"Elmo's Christmas snowman"</f>
        <v>Elmo's Christmas snowman</v>
      </c>
      <c r="H400" t="str">
        <f>"Kleinberg, Naomi"</f>
        <v>Kleinberg, Naomi</v>
      </c>
      <c r="I400">
        <v>48</v>
      </c>
      <c r="J400" s="2">
        <v>43776</v>
      </c>
      <c r="K400" s="1">
        <v>12</v>
      </c>
    </row>
    <row r="401" spans="1:11" ht="32" x14ac:dyDescent="0.2">
      <c r="A401">
        <v>318021</v>
      </c>
      <c r="B401" t="str">
        <f>"646.7 PAR"</f>
        <v>646.7 PAR</v>
      </c>
      <c r="C401" t="s">
        <v>3541</v>
      </c>
      <c r="D401" t="s">
        <v>3542</v>
      </c>
      <c r="E401">
        <v>5174994</v>
      </c>
      <c r="F401" s="3" t="str">
        <f>"2019-09-17  - Due: 8-20-2019. Notified: 8-27-2019, 9-3-2019, 9-11-2019, 10-29-2019"</f>
        <v>2019-09-17  - Due: 8-20-2019. Notified: 8-27-2019, 9-3-2019, 9-11-2019, 10-29-2019</v>
      </c>
      <c r="G401" s="3" t="str">
        <f>"Secrets of the Southern belle: how to be nice, work hard, look pretty, and never have an off moment"</f>
        <v>Secrets of the Southern belle: how to be nice, work hard, look pretty, and never have an off moment</v>
      </c>
      <c r="H401" t="str">
        <f>"Parks, Phaedra."</f>
        <v>Parks, Phaedra.</v>
      </c>
      <c r="I401">
        <v>17</v>
      </c>
      <c r="J401" s="2">
        <v>43683</v>
      </c>
      <c r="K401" s="1">
        <v>28</v>
      </c>
    </row>
    <row r="402" spans="1:11" ht="16" x14ac:dyDescent="0.2">
      <c r="A402">
        <v>318224</v>
      </c>
      <c r="B402" t="str">
        <f>"E REYNO"</f>
        <v>E REYNO</v>
      </c>
      <c r="C402" t="s">
        <v>3545</v>
      </c>
      <c r="D402" t="str">
        <f>"Tech Serv"</f>
        <v>Tech Serv</v>
      </c>
      <c r="E402" t="s">
        <v>3544</v>
      </c>
      <c r="F402" s="3" t="str">
        <f>"2020-01-26  - RT - Check In - WB - Bottom of pages ripped and taped. Please replace"</f>
        <v>2020-01-26  - RT - Check In - WB - Bottom of pages ripped and taped. Please replace</v>
      </c>
      <c r="G402" s="3" t="str">
        <f>"Creepy carrots!"</f>
        <v>Creepy carrots!</v>
      </c>
      <c r="H402" t="str">
        <f>"Reynolds, Aaron, (1970-)"</f>
        <v>Reynolds, Aaron, (1970-)</v>
      </c>
      <c r="I402">
        <v>65</v>
      </c>
      <c r="J402" s="2">
        <v>43851</v>
      </c>
      <c r="K402" s="1">
        <v>23</v>
      </c>
    </row>
    <row r="403" spans="1:11" ht="16" x14ac:dyDescent="0.2">
      <c r="A403">
        <v>318629</v>
      </c>
      <c r="B403" t="str">
        <f>"J BRUEL"</f>
        <v>J BRUEL</v>
      </c>
      <c r="C403" t="s">
        <v>3541</v>
      </c>
      <c r="D403" t="s">
        <v>3542</v>
      </c>
      <c r="E403">
        <v>5165415</v>
      </c>
      <c r="F403" s="3" t="str">
        <f>"2019-12-22  - Due: 11-23-2019. Notified: 11-30-2019, 12-7-2019, 12-16-2019"</f>
        <v>2019-12-22  - Due: 11-23-2019. Notified: 11-30-2019, 12-7-2019, 12-16-2019</v>
      </c>
      <c r="G403" s="3" t="str">
        <f>"Bad Kitty vs. Uncle Murray: the uproar at the front door"</f>
        <v>Bad Kitty vs. Uncle Murray: the uproar at the front door</v>
      </c>
      <c r="H403" t="str">
        <f>"Bruel, Nick."</f>
        <v>Bruel, Nick.</v>
      </c>
      <c r="I403">
        <v>63</v>
      </c>
      <c r="J403" s="2">
        <v>43778</v>
      </c>
      <c r="K403" s="1">
        <v>12</v>
      </c>
    </row>
    <row r="404" spans="1:11" ht="16" x14ac:dyDescent="0.2">
      <c r="A404">
        <v>319016</v>
      </c>
      <c r="B404" t="str">
        <f>"J 468.6 GON"</f>
        <v>J 468.6 GON</v>
      </c>
      <c r="C404" t="s">
        <v>3541</v>
      </c>
      <c r="D404" t="s">
        <v>3542</v>
      </c>
      <c r="E404" t="s">
        <v>3544</v>
      </c>
      <c r="F404" s="3" t="str">
        <f>"2019-04-05  - Inventory - "</f>
        <v xml:space="preserve">2019-04-05  - Inventory - </v>
      </c>
      <c r="G404" s="3" t="str">
        <f>"My colors, my world = Mis colores, mi mundo"</f>
        <v>My colors, my world = Mis colores, mi mundo</v>
      </c>
      <c r="H404" t="str">
        <f>"Gonzalez, Maya Christina."</f>
        <v>Gonzalez, Maya Christina.</v>
      </c>
      <c r="I404">
        <v>11</v>
      </c>
      <c r="J404" s="2">
        <v>42789</v>
      </c>
      <c r="K404" s="1">
        <v>14</v>
      </c>
    </row>
    <row r="405" spans="1:11" ht="32" x14ac:dyDescent="0.2">
      <c r="A405">
        <v>319023</v>
      </c>
      <c r="B405" t="str">
        <f>"E WATT"</f>
        <v>E WATT</v>
      </c>
      <c r="C405" t="s">
        <v>3545</v>
      </c>
      <c r="D405" t="str">
        <f>"Tech Serv"</f>
        <v>Tech Serv</v>
      </c>
      <c r="E405" t="s">
        <v>3544</v>
      </c>
      <c r="F405" s="3" t="str">
        <f>"2020-01-16  - BD - Check In - WB - should be a holiday book"</f>
        <v>2020-01-16  - BD - Check In - WB - should be a holiday book</v>
      </c>
      <c r="G405" s="3" t="str">
        <f>"Scaredy Squirrel prepares for Halloween: [a safety guide for scaredies]"</f>
        <v>Scaredy Squirrel prepares for Halloween: [a safety guide for scaredies]</v>
      </c>
      <c r="H405" t="str">
        <f>"Watt, M�lanie, (1975-)"</f>
        <v>Watt, M�lanie, (1975-)</v>
      </c>
      <c r="I405">
        <v>56</v>
      </c>
      <c r="J405" s="2">
        <v>43819</v>
      </c>
      <c r="K405" s="1">
        <v>23</v>
      </c>
    </row>
    <row r="406" spans="1:11" ht="16" x14ac:dyDescent="0.2">
      <c r="A406">
        <v>319147</v>
      </c>
      <c r="B406" t="str">
        <f>"YA BARNE"</f>
        <v>YA BARNE</v>
      </c>
      <c r="C406" t="s">
        <v>3545</v>
      </c>
      <c r="D406" t="str">
        <f>"Tech Serv"</f>
        <v>Tech Serv</v>
      </c>
      <c r="E406" t="s">
        <v>3544</v>
      </c>
      <c r="F406" s="3" t="str">
        <f>"2020-01-08  - TL - Check In - LL - Broken spine."</f>
        <v>2020-01-08  - TL - Check In - LL - Broken spine.</v>
      </c>
      <c r="G406" s="3" t="str">
        <f>"The Naturals"</f>
        <v>The Naturals</v>
      </c>
      <c r="H406" t="str">
        <f>"Barnes, Jennifer (Jennifer Lynn)"</f>
        <v>Barnes, Jennifer (Jennifer Lynn)</v>
      </c>
      <c r="I406">
        <v>23</v>
      </c>
      <c r="J406" s="2">
        <v>43833</v>
      </c>
      <c r="K406" s="1">
        <v>23</v>
      </c>
    </row>
    <row r="407" spans="1:11" ht="16" x14ac:dyDescent="0.2">
      <c r="A407">
        <v>319671</v>
      </c>
      <c r="B407" t="str">
        <f>"J 468.6 WEL"</f>
        <v>J 468.6 WEL</v>
      </c>
      <c r="C407" t="s">
        <v>3541</v>
      </c>
      <c r="D407" t="s">
        <v>3542</v>
      </c>
      <c r="E407">
        <v>5168050</v>
      </c>
      <c r="F407" s="3" t="str">
        <f>"2020-01-10  - ss - WB - paying with card    1-10-2020  - Due: 1-24-2020."</f>
        <v>2020-01-10  - ss - WB - paying with card    1-10-2020  - Due: 1-24-2020.</v>
      </c>
      <c r="G407" s="3" t="str">
        <f>"Ana cultiva manzanas"</f>
        <v>Ana cultiva manzanas</v>
      </c>
      <c r="H407" t="str">
        <f>"Wellington, Monica"</f>
        <v>Wellington, Monica</v>
      </c>
      <c r="I407">
        <v>33</v>
      </c>
      <c r="J407" s="2">
        <v>43840</v>
      </c>
      <c r="K407" s="1">
        <v>21</v>
      </c>
    </row>
    <row r="408" spans="1:11" ht="16" x14ac:dyDescent="0.2">
      <c r="A408">
        <v>319784</v>
      </c>
      <c r="B408" t="str">
        <f>"J 910.9 TOU"</f>
        <v>J 910.9 TOU</v>
      </c>
      <c r="C408" t="s">
        <v>3541</v>
      </c>
      <c r="D408" t="s">
        <v>3542</v>
      </c>
      <c r="E408">
        <v>5175077</v>
      </c>
      <c r="F408" s="3" t="str">
        <f>"2019-09-17  - Due: 8-20-2019. Notified: 8-27-2019, 9-3-2019, 9-11-2019, 10-29-2019"</f>
        <v>2019-09-17  - Due: 8-20-2019. Notified: 8-27-2019, 9-3-2019, 9-11-2019, 10-29-2019</v>
      </c>
      <c r="G408" s="3" t="str">
        <f>"The finest hours: the true story of a heroic sea rescue"</f>
        <v>The finest hours: the true story of a heroic sea rescue</v>
      </c>
      <c r="H408" t="str">
        <f>"Tougias, Mike, (1955-)"</f>
        <v>Tougias, Mike, (1955-)</v>
      </c>
      <c r="I408">
        <v>14</v>
      </c>
      <c r="J408" s="2">
        <v>43683</v>
      </c>
      <c r="K408" s="1">
        <v>23</v>
      </c>
    </row>
    <row r="409" spans="1:11" ht="16" x14ac:dyDescent="0.2">
      <c r="A409">
        <v>320473</v>
      </c>
      <c r="B409" t="str">
        <f>"J SPIRI"</f>
        <v>J SPIRI</v>
      </c>
      <c r="C409" t="s">
        <v>3541</v>
      </c>
      <c r="D409" t="s">
        <v>3542</v>
      </c>
      <c r="E409">
        <v>5118612</v>
      </c>
      <c r="F409" s="3" t="str">
        <f>"2019-08-01  - TL - LL - Member paid $18 on 8/1.    8-1-2019  - Due: 7-26-2019."</f>
        <v>2019-08-01  - TL - LL - Member paid $18 on 8/1.    8-1-2019  - Due: 7-26-2019.</v>
      </c>
      <c r="G409" s="3" t="str">
        <f>"Blood ties"</f>
        <v>Blood ties</v>
      </c>
      <c r="H409" t="str">
        <f>"Nix, Garth"</f>
        <v>Nix, Garth</v>
      </c>
      <c r="I409">
        <v>57</v>
      </c>
      <c r="J409" s="2">
        <v>43658</v>
      </c>
      <c r="K409" s="1">
        <v>18</v>
      </c>
    </row>
    <row r="410" spans="1:11" ht="16" x14ac:dyDescent="0.2">
      <c r="A410">
        <v>320991</v>
      </c>
      <c r="B410" t="str">
        <f>"J MLYNO"</f>
        <v>J MLYNO</v>
      </c>
      <c r="C410" t="s">
        <v>3541</v>
      </c>
      <c r="D410" t="s">
        <v>3542</v>
      </c>
      <c r="E410">
        <v>5178697</v>
      </c>
      <c r="F410" s="3" t="str">
        <f>"2019-08-12  - Due: 7-17-2019. Notified: 7-24-2019, 7-31-2019, 8-7-2019, 9-24-2019"</f>
        <v>2019-08-12  - Due: 7-17-2019. Notified: 7-24-2019, 7-31-2019, 8-7-2019, 9-24-2019</v>
      </c>
      <c r="G410" s="3" t="str">
        <f>"Bad hair day"</f>
        <v>Bad hair day</v>
      </c>
      <c r="H410" t="str">
        <f>"Mlynowski, Sarah"</f>
        <v>Mlynowski, Sarah</v>
      </c>
      <c r="I410">
        <v>65</v>
      </c>
      <c r="J410" s="2">
        <v>43649</v>
      </c>
      <c r="K410" s="1">
        <v>20</v>
      </c>
    </row>
    <row r="411" spans="1:11" ht="16" x14ac:dyDescent="0.2">
      <c r="A411">
        <v>321669</v>
      </c>
      <c r="B411" t="str">
        <f>"E WALTD"</f>
        <v>E WALTD</v>
      </c>
      <c r="C411" t="s">
        <v>3541</v>
      </c>
      <c r="D411" t="s">
        <v>3542</v>
      </c>
      <c r="E411">
        <v>5201916</v>
      </c>
      <c r="F411" s="3" t="str">
        <f>"2020-01-04  - Due: 12-5-2019. Notified: 12-12-2019, 12-19-2019, 12-27-2019"</f>
        <v>2020-01-04  - Due: 12-5-2019. Notified: 12-12-2019, 12-19-2019, 12-27-2019</v>
      </c>
      <c r="G411" s="3" t="str">
        <f>"Wings around the globe"</f>
        <v>Wings around the globe</v>
      </c>
      <c r="H411" t="str">
        <f>"Scollon, Bill,"</f>
        <v>Scollon, Bill,</v>
      </c>
      <c r="I411">
        <v>53</v>
      </c>
      <c r="J411" s="2">
        <v>43790</v>
      </c>
      <c r="K411" s="1">
        <v>9</v>
      </c>
    </row>
    <row r="412" spans="1:11" ht="16" x14ac:dyDescent="0.2">
      <c r="A412">
        <v>322113</v>
      </c>
      <c r="B412" t="str">
        <f>"J MEADO"</f>
        <v>J MEADO</v>
      </c>
      <c r="C412" t="s">
        <v>3541</v>
      </c>
      <c r="D412" t="s">
        <v>3542</v>
      </c>
      <c r="E412">
        <v>5178561</v>
      </c>
      <c r="F412" s="3" t="str">
        <f>"2019-08-12  - Due: 7-17-2019. Notified: 7-24-2019, 7-31-2019, 8-7-2019, 9-24-2019"</f>
        <v>2019-08-12  - Due: 7-17-2019. Notified: 7-24-2019, 7-31-2019, 8-7-2019, 9-24-2019</v>
      </c>
      <c r="G412" s="3" t="str">
        <f>"Milly the river fairy"</f>
        <v>Milly the river fairy</v>
      </c>
      <c r="H412" t="str">
        <f>"Meadows, Daisy"</f>
        <v>Meadows, Daisy</v>
      </c>
      <c r="I412">
        <v>43</v>
      </c>
      <c r="J412" s="2">
        <v>43649</v>
      </c>
      <c r="K412" s="1">
        <v>10</v>
      </c>
    </row>
    <row r="413" spans="1:11" ht="16" x14ac:dyDescent="0.2">
      <c r="A413">
        <v>322374</v>
      </c>
      <c r="B413" t="str">
        <f>"YA MATHI"</f>
        <v>YA MATHI</v>
      </c>
      <c r="C413" t="s">
        <v>3541</v>
      </c>
      <c r="D413" t="s">
        <v>3542</v>
      </c>
      <c r="E413">
        <v>5090479</v>
      </c>
      <c r="F413" s="3" t="str">
        <f>"2019-12-02  - Due: 11-3-2019. Notified: 11-10-2019, 11-18-2019, 11-25-2019, 1-21-2020"</f>
        <v>2019-12-02  - Due: 11-3-2019. Notified: 11-10-2019, 11-18-2019, 11-25-2019, 1-21-2020</v>
      </c>
      <c r="G413" s="3" t="str">
        <f>"The truth about Alice"</f>
        <v>The truth about Alice</v>
      </c>
      <c r="H413" t="str">
        <f>"Mathieu, Jennifer."</f>
        <v>Mathieu, Jennifer.</v>
      </c>
      <c r="I413">
        <v>9</v>
      </c>
      <c r="J413" s="2">
        <v>43758</v>
      </c>
      <c r="K413" s="1">
        <v>22</v>
      </c>
    </row>
    <row r="414" spans="1:11" ht="32" x14ac:dyDescent="0.2">
      <c r="A414">
        <v>323316</v>
      </c>
      <c r="B414" t="str">
        <f>"J GN GAIMA v.1"</f>
        <v>J GN GAIMA v.1</v>
      </c>
      <c r="C414" t="s">
        <v>3545</v>
      </c>
      <c r="D414" t="s">
        <v>3542</v>
      </c>
      <c r="E414">
        <v>5202690</v>
      </c>
      <c r="F414" s="3" t="str">
        <f>"2019-07-02  - TL - WB - Book is heavily damaged. Member is paying $25.00 for the book.    7-2-2019  - Due: 7-16-2019."</f>
        <v>2019-07-02  - TL - WB - Book is heavily damaged. Member is paying $25.00 for the book.    7-2-2019  - Due: 7-16-2019.</v>
      </c>
      <c r="G414" s="3" t="str">
        <f>"The graveyard book, v.1: a graphic novel"</f>
        <v>The graveyard book, v.1: a graphic novel</v>
      </c>
      <c r="H414" t="str">
        <f>"Russell, P. Craig,"</f>
        <v>Russell, P. Craig,</v>
      </c>
      <c r="I414">
        <v>23</v>
      </c>
      <c r="J414" s="2">
        <v>43640</v>
      </c>
      <c r="K414" s="1">
        <v>25</v>
      </c>
    </row>
    <row r="415" spans="1:11" ht="16" x14ac:dyDescent="0.2">
      <c r="A415">
        <v>323386</v>
      </c>
      <c r="B415" t="str">
        <f>"B ARNOL"</f>
        <v>B ARNOL</v>
      </c>
      <c r="C415" t="s">
        <v>3545</v>
      </c>
      <c r="D415" t="str">
        <f>"Tech Serv"</f>
        <v>Tech Serv</v>
      </c>
      <c r="E415" t="s">
        <v>3544</v>
      </c>
      <c r="F415" s="3" t="str">
        <f>"2020-01-28  - TL - Check In - WB - Book cover is damaged."</f>
        <v>2020-01-28  - TL - Check In - WB - Book cover is damaged.</v>
      </c>
      <c r="G415" s="3" t="str">
        <f>"Fly Guy's amazing tricks"</f>
        <v>Fly Guy's amazing tricks</v>
      </c>
      <c r="H415" t="str">
        <f>"Arnold, Tedd"</f>
        <v>Arnold, Tedd</v>
      </c>
      <c r="I415">
        <v>76</v>
      </c>
      <c r="J415" s="2">
        <v>43851</v>
      </c>
      <c r="K415" s="1">
        <v>12</v>
      </c>
    </row>
    <row r="416" spans="1:11" ht="16" x14ac:dyDescent="0.2">
      <c r="A416">
        <v>323507</v>
      </c>
      <c r="B416" t="str">
        <f>"YA MAAS"</f>
        <v>YA MAAS</v>
      </c>
      <c r="C416" t="s">
        <v>3545</v>
      </c>
      <c r="D416" t="str">
        <f>"Tech Serv"</f>
        <v>Tech Serv</v>
      </c>
      <c r="E416" t="s">
        <v>3544</v>
      </c>
      <c r="F416" s="3" t="str">
        <f>"2020-01-27  - pg - Check In - WB - plastic"</f>
        <v>2020-01-27  - pg - Check In - WB - plastic</v>
      </c>
      <c r="G416" s="3" t="str">
        <f>"Heir of fire"</f>
        <v>Heir of fire</v>
      </c>
      <c r="H416" t="str">
        <f>"Maas, Sarah J."</f>
        <v>Maas, Sarah J.</v>
      </c>
      <c r="I416">
        <v>53</v>
      </c>
      <c r="J416" s="2">
        <v>43829</v>
      </c>
      <c r="K416" s="1">
        <v>23</v>
      </c>
    </row>
    <row r="417" spans="1:11" ht="32" x14ac:dyDescent="0.2">
      <c r="A417">
        <v>323512</v>
      </c>
      <c r="B417" t="str">
        <f>"J CLARK"</f>
        <v>J CLARK</v>
      </c>
      <c r="C417" t="s">
        <v>3541</v>
      </c>
      <c r="D417" t="s">
        <v>3542</v>
      </c>
      <c r="E417">
        <v>5115531</v>
      </c>
      <c r="F417" s="3" t="str">
        <f>"2019-11-07  - PayPal - Paid    11-1-2019  - Tess - WB - Patron called, he cant find the book and thinks its lost.    11-1-2019  - Due: 10-20-2019. Notified: 10-27-2019, 11-3-2019"</f>
        <v>2019-11-07  - PayPal - Paid    11-1-2019  - Tess - WB - Patron called, he cant find the book and thinks its lost.    11-1-2019  - Due: 10-20-2019. Notified: 10-27-2019, 11-3-2019</v>
      </c>
      <c r="G417" s="3" t="str">
        <f>"Secret of the Andes"</f>
        <v>Secret of the Andes</v>
      </c>
      <c r="H417" t="str">
        <f>"Clark, Ann Nolan"</f>
        <v>Clark, Ann Nolan</v>
      </c>
      <c r="I417">
        <v>14</v>
      </c>
      <c r="J417" s="2">
        <v>43706</v>
      </c>
      <c r="K417" s="1">
        <v>11</v>
      </c>
    </row>
    <row r="418" spans="1:11" ht="32" x14ac:dyDescent="0.2">
      <c r="A418">
        <v>323586</v>
      </c>
      <c r="B418" t="str">
        <f>"523.1 TEG"</f>
        <v>523.1 TEG</v>
      </c>
      <c r="C418" t="s">
        <v>3541</v>
      </c>
      <c r="D418" t="s">
        <v>3542</v>
      </c>
      <c r="E418">
        <v>5104989</v>
      </c>
      <c r="F418" s="3" t="str">
        <f>"2020-01-24  - Due: 12-27-2019. Notified: 1-3-2020, 1-10-2020, 1-17-2020"</f>
        <v>2020-01-24  - Due: 12-27-2019. Notified: 1-3-2020, 1-10-2020, 1-17-2020</v>
      </c>
      <c r="G418" s="3" t="str">
        <f>"Our mathematical universe: my quest for the ultimate nature of reality"</f>
        <v>Our mathematical universe: my quest for the ultimate nature of reality</v>
      </c>
      <c r="H418" t="str">
        <f>"Tegmark, Max."</f>
        <v>Tegmark, Max.</v>
      </c>
      <c r="I418">
        <v>17</v>
      </c>
      <c r="J418" s="2">
        <v>43810</v>
      </c>
      <c r="K418" s="1">
        <v>35</v>
      </c>
    </row>
    <row r="419" spans="1:11" ht="32" x14ac:dyDescent="0.2">
      <c r="A419">
        <v>323671</v>
      </c>
      <c r="B419" t="str">
        <f>"YA 791.6 WEB"</f>
        <v>YA 791.6 WEB</v>
      </c>
      <c r="C419" t="s">
        <v>3541</v>
      </c>
      <c r="D419" t="s">
        <v>3542</v>
      </c>
      <c r="E419" t="s">
        <v>3544</v>
      </c>
      <c r="F419" s="3" t="str">
        <f>"2019-09-13  - Inventory - "</f>
        <v xml:space="preserve">2019-09-13  - Inventory - </v>
      </c>
      <c r="G419" s="3" t="str">
        <f>"Varsity's ultimate guide to cheerleading: advice and inspiration from the world's leading cheer organization"</f>
        <v>Varsity's ultimate guide to cheerleading: advice and inspiration from the world's leading cheer organization</v>
      </c>
      <c r="H419" t="str">
        <f>"Webber, Rebecca."</f>
        <v>Webber, Rebecca.</v>
      </c>
      <c r="I419">
        <v>2</v>
      </c>
      <c r="J419" s="2">
        <v>42311</v>
      </c>
      <c r="K419" s="1">
        <v>20</v>
      </c>
    </row>
    <row r="420" spans="1:11" ht="32" x14ac:dyDescent="0.2">
      <c r="A420">
        <v>323690</v>
      </c>
      <c r="B420" t="str">
        <f>"635.09 ELZ"</f>
        <v>635.09 ELZ</v>
      </c>
      <c r="C420" t="s">
        <v>3545</v>
      </c>
      <c r="D420" t="s">
        <v>3542</v>
      </c>
      <c r="E420">
        <v>5104733</v>
      </c>
      <c r="F420" s="3" t="str">
        <f>"2019-07-25  - BD - WB - paid    7-25-2019  - BD - WB -    7-25-2019  - BD - WB - dog chewed    7-25-2019  - Due: 7-28-2019."</f>
        <v>2019-07-25  - BD - WB - paid    7-25-2019  - BD - WB -    7-25-2019  - BD - WB - dog chewed    7-25-2019  - Due: 7-28-2019.</v>
      </c>
      <c r="G420" s="3" t="str">
        <f>"Southern fruit &amp; vegetable gardening: plant, grow, and harvest the best edibles"</f>
        <v>Southern fruit &amp; vegetable gardening: plant, grow, and harvest the best edibles</v>
      </c>
      <c r="H420" t="str">
        <f>"Elzer-Peters, Katie."</f>
        <v>Elzer-Peters, Katie.</v>
      </c>
      <c r="I420">
        <v>10</v>
      </c>
      <c r="J420" s="2">
        <v>43660</v>
      </c>
      <c r="K420" s="1">
        <v>28</v>
      </c>
    </row>
    <row r="421" spans="1:11" ht="16" x14ac:dyDescent="0.2">
      <c r="A421">
        <v>323735</v>
      </c>
      <c r="B421" t="str">
        <f>"YA WESTE"</f>
        <v>YA WESTE</v>
      </c>
      <c r="C421" t="s">
        <v>3541</v>
      </c>
      <c r="D421" t="s">
        <v>3542</v>
      </c>
      <c r="E421">
        <v>5120940</v>
      </c>
      <c r="F421" s="3" t="str">
        <f>"2019-07-19  - ec - WB - member paid for lost book    7-19-2019  - Due: 7-10-2019. Notified: 7-17-2019"</f>
        <v>2019-07-19  - ec - WB - member paid for lost book    7-19-2019  - Due: 7-10-2019. Notified: 7-17-2019</v>
      </c>
      <c r="G421" s="3" t="s">
        <v>3596</v>
      </c>
      <c r="H421" t="str">
        <f>"Westerfeld, Scott"</f>
        <v>Westerfeld, Scott</v>
      </c>
      <c r="I421">
        <v>15</v>
      </c>
      <c r="J421" s="2">
        <v>43620</v>
      </c>
      <c r="K421" s="1">
        <v>25</v>
      </c>
    </row>
    <row r="422" spans="1:11" ht="16" x14ac:dyDescent="0.2">
      <c r="A422">
        <v>323743</v>
      </c>
      <c r="B422" t="str">
        <f>"E OLDMA"</f>
        <v>E OLDMA</v>
      </c>
      <c r="C422" t="s">
        <v>3541</v>
      </c>
      <c r="D422" t="s">
        <v>3542</v>
      </c>
      <c r="E422">
        <v>5184881</v>
      </c>
      <c r="F422" s="3" t="str">
        <f>"2019-04-30  - Due: 4-3-2019. Notified: 4-10-2019, 4-17-2019, 4-24-2019"</f>
        <v>2019-04-30  - Due: 4-3-2019. Notified: 4-10-2019, 4-17-2019, 4-24-2019</v>
      </c>
      <c r="G422" s="3" t="str">
        <f>"Old MacDonald had a farm"</f>
        <v>Old MacDonald had a farm</v>
      </c>
      <c r="I422">
        <v>20</v>
      </c>
      <c r="J422" s="2">
        <v>43544</v>
      </c>
      <c r="K422" s="1">
        <v>9</v>
      </c>
    </row>
    <row r="423" spans="1:11" ht="16" x14ac:dyDescent="0.2">
      <c r="A423">
        <v>323833</v>
      </c>
      <c r="B423" t="str">
        <f>"J RUSSE"</f>
        <v>J RUSSE</v>
      </c>
      <c r="C423" t="s">
        <v>3541</v>
      </c>
      <c r="D423" t="s">
        <v>3542</v>
      </c>
      <c r="E423">
        <v>5178378</v>
      </c>
      <c r="F423" s="3" t="str">
        <f>"2019-08-12  - Due: 7-17-2019. Notified: 7-24-2019, 7-31-2019, 8-7-2019, 9-24-2019"</f>
        <v>2019-08-12  - Due: 7-17-2019. Notified: 7-24-2019, 7-31-2019, 8-7-2019, 9-24-2019</v>
      </c>
      <c r="G423" s="3" t="str">
        <f>"Tales from a not-so-happily ever after"</f>
        <v>Tales from a not-so-happily ever after</v>
      </c>
      <c r="H423" t="str">
        <f>"Russell, Rachel Renee."</f>
        <v>Russell, Rachel Renee.</v>
      </c>
      <c r="I423">
        <v>71</v>
      </c>
      <c r="J423" s="2">
        <v>43649</v>
      </c>
      <c r="K423" s="1">
        <v>19</v>
      </c>
    </row>
    <row r="424" spans="1:11" ht="16" x14ac:dyDescent="0.2">
      <c r="A424">
        <v>324354</v>
      </c>
      <c r="B424" t="str">
        <f>"KIT J SCHAC"</f>
        <v>KIT J SCHAC</v>
      </c>
      <c r="C424" t="s">
        <v>3541</v>
      </c>
      <c r="D424" t="s">
        <v>3542</v>
      </c>
      <c r="E424" t="s">
        <v>3544</v>
      </c>
      <c r="F424" s="3" t="str">
        <f>"2019-11-15  - Inventory - "</f>
        <v xml:space="preserve">2019-11-15  - Inventory - </v>
      </c>
      <c r="G424" s="3" t="str">
        <f>"Skippyjon Jones snow what"</f>
        <v>Skippyjon Jones snow what</v>
      </c>
      <c r="H424" t="str">
        <f>"Schachner, Judith Byron"</f>
        <v>Schachner, Judith Byron</v>
      </c>
      <c r="I424">
        <v>22</v>
      </c>
      <c r="J424" s="2">
        <v>43585</v>
      </c>
      <c r="K424" s="1">
        <v>34</v>
      </c>
    </row>
    <row r="425" spans="1:11" ht="16" x14ac:dyDescent="0.2">
      <c r="A425">
        <v>324581</v>
      </c>
      <c r="B425" t="str">
        <f>"B WILLE"</f>
        <v>B WILLE</v>
      </c>
      <c r="C425" t="s">
        <v>3541</v>
      </c>
      <c r="D425" t="s">
        <v>3542</v>
      </c>
      <c r="E425">
        <v>5212995</v>
      </c>
      <c r="F425" s="3" t="str">
        <f>"2019-11-01  - Due: 10-6-2019. Notified: 10-13-2019, 10-20-2019, 10-28-2019, 12-10-2019"</f>
        <v>2019-11-01  - Due: 10-6-2019. Notified: 10-13-2019, 10-20-2019, 10-28-2019, 12-10-2019</v>
      </c>
      <c r="G425" s="3" t="str">
        <f>"Waiting is not easy!"</f>
        <v>Waiting is not easy!</v>
      </c>
      <c r="H425" t="str">
        <f>"Willems, Mo"</f>
        <v>Willems, Mo</v>
      </c>
      <c r="I425">
        <v>95</v>
      </c>
      <c r="J425" s="2">
        <v>43730</v>
      </c>
      <c r="K425" s="1">
        <v>14</v>
      </c>
    </row>
    <row r="426" spans="1:11" ht="16" x14ac:dyDescent="0.2">
      <c r="A426">
        <v>325134</v>
      </c>
      <c r="B426" t="str">
        <f>"J 791.43 REY"</f>
        <v>J 791.43 REY</v>
      </c>
      <c r="C426" t="s">
        <v>3541</v>
      </c>
      <c r="D426" t="s">
        <v>3542</v>
      </c>
      <c r="E426" t="s">
        <v>3544</v>
      </c>
      <c r="F426" s="3" t="str">
        <f>"2019-11-08  - Inventory - "</f>
        <v xml:space="preserve">2019-11-08  - Inventory - </v>
      </c>
      <c r="G426" s="3" t="str">
        <f>"Star Wars: the complete visual dictionary"</f>
        <v>Star Wars: the complete visual dictionary</v>
      </c>
      <c r="H426" t="str">
        <f>"Reynolds, David West"</f>
        <v>Reynolds, David West</v>
      </c>
      <c r="I426">
        <v>28</v>
      </c>
      <c r="J426" s="2">
        <v>42845</v>
      </c>
      <c r="K426" s="1">
        <v>45</v>
      </c>
    </row>
    <row r="427" spans="1:11" ht="16" x14ac:dyDescent="0.2">
      <c r="A427">
        <v>325160</v>
      </c>
      <c r="B427" t="str">
        <f>"332.024 ROB"</f>
        <v>332.024 ROB</v>
      </c>
      <c r="C427" t="s">
        <v>3545</v>
      </c>
      <c r="D427" t="str">
        <f>"Tech Serv"</f>
        <v>Tech Serv</v>
      </c>
      <c r="E427" t="s">
        <v>3544</v>
      </c>
      <c r="F427" s="3" t="str">
        <f>"2020-01-25  - BD - Check In - LL - item had a sticky note requesting that it be sent to mending"</f>
        <v>2020-01-25  - BD - Check In - LL - item had a sticky note requesting that it be sent to mending</v>
      </c>
      <c r="G427" s="3" t="str">
        <f>"Money: master the game : 7 simple steps to financial freedom"</f>
        <v>Money: master the game : 7 simple steps to financial freedom</v>
      </c>
      <c r="H427" t="str">
        <f>"Robbins, Anthony"</f>
        <v>Robbins, Anthony</v>
      </c>
      <c r="I427">
        <v>39</v>
      </c>
      <c r="J427" s="2">
        <v>43701</v>
      </c>
      <c r="K427" s="1">
        <v>33</v>
      </c>
    </row>
    <row r="428" spans="1:11" ht="16" x14ac:dyDescent="0.2">
      <c r="A428">
        <v>325391</v>
      </c>
      <c r="B428" t="str">
        <f>"615.5 MCI"</f>
        <v>615.5 MCI</v>
      </c>
      <c r="C428" t="s">
        <v>3541</v>
      </c>
      <c r="D428" t="s">
        <v>3542</v>
      </c>
      <c r="E428" t="s">
        <v>3544</v>
      </c>
      <c r="F428" s="3" t="str">
        <f>"2019-11-09  - kl - searched 3 times"</f>
        <v>2019-11-09  - kl - searched 3 times</v>
      </c>
      <c r="G428" s="3" t="str">
        <f>"The Ayurveda bible: the definitive guide to Ayurvedic healing"</f>
        <v>The Ayurveda bible: the definitive guide to Ayurvedic healing</v>
      </c>
      <c r="H428" t="str">
        <f>"McIntyre, Anne."</f>
        <v>McIntyre, Anne.</v>
      </c>
      <c r="I428">
        <v>35</v>
      </c>
      <c r="J428" s="2">
        <v>43655</v>
      </c>
      <c r="K428" s="1">
        <v>25</v>
      </c>
    </row>
    <row r="429" spans="1:11" ht="32" x14ac:dyDescent="0.2">
      <c r="A429">
        <v>326313</v>
      </c>
      <c r="B429" t="str">
        <f>"YA BACIG"</f>
        <v>YA BACIG</v>
      </c>
      <c r="C429" t="s">
        <v>3541</v>
      </c>
      <c r="D429" t="s">
        <v>3542</v>
      </c>
      <c r="E429">
        <v>5124701</v>
      </c>
      <c r="F429" s="3" t="str">
        <f>"2019-11-28  - PayPal - Paid    11-19-2019  - Due: 10-24-2019. Notified: 10-31-2019, 11-7-2019, 11-15-2019"</f>
        <v>2019-11-28  - PayPal - Paid    11-19-2019  - Due: 10-24-2019. Notified: 10-31-2019, 11-7-2019, 11-15-2019</v>
      </c>
      <c r="G429" s="3" t="str">
        <f>"Ship breaker"</f>
        <v>Ship breaker</v>
      </c>
      <c r="H429" t="str">
        <f>"Bacigalupi, Paolo."</f>
        <v>Bacigalupi, Paolo.</v>
      </c>
      <c r="I429">
        <v>24</v>
      </c>
      <c r="J429" s="2">
        <v>43727</v>
      </c>
      <c r="K429" s="1">
        <v>23</v>
      </c>
    </row>
    <row r="430" spans="1:11" ht="16" x14ac:dyDescent="0.2">
      <c r="A430">
        <v>326403</v>
      </c>
      <c r="B430" t="str">
        <f>"J CRONI"</f>
        <v>J CRONI</v>
      </c>
      <c r="C430" t="s">
        <v>3541</v>
      </c>
      <c r="D430" t="s">
        <v>3542</v>
      </c>
      <c r="E430">
        <v>5165171</v>
      </c>
      <c r="F430" s="3" t="str">
        <f>"2019-12-22  - Due: 11-23-2019. Notified: 11-30-2019, 12-7-2019, 12-16-2019"</f>
        <v>2019-12-22  - Due: 11-23-2019. Notified: 11-30-2019, 12-7-2019, 12-16-2019</v>
      </c>
      <c r="G430" s="3" t="str">
        <f>"The case of the weird blue chicken: the next misadventure"</f>
        <v>The case of the weird blue chicken: the next misadventure</v>
      </c>
      <c r="H430" t="str">
        <f>"Cronin, Doreen"</f>
        <v>Cronin, Doreen</v>
      </c>
      <c r="I430">
        <v>30</v>
      </c>
      <c r="J430" s="2">
        <v>43778</v>
      </c>
      <c r="K430" s="1">
        <v>18</v>
      </c>
    </row>
    <row r="431" spans="1:11" ht="16" x14ac:dyDescent="0.2">
      <c r="A431">
        <v>326595</v>
      </c>
      <c r="B431" t="str">
        <f>"B BEREN"</f>
        <v>B BEREN</v>
      </c>
      <c r="C431" t="s">
        <v>3541</v>
      </c>
      <c r="D431" t="s">
        <v>3542</v>
      </c>
      <c r="E431" t="s">
        <v>3544</v>
      </c>
      <c r="F431" s="3" t="str">
        <f>"2019-07-12  - Inventory - "</f>
        <v xml:space="preserve">2019-07-12  - Inventory - </v>
      </c>
      <c r="G431" s="3" t="str">
        <f>"The Berenstain Bears play t-ball"</f>
        <v>The Berenstain Bears play t-ball</v>
      </c>
      <c r="H431" t="str">
        <f>"Berenstain, Stan (1923-)"</f>
        <v>Berenstain, Stan (1923-)</v>
      </c>
      <c r="I431">
        <v>27</v>
      </c>
      <c r="J431" s="2">
        <v>43017</v>
      </c>
      <c r="K431" s="1">
        <v>9</v>
      </c>
    </row>
    <row r="432" spans="1:11" ht="16" x14ac:dyDescent="0.2">
      <c r="A432">
        <v>326963</v>
      </c>
      <c r="B432" t="str">
        <f>"F MARTI"</f>
        <v>F MARTI</v>
      </c>
      <c r="C432" t="s">
        <v>3541</v>
      </c>
      <c r="D432" t="s">
        <v>3542</v>
      </c>
      <c r="E432">
        <v>99506</v>
      </c>
      <c r="F432" s="3" t="str">
        <f>"2019-09-10  - PayPal - Paid    8-5-2019  - Due: 7-10-2019. Notified: 7-17-2019, 7-24-2019, 7-31-2019"</f>
        <v>2019-09-10  - PayPal - Paid    8-5-2019  - Due: 7-10-2019. Notified: 7-17-2019, 7-24-2019, 7-31-2019</v>
      </c>
      <c r="G432" s="3" t="str">
        <f>"A dance with dragons"</f>
        <v>A dance with dragons</v>
      </c>
      <c r="H432" t="str">
        <f>"Martin, George R. R."</f>
        <v>Martin, George R. R.</v>
      </c>
      <c r="I432">
        <v>17</v>
      </c>
      <c r="J432" s="2">
        <v>43642</v>
      </c>
      <c r="K432" s="1">
        <v>23</v>
      </c>
    </row>
    <row r="433" spans="1:11" ht="16" x14ac:dyDescent="0.2">
      <c r="A433">
        <v>327197</v>
      </c>
      <c r="B433" t="str">
        <f>"613.2 HAR"</f>
        <v>613.2 HAR</v>
      </c>
      <c r="C433" t="s">
        <v>3541</v>
      </c>
      <c r="D433" t="s">
        <v>3542</v>
      </c>
      <c r="E433" t="s">
        <v>3544</v>
      </c>
      <c r="F433" s="3" t="str">
        <f>"2020-01-29  - TL - Is on reserve. Checked 3 times, couldn't find it."</f>
        <v>2020-01-29  - TL - Is on reserve. Checked 3 times, couldn't find it.</v>
      </c>
      <c r="G433" s="3" t="str">
        <f>"The whole30: the 30-day guide to total health and food freedom"</f>
        <v>The whole30: the 30-day guide to total health and food freedom</v>
      </c>
      <c r="H433" t="str">
        <f>"Hartwig, Melissa"</f>
        <v>Hartwig, Melissa</v>
      </c>
      <c r="I433">
        <v>58</v>
      </c>
      <c r="J433" s="2">
        <v>43741</v>
      </c>
      <c r="K433" s="1">
        <v>35</v>
      </c>
    </row>
    <row r="434" spans="1:11" ht="16" x14ac:dyDescent="0.2">
      <c r="A434">
        <v>327705</v>
      </c>
      <c r="B434" t="str">
        <f>"J 629.25 SMI"</f>
        <v>J 629.25 SMI</v>
      </c>
      <c r="C434" t="s">
        <v>3541</v>
      </c>
      <c r="D434" t="s">
        <v>3542</v>
      </c>
      <c r="E434" t="s">
        <v>3544</v>
      </c>
      <c r="F434" s="3" t="str">
        <f>"2019-11-08  - Inventory - "</f>
        <v xml:space="preserve">2019-11-08  - Inventory - </v>
      </c>
      <c r="G434" s="3" t="str">
        <f>"Bob the Builder: owners' workshop manual"</f>
        <v>Bob the Builder: owners' workshop manual</v>
      </c>
      <c r="H434" t="str">
        <f>"Smith, Derek"</f>
        <v>Smith, Derek</v>
      </c>
      <c r="I434">
        <v>13</v>
      </c>
      <c r="J434" s="2">
        <v>43430</v>
      </c>
      <c r="K434" s="1">
        <v>18</v>
      </c>
    </row>
    <row r="435" spans="1:11" ht="16" x14ac:dyDescent="0.2">
      <c r="A435">
        <v>328064</v>
      </c>
      <c r="B435" t="str">
        <f>"YA MEYER"</f>
        <v>YA MEYER</v>
      </c>
      <c r="C435" t="s">
        <v>3541</v>
      </c>
      <c r="D435" t="s">
        <v>3542</v>
      </c>
      <c r="E435">
        <v>5146392</v>
      </c>
      <c r="F435" s="3" t="str">
        <f>"2019-11-02  - Due: 10-7-2019. Notified: 10-14-2019, 10-21-2019, 10-28-2019, 12-10-2019"</f>
        <v>2019-11-02  - Due: 10-7-2019. Notified: 10-14-2019, 10-21-2019, 10-28-2019, 12-10-2019</v>
      </c>
      <c r="G435" s="3" t="str">
        <f>"New moon: a novel"</f>
        <v>New moon: a novel</v>
      </c>
      <c r="H435" t="str">
        <f>"Meyer, Stephenie (1973-)"</f>
        <v>Meyer, Stephenie (1973-)</v>
      </c>
      <c r="I435">
        <v>25</v>
      </c>
      <c r="J435" s="2">
        <v>43731</v>
      </c>
      <c r="K435" s="1">
        <v>20</v>
      </c>
    </row>
    <row r="436" spans="1:11" ht="16" x14ac:dyDescent="0.2">
      <c r="A436">
        <v>328108</v>
      </c>
      <c r="B436" t="str">
        <f>"J STOUD"</f>
        <v>J STOUD</v>
      </c>
      <c r="C436" t="s">
        <v>3541</v>
      </c>
      <c r="D436" t="s">
        <v>3542</v>
      </c>
      <c r="E436">
        <v>5070932</v>
      </c>
      <c r="F436" s="3" t="str">
        <f>"2019-11-17  - Due: 10-22-2019. Notified: 10-29-2019, 11-5-2019, 11-13-2019, 12-31-2019"</f>
        <v>2019-11-17  - Due: 10-22-2019. Notified: 10-29-2019, 11-5-2019, 11-13-2019, 12-31-2019</v>
      </c>
      <c r="G436" s="3" t="str">
        <f>"Double team"</f>
        <v>Double team</v>
      </c>
      <c r="H436" t="str">
        <f>"Stoudemire, Amar'e."</f>
        <v>Stoudemire, Amar'e.</v>
      </c>
      <c r="I436">
        <v>15</v>
      </c>
      <c r="J436" s="2">
        <v>43714</v>
      </c>
      <c r="K436" s="1">
        <v>11</v>
      </c>
    </row>
    <row r="437" spans="1:11" ht="16" x14ac:dyDescent="0.2">
      <c r="A437">
        <v>328350</v>
      </c>
      <c r="B437" t="str">
        <f>"YA DELAC"</f>
        <v>YA DELAC</v>
      </c>
      <c r="C437" t="s">
        <v>3541</v>
      </c>
      <c r="D437" t="s">
        <v>3542</v>
      </c>
      <c r="E437">
        <v>5108933</v>
      </c>
      <c r="F437" s="3" t="str">
        <f>"2019-10-01  - PayPal - Paid    9-23-2019  - Due: 8-26-2019. Notified: 9-3-2019, 9-9-2019, 9-16-2019"</f>
        <v>2019-10-01  - PayPal - Paid    9-23-2019  - Due: 8-26-2019. Notified: 9-3-2019, 9-9-2019, 9-16-2019</v>
      </c>
      <c r="G437" s="3" t="str">
        <f>"The Isle of the Lost: a Descendants novel"</f>
        <v>The Isle of the Lost: a Descendants novel</v>
      </c>
      <c r="H437" t="str">
        <f>"De la Cruz, Melissa (1971-)"</f>
        <v>De la Cruz, Melissa (1971-)</v>
      </c>
      <c r="I437">
        <v>27</v>
      </c>
      <c r="J437" s="2">
        <v>43689</v>
      </c>
      <c r="K437" s="1">
        <v>23</v>
      </c>
    </row>
    <row r="438" spans="1:11" ht="16" x14ac:dyDescent="0.2">
      <c r="A438">
        <v>328367</v>
      </c>
      <c r="B438" t="str">
        <f>"J CURTI"</f>
        <v>J CURTI</v>
      </c>
      <c r="C438" t="s">
        <v>3541</v>
      </c>
      <c r="D438" t="s">
        <v>3542</v>
      </c>
      <c r="E438">
        <v>5107076</v>
      </c>
      <c r="F438" s="3" t="str">
        <f>"2019-10-26  - Due: 9-30-2019. Notified: 10-7-2019, 10-14-2019, 10-21-2019, 12-10-2019"</f>
        <v>2019-10-26  - Due: 9-30-2019. Notified: 10-7-2019, 10-14-2019, 10-21-2019, 12-10-2019</v>
      </c>
      <c r="G438" s="3" t="str">
        <f>"Bud, not Buddy"</f>
        <v>Bud, not Buddy</v>
      </c>
      <c r="H438" t="str">
        <f>"Curtis, Christopher Paul"</f>
        <v>Curtis, Christopher Paul</v>
      </c>
      <c r="I438">
        <v>21</v>
      </c>
      <c r="J438" s="2">
        <v>43702</v>
      </c>
      <c r="K438" s="1">
        <v>13</v>
      </c>
    </row>
    <row r="439" spans="1:11" ht="16" x14ac:dyDescent="0.2">
      <c r="A439">
        <v>328452</v>
      </c>
      <c r="B439" t="str">
        <f>"YA HOROW"</f>
        <v>YA HOROW</v>
      </c>
      <c r="C439" t="s">
        <v>3541</v>
      </c>
      <c r="D439" t="s">
        <v>3542</v>
      </c>
      <c r="E439" t="s">
        <v>3544</v>
      </c>
      <c r="F439" s="3" t="str">
        <f>"2019-04-03  - BD - lost in transit"</f>
        <v>2019-04-03  - BD - lost in transit</v>
      </c>
      <c r="G439" s="3" t="s">
        <v>3597</v>
      </c>
      <c r="H439" t="str">
        <f>"Horowitz, Anthony (1955-)"</f>
        <v>Horowitz, Anthony (1955-)</v>
      </c>
      <c r="I439">
        <v>21</v>
      </c>
      <c r="J439" s="2">
        <v>43531</v>
      </c>
      <c r="K439" s="1">
        <v>14</v>
      </c>
    </row>
    <row r="440" spans="1:11" ht="16" x14ac:dyDescent="0.2">
      <c r="A440">
        <v>328572</v>
      </c>
      <c r="B440" t="str">
        <f>"E TRANS"</f>
        <v>E TRANS</v>
      </c>
      <c r="C440" t="s">
        <v>3541</v>
      </c>
      <c r="D440" t="s">
        <v>3542</v>
      </c>
      <c r="E440">
        <v>5202138</v>
      </c>
      <c r="F440" s="3" t="str">
        <f>"2020-01-05  - Due: 12-6-2019. Notified: 12-14-2019, 12-20-2019, 12-27-2019"</f>
        <v>2020-01-05  - Due: 12-6-2019. Notified: 12-14-2019, 12-20-2019, 12-27-2019</v>
      </c>
      <c r="G440" s="3" t="str">
        <f>"Land before Prime"</f>
        <v>Land before Prime</v>
      </c>
      <c r="H440" t="str">
        <f>"Sazaklis, John"</f>
        <v>Sazaklis, John</v>
      </c>
      <c r="I440">
        <v>44</v>
      </c>
      <c r="J440" s="2">
        <v>43763</v>
      </c>
      <c r="K440" s="1">
        <v>9</v>
      </c>
    </row>
    <row r="441" spans="1:11" ht="32" x14ac:dyDescent="0.2">
      <c r="A441">
        <v>328611</v>
      </c>
      <c r="B441" t="str">
        <f>"B REY"</f>
        <v>B REY</v>
      </c>
      <c r="C441" t="s">
        <v>3541</v>
      </c>
      <c r="D441" t="s">
        <v>3542</v>
      </c>
      <c r="E441">
        <v>5163102</v>
      </c>
      <c r="F441" s="3" t="str">
        <f>"2019-03-21  - mew - WB - member paid $9 for this item on 3/21    3-19-2019  - mew - member has lost this item    3-19-2019  - Due: 3-25-2019."</f>
        <v>2019-03-21  - mew - WB - member paid $9 for this item on 3/21    3-19-2019  - mew - member has lost this item    3-19-2019  - Due: 3-25-2019.</v>
      </c>
      <c r="G441" s="3" t="str">
        <f>"Curious George: the boat show"</f>
        <v>Curious George: the boat show</v>
      </c>
      <c r="H441" t="str">
        <f>"O'Sullivan, Kate."</f>
        <v>O'Sullivan, Kate.</v>
      </c>
      <c r="I441">
        <v>22</v>
      </c>
      <c r="J441" s="2">
        <v>43535</v>
      </c>
      <c r="K441" s="1">
        <v>9</v>
      </c>
    </row>
    <row r="442" spans="1:11" ht="16" x14ac:dyDescent="0.2">
      <c r="A442">
        <v>328857</v>
      </c>
      <c r="B442" t="str">
        <f>"J MYLIT"</f>
        <v>J MYLIT</v>
      </c>
      <c r="C442" t="s">
        <v>3545</v>
      </c>
      <c r="D442" t="str">
        <f>"Circ Prob Box"</f>
        <v>Circ Prob Box</v>
      </c>
      <c r="E442">
        <v>5213210</v>
      </c>
      <c r="F442" s="3" t="str">
        <f>"2020-01-26  - CAB - Check In - WB - RETURNED WET"</f>
        <v>2020-01-26  - CAB - Check In - WB - RETURNED WET</v>
      </c>
      <c r="G442" s="3" t="str">
        <f>"Rarity and the curious case of Charity"</f>
        <v>Rarity and the curious case of Charity</v>
      </c>
      <c r="H442" t="str">
        <f>"Berrow, G. M."</f>
        <v>Berrow, G. M.</v>
      </c>
      <c r="I442">
        <v>40</v>
      </c>
      <c r="J442" s="2">
        <v>43832</v>
      </c>
      <c r="K442" s="1">
        <v>11</v>
      </c>
    </row>
    <row r="443" spans="1:11" ht="16" x14ac:dyDescent="0.2">
      <c r="A443">
        <v>329112</v>
      </c>
      <c r="B443" t="str">
        <f>"E REY"</f>
        <v>E REY</v>
      </c>
      <c r="C443" t="s">
        <v>3541</v>
      </c>
      <c r="D443" t="s">
        <v>3542</v>
      </c>
      <c r="E443">
        <v>5212118</v>
      </c>
      <c r="F443" s="3" t="str">
        <f>"2019-10-19  - kl - WB - paid for lost book    10-19-2019  - Due: 10-16-2019."</f>
        <v>2019-10-19  - kl - WB - paid for lost book    10-19-2019  - Due: 10-16-2019.</v>
      </c>
      <c r="G443" s="3" t="str">
        <f>"The new adventures of Curious George"</f>
        <v>The new adventures of Curious George</v>
      </c>
      <c r="H443" t="str">
        <f>"Rey, Margret"</f>
        <v>Rey, Margret</v>
      </c>
      <c r="I443">
        <v>38</v>
      </c>
      <c r="J443" s="2">
        <v>43656</v>
      </c>
      <c r="K443" s="1">
        <v>16</v>
      </c>
    </row>
    <row r="444" spans="1:11" ht="16" x14ac:dyDescent="0.2">
      <c r="A444">
        <v>329157</v>
      </c>
      <c r="B444" t="str">
        <f>"598 LIS"</f>
        <v>598 LIS</v>
      </c>
      <c r="C444" t="s">
        <v>3541</v>
      </c>
      <c r="D444" t="s">
        <v>3542</v>
      </c>
      <c r="E444" t="s">
        <v>3544</v>
      </c>
      <c r="F444" s="3" t="str">
        <f>"2019-04-19  - Inventory - "</f>
        <v xml:space="preserve">2019-04-19  - Inventory - </v>
      </c>
      <c r="G444" s="3" t="str">
        <f>"Gods of the morning: a bird's-eye view of a changing world"</f>
        <v>Gods of the morning: a bird's-eye view of a changing world</v>
      </c>
      <c r="H444" t="str">
        <f>"Lister-Kaye, John, (1946-)"</f>
        <v>Lister-Kaye, John, (1946-)</v>
      </c>
      <c r="I444">
        <v>8</v>
      </c>
      <c r="J444" s="2">
        <v>42407</v>
      </c>
      <c r="K444" s="1">
        <v>32</v>
      </c>
    </row>
    <row r="445" spans="1:11" ht="32" x14ac:dyDescent="0.2">
      <c r="A445">
        <v>329370</v>
      </c>
      <c r="B445" t="str">
        <f>"612.8 DOI"</f>
        <v>612.8 DOI</v>
      </c>
      <c r="C445" t="s">
        <v>3541</v>
      </c>
      <c r="D445" t="s">
        <v>3542</v>
      </c>
      <c r="E445">
        <v>5070802</v>
      </c>
      <c r="F445" s="3" t="str">
        <f>"2019-11-17  - Due: 10-22-2019. Notified: 10-29-2019, 11-5-2019, 11-13-2019, 12-31-2019"</f>
        <v>2019-11-17  - Due: 10-22-2019. Notified: 10-29-2019, 11-5-2019, 11-13-2019, 12-31-2019</v>
      </c>
      <c r="G445" s="3" t="str">
        <f>"The brain that changes itself: stories of personal triumph from the frontiers of brain science"</f>
        <v>The brain that changes itself: stories of personal triumph from the frontiers of brain science</v>
      </c>
      <c r="H445" t="str">
        <f>"Doidge, Norman"</f>
        <v>Doidge, Norman</v>
      </c>
      <c r="I445">
        <v>21</v>
      </c>
      <c r="J445" s="2">
        <v>43714</v>
      </c>
      <c r="K445" s="1">
        <v>23</v>
      </c>
    </row>
    <row r="446" spans="1:11" ht="16" x14ac:dyDescent="0.2">
      <c r="A446">
        <v>329517</v>
      </c>
      <c r="B446" t="str">
        <f>"332.024 KIY"</f>
        <v>332.024 KIY</v>
      </c>
      <c r="C446" t="s">
        <v>3541</v>
      </c>
      <c r="D446" t="s">
        <v>3542</v>
      </c>
      <c r="E446">
        <v>5169044</v>
      </c>
      <c r="F446" s="3" t="str">
        <f>"2019-11-19  - Due: 10-24-2019. Notified: 10-31-2019, 11-7-2019, 11-15-2019, 12-31-2019"</f>
        <v>2019-11-19  - Due: 10-24-2019. Notified: 10-31-2019, 11-7-2019, 11-15-2019, 12-31-2019</v>
      </c>
      <c r="G446" s="3" t="str">
        <f>"Second chance: for your money, your life and our world"</f>
        <v>Second chance: for your money, your life and our world</v>
      </c>
      <c r="H446" t="str">
        <f>"Kiyosaki, Robert T. (1947-)"</f>
        <v>Kiyosaki, Robert T. (1947-)</v>
      </c>
      <c r="I446">
        <v>15</v>
      </c>
      <c r="J446" s="2">
        <v>43719</v>
      </c>
      <c r="K446" s="1">
        <v>23</v>
      </c>
    </row>
    <row r="447" spans="1:11" ht="16" x14ac:dyDescent="0.2">
      <c r="A447">
        <v>329607</v>
      </c>
      <c r="B447" t="str">
        <f>"B ARNOL"</f>
        <v>B ARNOL</v>
      </c>
      <c r="C447" t="s">
        <v>3541</v>
      </c>
      <c r="D447" t="s">
        <v>3542</v>
      </c>
      <c r="E447">
        <v>5161709</v>
      </c>
      <c r="F447" s="3" t="str">
        <f>"2019-12-28  - Due: 11-26-2019. Notified: 12-3-2019, 12-10-2019, 12-18-2019"</f>
        <v>2019-12-28  - Due: 11-26-2019. Notified: 12-3-2019, 12-10-2019, 12-18-2019</v>
      </c>
      <c r="G447" s="3" t="str">
        <f>"Prince Fly Guy"</f>
        <v>Prince Fly Guy</v>
      </c>
      <c r="H447" t="str">
        <f>"Arnold, Tedd"</f>
        <v>Arnold, Tedd</v>
      </c>
      <c r="I447">
        <v>43</v>
      </c>
      <c r="J447" s="2">
        <v>43759</v>
      </c>
      <c r="K447" s="1">
        <v>12</v>
      </c>
    </row>
    <row r="448" spans="1:11" ht="16" x14ac:dyDescent="0.2">
      <c r="A448">
        <v>329824</v>
      </c>
      <c r="B448" t="str">
        <f>"J 468.6 HAR"</f>
        <v>J 468.6 HAR</v>
      </c>
      <c r="C448" t="s">
        <v>3541</v>
      </c>
      <c r="D448" t="s">
        <v>3542</v>
      </c>
      <c r="E448">
        <v>5151483</v>
      </c>
      <c r="F448" s="3" t="str">
        <f>"2020-01-14  - Due: 12-15-2019. Notified: 12-22-2019, 12-29-2019, 1-6-2020"</f>
        <v>2020-01-14  - Due: 12-15-2019. Notified: 12-22-2019, 12-29-2019, 1-6-2020</v>
      </c>
      <c r="G448" s="3" t="str">
        <f>"La cosecha de calabazas"</f>
        <v>La cosecha de calabazas</v>
      </c>
      <c r="H448" t="str">
        <f>"Harris, Calvin, (1980-)"</f>
        <v>Harris, Calvin, (1980-)</v>
      </c>
      <c r="I448">
        <v>8</v>
      </c>
      <c r="J448" s="2">
        <v>43754</v>
      </c>
      <c r="K448" s="1">
        <v>30</v>
      </c>
    </row>
    <row r="449" spans="1:11" ht="32" x14ac:dyDescent="0.2">
      <c r="A449">
        <v>330054</v>
      </c>
      <c r="B449" t="str">
        <f>"J CHEVE"</f>
        <v>J CHEVE</v>
      </c>
      <c r="C449" t="s">
        <v>3545</v>
      </c>
      <c r="D449" t="s">
        <v>3542</v>
      </c>
      <c r="E449">
        <v>5127280</v>
      </c>
      <c r="F449" s="3" t="str">
        <f>"2019-08-27  - mew - WB - Member paid $15 and took book home.    8-9-2019  - BD - WB - emailed    8-9-2019  - ApP - Check In - WB - Water damage"</f>
        <v>2019-08-27  - mew - WB - Member paid $15 and took book home.    8-9-2019  - BD - WB - emailed    8-9-2019  - ApP - Check In - WB - Water damage</v>
      </c>
      <c r="G449" s="3" t="str">
        <f>"Battle for the nether : an unofficial Minecrafter's adventure"</f>
        <v>Battle for the nether : an unofficial Minecrafter's adventure</v>
      </c>
      <c r="H449" t="str">
        <f>"Cheverton, Mark."</f>
        <v>Cheverton, Mark.</v>
      </c>
      <c r="I449">
        <v>36</v>
      </c>
      <c r="J449" s="2">
        <v>43685</v>
      </c>
      <c r="K449" s="1">
        <v>15</v>
      </c>
    </row>
    <row r="450" spans="1:11" ht="16" x14ac:dyDescent="0.2">
      <c r="A450">
        <v>330056</v>
      </c>
      <c r="B450" t="str">
        <f>"J KEENE"</f>
        <v>J KEENE</v>
      </c>
      <c r="C450" t="s">
        <v>3541</v>
      </c>
      <c r="D450" t="s">
        <v>3542</v>
      </c>
      <c r="E450">
        <v>5121884</v>
      </c>
      <c r="F450" s="3" t="s">
        <v>3598</v>
      </c>
      <c r="G450" s="3" t="str">
        <f>"The clue in the diary"</f>
        <v>The clue in the diary</v>
      </c>
      <c r="H450" t="str">
        <f>"Keene, Carolyn"</f>
        <v>Keene, Carolyn</v>
      </c>
      <c r="I450">
        <v>12</v>
      </c>
      <c r="J450" s="2">
        <v>43667</v>
      </c>
      <c r="K450" s="1">
        <v>13</v>
      </c>
    </row>
    <row r="451" spans="1:11" ht="16" x14ac:dyDescent="0.2">
      <c r="A451">
        <v>330073</v>
      </c>
      <c r="B451" t="str">
        <f>"J SACHA"</f>
        <v>J SACHA</v>
      </c>
      <c r="C451" t="s">
        <v>3541</v>
      </c>
      <c r="D451" t="s">
        <v>3542</v>
      </c>
      <c r="E451" t="s">
        <v>3544</v>
      </c>
      <c r="F451" s="3" t="str">
        <f>"2019-09-06  - Inventory - "</f>
        <v xml:space="preserve">2019-09-06  - Inventory - </v>
      </c>
      <c r="G451" s="3" t="str">
        <f>"There's a boy in the girl's bathroom"</f>
        <v>There's a boy in the girl's bathroom</v>
      </c>
      <c r="H451" t="str">
        <f>"Sachar, Louis (1954-)"</f>
        <v>Sachar, Louis (1954-)</v>
      </c>
      <c r="I451">
        <v>21</v>
      </c>
      <c r="J451" s="2">
        <v>43626</v>
      </c>
      <c r="K451" s="1">
        <v>13</v>
      </c>
    </row>
    <row r="452" spans="1:11" ht="16" x14ac:dyDescent="0.2">
      <c r="A452">
        <v>330370</v>
      </c>
      <c r="B452" t="str">
        <f>"J 973 BAL"</f>
        <v>J 973 BAL</v>
      </c>
      <c r="C452" t="s">
        <v>3545</v>
      </c>
      <c r="D452" t="str">
        <f>"Tech Serv"</f>
        <v>Tech Serv</v>
      </c>
      <c r="E452" t="s">
        <v>3544</v>
      </c>
      <c r="F452" s="3" t="str">
        <f>"2019-07-24  - BD - Check In - LL - barcode damaged"</f>
        <v>2019-07-24  - BD - Check In - LL - barcode damaged</v>
      </c>
      <c r="G452" s="3" t="str">
        <f>"The 50 states: explore the U.S.A. with 50 fact-filled maps!"</f>
        <v>The 50 states: explore the U.S.A. with 50 fact-filled maps!</v>
      </c>
      <c r="H452" t="str">
        <f>"Balkan, Gabrielle,"</f>
        <v>Balkan, Gabrielle,</v>
      </c>
      <c r="I452">
        <v>30</v>
      </c>
      <c r="J452" s="2">
        <v>43656</v>
      </c>
      <c r="K452" s="1">
        <v>35</v>
      </c>
    </row>
    <row r="453" spans="1:11" ht="16" x14ac:dyDescent="0.2">
      <c r="A453">
        <v>330750</v>
      </c>
      <c r="B453" t="str">
        <f>"J 394.2 HAL BAI"</f>
        <v>J 394.2 HAL BAI</v>
      </c>
      <c r="C453" t="s">
        <v>3541</v>
      </c>
      <c r="D453" t="s">
        <v>3542</v>
      </c>
      <c r="E453">
        <v>5076623</v>
      </c>
      <c r="F453" s="3" t="str">
        <f>"2019-12-06  - Due: 11-7-2019. Notified: 11-14-2019, 11-21-2019, 12-2-2019, 1-21-2020"</f>
        <v>2019-12-06  - Due: 11-7-2019. Notified: 11-14-2019, 11-21-2019, 12-2-2019, 1-21-2020</v>
      </c>
      <c r="G453" s="3" t="str">
        <f>"No such thing"</f>
        <v>No such thing</v>
      </c>
      <c r="H453" t="str">
        <f>"Bailey, Ella"</f>
        <v>Bailey, Ella</v>
      </c>
      <c r="I453">
        <v>32</v>
      </c>
      <c r="J453" s="2">
        <v>43703</v>
      </c>
      <c r="K453" s="1">
        <v>23</v>
      </c>
    </row>
    <row r="454" spans="1:11" ht="48" x14ac:dyDescent="0.2">
      <c r="A454">
        <v>330855</v>
      </c>
      <c r="B454" t="str">
        <f>"J 394.2 CHR BER"</f>
        <v>J 394.2 CHR BER</v>
      </c>
      <c r="C454" t="s">
        <v>3541</v>
      </c>
      <c r="D454" t="s">
        <v>3542</v>
      </c>
      <c r="E454">
        <v>5140672</v>
      </c>
      <c r="F454" s="3" t="str">
        <f>"2019-11-05  - mm - LL - Member paid $9.00 for the missing book #330855.    9-6-2019  - ss - WB - member could not find. member emailed to say they will pay for item.    9-6-2019  - Due: 8-29-2019. Notified: 9-5-2019, 9-12-2019, 9-20-2019, 10-29-2019"</f>
        <v>2019-11-05  - mm - LL - Member paid $9.00 for the missing book #330855.    9-6-2019  - ss - WB - member could not find. member emailed to say they will pay for item.    9-6-2019  - Due: 8-29-2019. Notified: 9-5-2019, 9-12-2019, 9-20-2019, 10-29-2019</v>
      </c>
      <c r="G454" s="3" t="str">
        <f>"The very first Christmas"</f>
        <v>The very first Christmas</v>
      </c>
      <c r="H454" t="str">
        <f>"Berenstain, Jan (1923-2012.)"</f>
        <v>Berenstain, Jan (1923-2012.)</v>
      </c>
      <c r="I454">
        <v>8</v>
      </c>
      <c r="J454" s="2">
        <v>43660</v>
      </c>
      <c r="K454" s="1">
        <v>9</v>
      </c>
    </row>
    <row r="455" spans="1:11" ht="16" x14ac:dyDescent="0.2">
      <c r="A455">
        <v>331008</v>
      </c>
      <c r="B455" t="str">
        <f>"J 394.2 CHR GIN"</f>
        <v>J 394.2 CHR GIN</v>
      </c>
      <c r="C455" t="s">
        <v>3541</v>
      </c>
      <c r="D455" t="s">
        <v>3542</v>
      </c>
      <c r="E455">
        <v>5169973</v>
      </c>
      <c r="F455" s="3" t="str">
        <f>"2020-01-18  - Due: 12-19-2019. Notified: 12-27-2019, 1-2-2020, 1-10-2020"</f>
        <v>2020-01-18  - Due: 12-19-2019. Notified: 12-27-2019, 1-2-2020, 1-10-2020</v>
      </c>
      <c r="G455" s="3" t="str">
        <f>"Christmas in America"</f>
        <v>Christmas in America</v>
      </c>
      <c r="H455" t="str">
        <f>"Gingrich, Callista"</f>
        <v>Gingrich, Callista</v>
      </c>
      <c r="I455">
        <v>13</v>
      </c>
      <c r="J455" s="2">
        <v>43804</v>
      </c>
      <c r="K455" s="1">
        <v>22</v>
      </c>
    </row>
    <row r="456" spans="1:11" ht="32" x14ac:dyDescent="0.2">
      <c r="A456">
        <v>331205</v>
      </c>
      <c r="B456" t="str">
        <f>"J SALER"</f>
        <v>J SALER</v>
      </c>
      <c r="C456" t="s">
        <v>3541</v>
      </c>
      <c r="D456" t="s">
        <v>3542</v>
      </c>
      <c r="E456">
        <v>5078879</v>
      </c>
      <c r="F456" s="3" t="str">
        <f>"2019-12-29  - mm - WB - Member will check with her son if he has this book.    11-27-2019  - Due: 11-1-2019. Notified: 11-8-2019, 11-15-2019, 11-22-2019, 12-31-2019"</f>
        <v>2019-12-29  - mm - WB - Member will check with her son if he has this book.    11-27-2019  - Due: 11-1-2019. Notified: 11-8-2019, 11-15-2019, 11-22-2019, 12-31-2019</v>
      </c>
      <c r="G456" s="3" t="str">
        <f>"The inquisitor's mark"</f>
        <v>The inquisitor's mark</v>
      </c>
      <c r="H456" t="str">
        <f>"Salerni, Dianne K."</f>
        <v>Salerni, Dianne K.</v>
      </c>
      <c r="I456">
        <v>19</v>
      </c>
      <c r="J456" s="2">
        <v>43756</v>
      </c>
      <c r="K456" s="1">
        <v>22</v>
      </c>
    </row>
    <row r="457" spans="1:11" ht="32" x14ac:dyDescent="0.2">
      <c r="A457">
        <v>331211</v>
      </c>
      <c r="B457" t="str">
        <f>"J 741.5 MCD"</f>
        <v>J 741.5 MCD</v>
      </c>
      <c r="C457" t="s">
        <v>3541</v>
      </c>
      <c r="D457" t="s">
        <v>3542</v>
      </c>
      <c r="E457">
        <v>5067818</v>
      </c>
      <c r="F457" s="3" t="str">
        <f>"2019-09-13  - kh - LL - Member paid $15 for lost book via check and partial payment from reimbursements.    9-9-2019  - Due: 8-12-2019. Notified: 8-19-2019, 8-26-2019, 9-4-2019"</f>
        <v>2019-09-13  - kh - LL - Member paid $15 for lost book via check and partial payment from reimbursements.    9-9-2019  - Due: 8-12-2019. Notified: 8-19-2019, 8-26-2019, 9-4-2019</v>
      </c>
      <c r="G457" s="3" t="str">
        <f>"The Mutts winter diaries"</f>
        <v>The Mutts winter diaries</v>
      </c>
      <c r="H457" t="str">
        <f>"McDonnell, Patrick"</f>
        <v>McDonnell, Patrick</v>
      </c>
      <c r="I457">
        <v>28</v>
      </c>
      <c r="J457" s="2">
        <v>43651</v>
      </c>
      <c r="K457" s="1">
        <v>15</v>
      </c>
    </row>
    <row r="458" spans="1:11" ht="16" x14ac:dyDescent="0.2">
      <c r="A458">
        <v>331237</v>
      </c>
      <c r="B458" t="str">
        <f>"J QUINN"</f>
        <v>J QUINN</v>
      </c>
      <c r="C458" t="s">
        <v>3541</v>
      </c>
      <c r="D458" t="s">
        <v>3542</v>
      </c>
      <c r="E458">
        <v>5183302</v>
      </c>
      <c r="F458" s="3" t="e">
        <v>#N/A</v>
      </c>
      <c r="G458" s="3" t="str">
        <f>"Woof: a Bowser and Birdie novel"</f>
        <v>Woof: a Bowser and Birdie novel</v>
      </c>
      <c r="H458" t="str">
        <f>"Quinn, Spencer."</f>
        <v>Quinn, Spencer.</v>
      </c>
      <c r="I458">
        <v>30</v>
      </c>
      <c r="J458" s="2">
        <v>43733</v>
      </c>
      <c r="K458" s="1">
        <v>22</v>
      </c>
    </row>
    <row r="459" spans="1:11" ht="16" x14ac:dyDescent="0.2">
      <c r="A459">
        <v>331621</v>
      </c>
      <c r="B459" t="str">
        <f>"E HIGGI"</f>
        <v>E HIGGI</v>
      </c>
      <c r="C459" t="s">
        <v>3541</v>
      </c>
      <c r="D459" t="s">
        <v>3542</v>
      </c>
      <c r="E459">
        <v>5203045</v>
      </c>
      <c r="F459" s="3" t="str">
        <f>"2020-01-29  - Due: 1-2-2020. Notified: 1-9-2020, 1-16-2020, 1-24-2020"</f>
        <v>2020-01-29  - Due: 1-2-2020. Notified: 1-9-2020, 1-16-2020, 1-24-2020</v>
      </c>
      <c r="G459" s="3" t="str">
        <f>"Mother Bruce"</f>
        <v>Mother Bruce</v>
      </c>
      <c r="H459" t="str">
        <f>"Higgins, Ryan T."</f>
        <v>Higgins, Ryan T.</v>
      </c>
      <c r="I459">
        <v>32</v>
      </c>
      <c r="J459" s="2">
        <v>43817</v>
      </c>
      <c r="K459" s="1">
        <v>23</v>
      </c>
    </row>
    <row r="460" spans="1:11" ht="16" x14ac:dyDescent="0.2">
      <c r="A460">
        <v>331657</v>
      </c>
      <c r="B460" t="str">
        <f>"645 MIC"</f>
        <v>645 MIC</v>
      </c>
      <c r="C460" t="s">
        <v>3545</v>
      </c>
      <c r="D460" t="s">
        <v>3542</v>
      </c>
      <c r="E460">
        <v>5121989</v>
      </c>
      <c r="F460" s="3" t="e">
        <v>#N/A</v>
      </c>
      <c r="G460" s="3" t="str">
        <f>"The inspired room: simple ideas to love the home you have"</f>
        <v>The inspired room: simple ideas to love the home you have</v>
      </c>
      <c r="H460" t="str">
        <f>"Michaels, Melissa, (1967-)"</f>
        <v>Michaels, Melissa, (1967-)</v>
      </c>
      <c r="I460">
        <v>23</v>
      </c>
      <c r="J460" s="2">
        <v>43704</v>
      </c>
      <c r="K460" s="1">
        <v>32</v>
      </c>
    </row>
    <row r="461" spans="1:11" ht="32" x14ac:dyDescent="0.2">
      <c r="A461">
        <v>331785</v>
      </c>
      <c r="B461" t="str">
        <f>"641.51 BOY"</f>
        <v>641.51 BOY</v>
      </c>
      <c r="C461" t="s">
        <v>3541</v>
      </c>
      <c r="D461" t="s">
        <v>3542</v>
      </c>
      <c r="E461" t="s">
        <v>3544</v>
      </c>
      <c r="F461" s="3" t="str">
        <f>"2020-01-29  - TL - Is on reserve. Checked 3 times, couldn't find it."</f>
        <v>2020-01-29  - TL - Is on reserve. Checked 3 times, couldn't find it.</v>
      </c>
      <c r="G461" s="3" t="str">
        <f>"The heal your gut cookbook: nutrient-dense recipes for intestinal health using the GAPS diet"</f>
        <v>The heal your gut cookbook: nutrient-dense recipes for intestinal health using the GAPS diet</v>
      </c>
      <c r="H461" t="str">
        <f>"Boynton, Hilary."</f>
        <v>Boynton, Hilary.</v>
      </c>
      <c r="I461">
        <v>18</v>
      </c>
      <c r="J461" s="2">
        <v>43640</v>
      </c>
      <c r="K461" s="1">
        <v>35</v>
      </c>
    </row>
    <row r="462" spans="1:11" ht="16" x14ac:dyDescent="0.2">
      <c r="A462">
        <v>331841</v>
      </c>
      <c r="B462" t="str">
        <f>"J STEWA"</f>
        <v>J STEWA</v>
      </c>
      <c r="C462" t="s">
        <v>3541</v>
      </c>
      <c r="D462" t="s">
        <v>3542</v>
      </c>
      <c r="E462">
        <v>5174427</v>
      </c>
      <c r="F462" s="3" t="str">
        <f>"2019-12-13  - BD - WB - paying by credit card    12-13-2019  - Due: 12-2-2019. Notified: 12-9-2019"</f>
        <v>2019-12-13  - BD - WB - paying by credit card    12-13-2019  - Due: 12-2-2019. Notified: 12-9-2019</v>
      </c>
      <c r="G462" s="3" t="str">
        <f>"The mysterious Benedict Society"</f>
        <v>The mysterious Benedict Society</v>
      </c>
      <c r="H462" t="str">
        <f>"Stewart, Trenton Lee"</f>
        <v>Stewart, Trenton Lee</v>
      </c>
      <c r="I462">
        <v>51</v>
      </c>
      <c r="J462" s="2">
        <v>43759</v>
      </c>
      <c r="K462" s="1">
        <v>24</v>
      </c>
    </row>
    <row r="463" spans="1:11" ht="16" x14ac:dyDescent="0.2">
      <c r="A463">
        <v>332330</v>
      </c>
      <c r="B463" t="str">
        <f>"J LUPIC"</f>
        <v>J LUPIC</v>
      </c>
      <c r="C463" t="s">
        <v>3541</v>
      </c>
      <c r="D463" t="s">
        <v>3542</v>
      </c>
      <c r="E463">
        <v>5212583</v>
      </c>
      <c r="F463" s="3" t="str">
        <f>"2019-09-11  - Due: 8-14-2019. Notified: 8-21-2019, 8-28-2019, 9-4-2019, 10-29-2019"</f>
        <v>2019-09-11  - Due: 8-14-2019. Notified: 8-21-2019, 8-28-2019, 9-4-2019, 10-29-2019</v>
      </c>
      <c r="G463" s="3" t="str">
        <f>"The extra yard"</f>
        <v>The extra yard</v>
      </c>
      <c r="H463" t="str">
        <f>"Lupica, Mike"</f>
        <v>Lupica, Mike</v>
      </c>
      <c r="I463">
        <v>25</v>
      </c>
      <c r="J463" s="2">
        <v>43677</v>
      </c>
      <c r="K463" s="1">
        <v>22</v>
      </c>
    </row>
    <row r="464" spans="1:11" ht="32" x14ac:dyDescent="0.2">
      <c r="A464">
        <v>332595</v>
      </c>
      <c r="B464" t="str">
        <f>"J GUTMA"</f>
        <v>J GUTMA</v>
      </c>
      <c r="C464" t="s">
        <v>3541</v>
      </c>
      <c r="D464" t="s">
        <v>3542</v>
      </c>
      <c r="E464">
        <v>5114076</v>
      </c>
      <c r="F464" s="3" t="str">
        <f>"2019-09-25  - Tess - WB - Patron called twice, he says he returned the book. I marked it missing.    9-25-2019  - Due: 9-25-2019."</f>
        <v>2019-09-25  - Tess - WB - Patron called twice, he says he returned the book. I marked it missing.    9-25-2019  - Due: 9-25-2019.</v>
      </c>
      <c r="G464" s="3" t="str">
        <f>"Mrs. Lilly is silly!"</f>
        <v>Mrs. Lilly is silly!</v>
      </c>
      <c r="H464" t="str">
        <f>"Gutman, Dan"</f>
        <v>Gutman, Dan</v>
      </c>
      <c r="I464">
        <v>39</v>
      </c>
      <c r="J464" s="2">
        <v>43697</v>
      </c>
      <c r="K464" s="1">
        <v>10</v>
      </c>
    </row>
    <row r="465" spans="1:11" ht="16" x14ac:dyDescent="0.2">
      <c r="A465">
        <v>332750</v>
      </c>
      <c r="B465" t="str">
        <f>"J 781.66 MOR"</f>
        <v>J 781.66 MOR</v>
      </c>
      <c r="C465" t="s">
        <v>3541</v>
      </c>
      <c r="D465" t="s">
        <v>3542</v>
      </c>
      <c r="E465" t="s">
        <v>3544</v>
      </c>
      <c r="F465" s="3" t="str">
        <f>"2019-11-08  - Inventory - "</f>
        <v xml:space="preserve">2019-11-08  - Inventory - </v>
      </c>
      <c r="G465" s="3" t="str">
        <f>"What is punk?"</f>
        <v>What is punk?</v>
      </c>
      <c r="H465" t="str">
        <f>"Morse, Eric"</f>
        <v>Morse, Eric</v>
      </c>
      <c r="I465">
        <v>0</v>
      </c>
      <c r="K465" s="1">
        <v>21</v>
      </c>
    </row>
    <row r="466" spans="1:11" ht="32" x14ac:dyDescent="0.2">
      <c r="A466">
        <v>333067</v>
      </c>
      <c r="B466" t="str">
        <f>"500 THI"</f>
        <v>500 THI</v>
      </c>
      <c r="C466" t="s">
        <v>3541</v>
      </c>
      <c r="D466" t="s">
        <v>3542</v>
      </c>
      <c r="E466">
        <v>5141049</v>
      </c>
      <c r="F466" s="3" t="str">
        <f>"2019-03-02  - Due: 2-3-2019. Notified: 2-10-2019, 2-17-2019, 2-25-2019, 4-17-2019"</f>
        <v>2019-03-02  - Due: 2-3-2019. Notified: 2-10-2019, 2-17-2019, 2-25-2019, 4-17-2019</v>
      </c>
      <c r="G466" s="3" t="str">
        <f>"This explains everything: deep, beautiful, and elegant theories of how the world works"</f>
        <v>This explains everything: deep, beautiful, and elegant theories of how the world works</v>
      </c>
      <c r="I466">
        <v>5</v>
      </c>
      <c r="J466" s="2">
        <v>43485</v>
      </c>
      <c r="K466" s="1">
        <v>21</v>
      </c>
    </row>
    <row r="467" spans="1:11" ht="16" x14ac:dyDescent="0.2">
      <c r="A467">
        <v>333169</v>
      </c>
      <c r="B467" t="str">
        <f>"J 636.933 MAT"</f>
        <v>J 636.933 MAT</v>
      </c>
      <c r="C467" t="s">
        <v>3541</v>
      </c>
      <c r="D467" t="s">
        <v>3542</v>
      </c>
      <c r="E467" t="s">
        <v>3544</v>
      </c>
      <c r="F467" s="3" t="str">
        <f>"2020-01-06  - cab - "</f>
        <v xml:space="preserve">2020-01-06  - cab - </v>
      </c>
      <c r="G467" s="3" t="s">
        <v>3599</v>
      </c>
      <c r="H467" t="str">
        <f>"Matzke, Ann H."</f>
        <v>Matzke, Ann H.</v>
      </c>
      <c r="I467">
        <v>9</v>
      </c>
      <c r="J467" s="2">
        <v>43746</v>
      </c>
      <c r="K467" s="1">
        <v>38</v>
      </c>
    </row>
    <row r="468" spans="1:11" ht="16" x14ac:dyDescent="0.2">
      <c r="A468">
        <v>333349</v>
      </c>
      <c r="B468" t="str">
        <f>"YA WALLA"</f>
        <v>YA WALLA</v>
      </c>
      <c r="C468" t="s">
        <v>3541</v>
      </c>
      <c r="D468" t="s">
        <v>3542</v>
      </c>
      <c r="E468">
        <v>5126482</v>
      </c>
      <c r="F468" s="3" t="str">
        <f>"2019-07-19  - Due: 6-22-2019. Notified: 6-29-2019, 7-6-2019, 7-15-2019, 9-24-2019"</f>
        <v>2019-07-19  - Due: 6-22-2019. Notified: 6-29-2019, 7-6-2019, 7-15-2019, 9-24-2019</v>
      </c>
      <c r="G468" s="3" t="str">
        <f>"Thanks for the trouble"</f>
        <v>Thanks for the trouble</v>
      </c>
      <c r="H468" t="str">
        <f>"Wallach, Tommy."</f>
        <v>Wallach, Tommy.</v>
      </c>
      <c r="I468">
        <v>6</v>
      </c>
      <c r="J468" s="2">
        <v>43624</v>
      </c>
      <c r="K468" s="1">
        <v>23</v>
      </c>
    </row>
    <row r="469" spans="1:11" ht="16" x14ac:dyDescent="0.2">
      <c r="A469">
        <v>333773</v>
      </c>
      <c r="B469" t="str">
        <f>"J RAWLS"</f>
        <v>J RAWLS</v>
      </c>
      <c r="C469" t="s">
        <v>3541</v>
      </c>
      <c r="D469" t="s">
        <v>3542</v>
      </c>
      <c r="E469" t="s">
        <v>3544</v>
      </c>
      <c r="F469" s="3" t="str">
        <f>"2019-08-29  - BD - 3 searches completed at WB"</f>
        <v>2019-08-29  - BD - 3 searches completed at WB</v>
      </c>
      <c r="G469" s="3" t="str">
        <f>"Where the red fern grows: the story of two dogs and a boy"</f>
        <v>Where the red fern grows: the story of two dogs and a boy</v>
      </c>
      <c r="H469" t="str">
        <f>"Rawls, Wilson"</f>
        <v>Rawls, Wilson</v>
      </c>
      <c r="I469">
        <v>24</v>
      </c>
      <c r="J469" s="2">
        <v>43673</v>
      </c>
      <c r="K469" s="1">
        <v>22</v>
      </c>
    </row>
    <row r="470" spans="1:11" ht="16" x14ac:dyDescent="0.2">
      <c r="A470">
        <v>333787</v>
      </c>
      <c r="B470" t="str">
        <f>"J 616.891 ABD"</f>
        <v>J 616.891 ABD</v>
      </c>
      <c r="C470" t="s">
        <v>3541</v>
      </c>
      <c r="D470" t="s">
        <v>3542</v>
      </c>
      <c r="E470" t="s">
        <v>3544</v>
      </c>
      <c r="F470" s="3" t="str">
        <f>"2019-06-19  - TL - Is on reserve. Checked 3 times, couldn't find it."</f>
        <v>2019-06-19  - TL - Is on reserve. Checked 3 times, couldn't find it.</v>
      </c>
      <c r="G470" s="3" t="str">
        <f>"A manual for Marco"</f>
        <v>A manual for Marco</v>
      </c>
      <c r="H470" t="str">
        <f>"Abdullah, Shaila, (1971-)"</f>
        <v>Abdullah, Shaila, (1971-)</v>
      </c>
      <c r="I470">
        <v>5</v>
      </c>
      <c r="J470" s="2">
        <v>43044</v>
      </c>
      <c r="K470" s="1">
        <v>32</v>
      </c>
    </row>
    <row r="471" spans="1:11" ht="32" x14ac:dyDescent="0.2">
      <c r="A471">
        <v>334191</v>
      </c>
      <c r="B471" t="str">
        <f>"J 741.5 DIS"</f>
        <v>J 741.5 DIS</v>
      </c>
      <c r="C471" t="s">
        <v>3543</v>
      </c>
      <c r="D471" t="s">
        <v>3542</v>
      </c>
      <c r="E471">
        <v>5121393</v>
      </c>
      <c r="F471" s="3" t="str">
        <f>"2019-05-20  - ec - WB - book was checked out many times    5-7-2019  - Due: 4-10-2019. Notified: 4-17-2019, 4-24-2019, 5-1-2019"</f>
        <v>2019-05-20  - ec - WB - book was checked out many times    5-7-2019  - Due: 4-10-2019. Notified: 4-17-2019, 4-24-2019, 5-1-2019</v>
      </c>
      <c r="G471" s="3" t="str">
        <f>"Disney Princess comics treasury"</f>
        <v>Disney Princess comics treasury</v>
      </c>
      <c r="I471">
        <v>41</v>
      </c>
      <c r="J471" s="2">
        <v>43526</v>
      </c>
      <c r="K471" s="1">
        <v>25</v>
      </c>
    </row>
    <row r="472" spans="1:11" ht="16" x14ac:dyDescent="0.2">
      <c r="A472">
        <v>334220</v>
      </c>
      <c r="B472" t="str">
        <f>"J LEGO"</f>
        <v>J LEGO</v>
      </c>
      <c r="C472" t="s">
        <v>3560</v>
      </c>
      <c r="D472" t="s">
        <v>3542</v>
      </c>
      <c r="E472">
        <v>5125078</v>
      </c>
      <c r="F472" s="3" t="str">
        <f>"2020-01-11  - Tess - WB - Book lost    1-11-2020  - Due: 1-8-2020."</f>
        <v>2020-01-11  - Tess - WB - Book lost    1-11-2020  - Due: 1-8-2020.</v>
      </c>
      <c r="G472" s="3" t="str">
        <f>"LEGO Star Wars: Yoda's secret missions"</f>
        <v>LEGO Star Wars: Yoda's secret missions</v>
      </c>
      <c r="H472" t="str">
        <f>"Landers, Ace."</f>
        <v>Landers, Ace.</v>
      </c>
      <c r="I472">
        <v>26</v>
      </c>
      <c r="J472" s="2">
        <v>43813</v>
      </c>
      <c r="K472" s="1">
        <v>10</v>
      </c>
    </row>
    <row r="473" spans="1:11" ht="16" x14ac:dyDescent="0.2">
      <c r="A473">
        <v>334262</v>
      </c>
      <c r="B473" t="str">
        <f>"914.95 LON"</f>
        <v>914.95 LON</v>
      </c>
      <c r="C473" t="s">
        <v>3541</v>
      </c>
      <c r="D473" t="s">
        <v>3542</v>
      </c>
      <c r="E473">
        <v>5108854</v>
      </c>
      <c r="F473" s="3" t="str">
        <f>"2020-01-15  - Due: 12-16-2019. Notified: 12-23-2019, 12-30-2019, 1-6-2020"</f>
        <v>2020-01-15  - Due: 12-16-2019. Notified: 12-23-2019, 12-30-2019, 1-6-2020</v>
      </c>
      <c r="G473" s="3" t="str">
        <f>"Lonely Planet Greece"</f>
        <v>Lonely Planet Greece</v>
      </c>
      <c r="H473" t="str">
        <f>"Miller, Korina"</f>
        <v>Miller, Korina</v>
      </c>
      <c r="I473">
        <v>21</v>
      </c>
      <c r="J473" s="2">
        <v>43774</v>
      </c>
      <c r="K473" s="1">
        <v>30</v>
      </c>
    </row>
    <row r="474" spans="1:11" ht="32" x14ac:dyDescent="0.2">
      <c r="A474">
        <v>334549</v>
      </c>
      <c r="B474" t="str">
        <f>"J 641.5 GLE"</f>
        <v>J 641.5 GLE</v>
      </c>
      <c r="C474" t="s">
        <v>3541</v>
      </c>
      <c r="D474" t="s">
        <v>3542</v>
      </c>
      <c r="E474">
        <v>5167837</v>
      </c>
      <c r="F474" s="3" t="str">
        <f>"2020-01-05  - Due: 12-6-2019. Notified: 12-14-2019, 12-20-2019, 12-27-2019"</f>
        <v>2020-01-05  - Due: 12-6-2019. Notified: 12-14-2019, 12-20-2019, 12-27-2019</v>
      </c>
      <c r="G474" s="3" t="str">
        <f>"The forest feast for kids: colorful vegetarian recipes that are simple to make"</f>
        <v>The forest feast for kids: colorful vegetarian recipes that are simple to make</v>
      </c>
      <c r="H474" t="str">
        <f>"Gleeson, Erin."</f>
        <v>Gleeson, Erin.</v>
      </c>
      <c r="I474">
        <v>23</v>
      </c>
      <c r="J474" s="2">
        <v>43763</v>
      </c>
      <c r="K474" s="1">
        <v>25</v>
      </c>
    </row>
    <row r="475" spans="1:11" ht="48" x14ac:dyDescent="0.2">
      <c r="A475">
        <v>334605</v>
      </c>
      <c r="B475" t="str">
        <f>"_SUO 658.8 SCO"</f>
        <v>_SUO 658.8 SCO</v>
      </c>
      <c r="C475" t="s">
        <v>3541</v>
      </c>
      <c r="D475" t="s">
        <v>3542</v>
      </c>
      <c r="E475">
        <v>5203600</v>
      </c>
      <c r="F475" s="3" t="str">
        <f>"2019-10-02  - Due: 9-6-2019. Notified: 9-13-2019, 9-20-2019, 9-27-2019, 11-19-2019"</f>
        <v>2019-10-02  - Due: 9-6-2019. Notified: 9-13-2019, 9-20-2019, 9-27-2019, 11-19-2019</v>
      </c>
      <c r="G475" s="3" t="str">
        <f>"The new rules of marketing &amp; PR: how to use social media, online video, mobile applications, blogs, news releases, and viral marketing to reach buyers directly"</f>
        <v>The new rules of marketing &amp; PR: how to use social media, online video, mobile applications, blogs, news releases, and viral marketing to reach buyers directly</v>
      </c>
      <c r="H475" t="str">
        <f>"Scott, David Meerman"</f>
        <v>Scott, David Meerman</v>
      </c>
      <c r="I475">
        <v>3</v>
      </c>
      <c r="J475" s="2">
        <v>43349</v>
      </c>
      <c r="K475" s="1">
        <v>29</v>
      </c>
    </row>
    <row r="476" spans="1:11" ht="16" x14ac:dyDescent="0.2">
      <c r="A476">
        <v>334968</v>
      </c>
      <c r="B476" t="str">
        <f>"J DISNE"</f>
        <v>J DISNE</v>
      </c>
      <c r="C476" t="s">
        <v>3545</v>
      </c>
      <c r="D476" t="str">
        <f>"Tech Serv"</f>
        <v>Tech Serv</v>
      </c>
      <c r="E476" t="s">
        <v>3544</v>
      </c>
      <c r="F476" s="3" t="str">
        <f>"2019-12-12  - TL - Check In - LL - This is a graphic novel. Label needs to be changed."</f>
        <v>2019-12-12  - TL - Check In - LL - This is a graphic novel. Label needs to be changed.</v>
      </c>
      <c r="G476" s="3" t="str">
        <f>"Tinker Bell and the lost treasure"</f>
        <v>Tinker Bell and the lost treasure</v>
      </c>
      <c r="H476" t="str">
        <f>"Morris, Kimberly."</f>
        <v>Morris, Kimberly.</v>
      </c>
      <c r="I476">
        <v>13</v>
      </c>
      <c r="J476" s="2">
        <v>43788</v>
      </c>
      <c r="K476" s="1">
        <v>13</v>
      </c>
    </row>
    <row r="477" spans="1:11" ht="32" x14ac:dyDescent="0.2">
      <c r="A477">
        <v>335018</v>
      </c>
      <c r="B477" t="str">
        <f>"523.1 GAL"</f>
        <v>523.1 GAL</v>
      </c>
      <c r="C477" t="s">
        <v>3541</v>
      </c>
      <c r="D477" t="s">
        <v>3542</v>
      </c>
      <c r="E477">
        <v>5203161</v>
      </c>
      <c r="F477" s="3" t="str">
        <f>"2019-11-21  - Due: 10-26-2019. Notified: 11-2-2019, 11-9-2019, 11-18-2019, 12-31-2019"</f>
        <v>2019-11-21  - Due: 10-26-2019. Notified: 11-2-2019, 11-9-2019, 11-18-2019, 12-31-2019</v>
      </c>
      <c r="G477" s="3" t="str">
        <f>"The universe in your hand: a journey through space, time, and beyond"</f>
        <v>The universe in your hand: a journey through space, time, and beyond</v>
      </c>
      <c r="H477" t="str">
        <f>"Galfard, Christophe"</f>
        <v>Galfard, Christophe</v>
      </c>
      <c r="I477">
        <v>15</v>
      </c>
      <c r="J477" s="2">
        <v>43699</v>
      </c>
      <c r="K477" s="1">
        <v>33</v>
      </c>
    </row>
    <row r="478" spans="1:11" ht="48" x14ac:dyDescent="0.2">
      <c r="A478">
        <v>335252</v>
      </c>
      <c r="B478" t="str">
        <f>"616.89 KUT"</f>
        <v>616.89 KUT</v>
      </c>
      <c r="C478" t="s">
        <v>3541</v>
      </c>
      <c r="D478" t="s">
        <v>3542</v>
      </c>
      <c r="E478">
        <v>5175036</v>
      </c>
      <c r="F478" s="3" t="str">
        <f>"2019-09-17  - Due: 8-20-2019. Notified: 8-27-2019, 9-3-2019, 9-11-2019, 10-29-2019"</f>
        <v>2019-09-17  - Due: 8-20-2019. Notified: 8-27-2019, 9-3-2019, 9-11-2019, 10-29-2019</v>
      </c>
      <c r="G478" s="3" t="str">
        <f>"Kids in the syndrome mix of ADHD, LD, autism spectrum, Tourette's, anxiety and more!: the one-stop guide for parents, teachers, and other professionals"</f>
        <v>Kids in the syndrome mix of ADHD, LD, autism spectrum, Tourette's, anxiety and more!: the one-stop guide for parents, teachers, and other professionals</v>
      </c>
      <c r="H478" t="str">
        <f>"Kutscher, Martin L."</f>
        <v>Kutscher, Martin L.</v>
      </c>
      <c r="I478">
        <v>9</v>
      </c>
      <c r="J478" s="2">
        <v>43670</v>
      </c>
      <c r="K478" s="1">
        <v>25</v>
      </c>
    </row>
    <row r="479" spans="1:11" ht="16" x14ac:dyDescent="0.2">
      <c r="A479">
        <v>335293</v>
      </c>
      <c r="B479" t="str">
        <f>"J 741.5 BEL"</f>
        <v>J 741.5 BEL</v>
      </c>
      <c r="C479" t="s">
        <v>3541</v>
      </c>
      <c r="D479" t="s">
        <v>3542</v>
      </c>
      <c r="E479">
        <v>5177587</v>
      </c>
      <c r="F479" s="3" t="str">
        <f>"2019-07-09  - Due: 6-12-2019. Notified: 6-19-2019, 6-26-2019, 7-3-2019, 9-24-2019"</f>
        <v>2019-07-09  - Due: 6-12-2019. Notified: 6-19-2019, 6-26-2019, 7-3-2019, 9-24-2019</v>
      </c>
      <c r="G479" s="3" t="str">
        <f>"I am Pusheen the cat"</f>
        <v>I am Pusheen the cat</v>
      </c>
      <c r="H479" t="str">
        <f>"Belton, Claire"</f>
        <v>Belton, Claire</v>
      </c>
      <c r="I479">
        <v>36</v>
      </c>
      <c r="J479" s="2">
        <v>43571</v>
      </c>
      <c r="K479" s="1">
        <v>20</v>
      </c>
    </row>
    <row r="480" spans="1:11" ht="16" x14ac:dyDescent="0.2">
      <c r="A480">
        <v>335570</v>
      </c>
      <c r="B480" t="str">
        <f>"J 741.5 DAV"</f>
        <v>J 741.5 DAV</v>
      </c>
      <c r="C480" t="s">
        <v>3545</v>
      </c>
      <c r="D480" t="str">
        <f>"Tech Serv"</f>
        <v>Tech Serv</v>
      </c>
      <c r="E480" t="s">
        <v>3544</v>
      </c>
      <c r="F480" s="3" t="str">
        <f>"2020-01-29  - cc - Check In - WB - Damaged"</f>
        <v>2020-01-29  - cc - Check In - WB - Damaged</v>
      </c>
      <c r="G480" s="3" t="str">
        <f>"Garfield fat cat 3-pack, v.13"</f>
        <v>Garfield fat cat 3-pack, v.13</v>
      </c>
      <c r="H480" t="str">
        <f>"Davis, Jim (1945 July 28-)"</f>
        <v>Davis, Jim (1945 July 28-)</v>
      </c>
      <c r="I480">
        <v>63</v>
      </c>
      <c r="J480" s="2">
        <v>43845</v>
      </c>
      <c r="K480" s="1">
        <v>22</v>
      </c>
    </row>
    <row r="481" spans="1:11" ht="16" x14ac:dyDescent="0.2">
      <c r="A481">
        <v>335832</v>
      </c>
      <c r="B481" t="str">
        <f>"F STEPH"</f>
        <v>F STEPH</v>
      </c>
      <c r="C481" t="s">
        <v>3541</v>
      </c>
      <c r="D481" t="s">
        <v>3542</v>
      </c>
      <c r="E481" t="s">
        <v>3544</v>
      </c>
      <c r="F481" s="3" t="str">
        <f>"2019-12-08  - cab - on reserve list 3 days"</f>
        <v>2019-12-08  - cab - on reserve list 3 days</v>
      </c>
      <c r="G481" s="3" t="s">
        <v>3600</v>
      </c>
      <c r="H481" t="str">
        <f>"Stephenson, Neal"</f>
        <v>Stephenson, Neal</v>
      </c>
      <c r="I481">
        <v>13</v>
      </c>
      <c r="J481" s="2">
        <v>43724</v>
      </c>
      <c r="K481" s="1">
        <v>23</v>
      </c>
    </row>
    <row r="482" spans="1:11" ht="16" x14ac:dyDescent="0.2">
      <c r="A482">
        <v>335852</v>
      </c>
      <c r="B482" t="str">
        <f>"J DAHL"</f>
        <v>J DAHL</v>
      </c>
      <c r="C482" t="s">
        <v>3541</v>
      </c>
      <c r="D482" t="s">
        <v>3542</v>
      </c>
      <c r="E482" t="s">
        <v>3544</v>
      </c>
      <c r="F482" s="3" t="str">
        <f>"2019-09-13  - Inventory - "</f>
        <v xml:space="preserve">2019-09-13  - Inventory - </v>
      </c>
      <c r="G482" s="3" t="str">
        <f>"The BFG"</f>
        <v>The BFG</v>
      </c>
      <c r="H482" t="str">
        <f>"Dahl, Roald"</f>
        <v>Dahl, Roald</v>
      </c>
      <c r="I482">
        <v>23</v>
      </c>
      <c r="J482" s="2">
        <v>43712</v>
      </c>
      <c r="K482" s="1">
        <v>13</v>
      </c>
    </row>
    <row r="483" spans="1:11" ht="16" x14ac:dyDescent="0.2">
      <c r="A483">
        <v>335947</v>
      </c>
      <c r="B483" t="str">
        <f>"E SCOTT"</f>
        <v>E SCOTT</v>
      </c>
      <c r="C483" t="s">
        <v>3541</v>
      </c>
      <c r="D483" t="s">
        <v>3542</v>
      </c>
      <c r="E483">
        <v>5206687</v>
      </c>
      <c r="F483" s="3" t="str">
        <f>"2020-01-09  - Due: 12-10-2019. Notified: 12-17-2019, 12-27-2019, 1-3-2020"</f>
        <v>2020-01-09  - Due: 12-10-2019. Notified: 12-17-2019, 12-27-2019, 1-3-2020</v>
      </c>
      <c r="G483" s="3" t="str">
        <f>"Splat the Cat and the big secret"</f>
        <v>Splat the Cat and the big secret</v>
      </c>
      <c r="H483" t="str">
        <f>"Bright, J. E"</f>
        <v>Bright, J. E</v>
      </c>
      <c r="I483">
        <v>22</v>
      </c>
      <c r="J483" s="2">
        <v>43795</v>
      </c>
      <c r="K483" s="1">
        <v>9</v>
      </c>
    </row>
    <row r="484" spans="1:11" ht="16" x14ac:dyDescent="0.2">
      <c r="A484">
        <v>335978</v>
      </c>
      <c r="B484" t="str">
        <f>"F STEIN"</f>
        <v>F STEIN</v>
      </c>
      <c r="C484" t="s">
        <v>3541</v>
      </c>
      <c r="D484" t="s">
        <v>3542</v>
      </c>
      <c r="E484">
        <v>5044</v>
      </c>
      <c r="F484" s="3" t="str">
        <f>"2019-12-04  - Due: 6-9-2019. Notified: 6-16-2019, 6-23-2019, 7-1-2019, 9-24-2019"</f>
        <v>2019-12-04  - Due: 6-9-2019. Notified: 6-16-2019, 6-23-2019, 7-1-2019, 9-24-2019</v>
      </c>
      <c r="G484" s="3" t="str">
        <f>"Missing, presumed: a novel"</f>
        <v>Missing, presumed: a novel</v>
      </c>
      <c r="H484" t="str">
        <f>"Steiner, Susie, (1971 or 1972-)"</f>
        <v>Steiner, Susie, (1971 or 1972-)</v>
      </c>
      <c r="I484">
        <v>16</v>
      </c>
      <c r="J484" s="2">
        <v>42913</v>
      </c>
      <c r="K484" s="1">
        <v>32</v>
      </c>
    </row>
    <row r="485" spans="1:11" ht="16" x14ac:dyDescent="0.2">
      <c r="A485">
        <v>335991</v>
      </c>
      <c r="B485" t="str">
        <f>"E PILKE"</f>
        <v>E PILKE</v>
      </c>
      <c r="C485" t="s">
        <v>3545</v>
      </c>
      <c r="D485" t="str">
        <f>"Tech Serv"</f>
        <v>Tech Serv</v>
      </c>
      <c r="E485" t="s">
        <v>3544</v>
      </c>
      <c r="F485" s="3" t="str">
        <f>"2020-01-25  - TL - Check In - WB - Torn page."</f>
        <v>2020-01-25  - TL - Check In - WB - Torn page.</v>
      </c>
      <c r="G485" s="3" t="str">
        <f>"Dog breath!: the horrible trouble with Hally Tosis"</f>
        <v>Dog breath!: the horrible trouble with Hally Tosis</v>
      </c>
      <c r="H485" t="str">
        <f>"Pilkey, Dav (1966-)"</f>
        <v>Pilkey, Dav (1966-)</v>
      </c>
      <c r="I485">
        <v>27</v>
      </c>
      <c r="J485" s="2">
        <v>43843</v>
      </c>
      <c r="K485" s="1">
        <v>24</v>
      </c>
    </row>
    <row r="486" spans="1:11" ht="16" x14ac:dyDescent="0.2">
      <c r="A486">
        <v>336276</v>
      </c>
      <c r="B486" t="str">
        <f>"J SCHMI"</f>
        <v>J SCHMI</v>
      </c>
      <c r="C486" t="s">
        <v>3541</v>
      </c>
      <c r="D486" t="s">
        <v>3542</v>
      </c>
      <c r="E486" t="s">
        <v>3544</v>
      </c>
      <c r="F486" s="3" t="str">
        <f>"2019-09-06  - Inventory - "</f>
        <v xml:space="preserve">2019-09-06  - Inventory - </v>
      </c>
      <c r="G486" s="3" t="str">
        <f>"Okay for now"</f>
        <v>Okay for now</v>
      </c>
      <c r="H486" t="str">
        <f>"Schmidt, Gary D."</f>
        <v>Schmidt, Gary D.</v>
      </c>
      <c r="I486">
        <v>15</v>
      </c>
      <c r="J486" s="2">
        <v>43673</v>
      </c>
      <c r="K486" s="1">
        <v>22</v>
      </c>
    </row>
    <row r="487" spans="1:11" ht="16" x14ac:dyDescent="0.2">
      <c r="A487">
        <v>336437</v>
      </c>
      <c r="B487" t="str">
        <f>"E COSTA"</f>
        <v>E COSTA</v>
      </c>
      <c r="C487" t="s">
        <v>3541</v>
      </c>
      <c r="D487" t="s">
        <v>3542</v>
      </c>
      <c r="E487" t="s">
        <v>3544</v>
      </c>
      <c r="F487" s="3" t="str">
        <f>"2019-06-14  - Inventory - "</f>
        <v xml:space="preserve">2019-06-14  - Inventory - </v>
      </c>
      <c r="G487" s="3" t="str">
        <f>"Daddies are awesome"</f>
        <v>Daddies are awesome</v>
      </c>
      <c r="H487" t="str">
        <f>"Costain, Meredith"</f>
        <v>Costain, Meredith</v>
      </c>
      <c r="I487">
        <v>28</v>
      </c>
      <c r="J487" s="2">
        <v>43577</v>
      </c>
      <c r="K487" s="1">
        <v>22</v>
      </c>
    </row>
    <row r="488" spans="1:11" ht="32" x14ac:dyDescent="0.2">
      <c r="A488">
        <v>336462</v>
      </c>
      <c r="B488" t="str">
        <f>"B LEGOF"</f>
        <v>B LEGOF</v>
      </c>
      <c r="C488" t="s">
        <v>3545</v>
      </c>
      <c r="D488" t="s">
        <v>3542</v>
      </c>
      <c r="E488">
        <v>5163101</v>
      </c>
      <c r="F488" s="3" t="str">
        <f>"2019-12-23  - mm - WB - Water damaged! Member paid $9.00 for #336462.    12-23-2019  - Due: 12-27-2019."</f>
        <v>2019-12-23  - mm - WB - Water damaged! Member paid $9.00 for #336462.    12-23-2019  - Due: 12-27-2019.</v>
      </c>
      <c r="G488" s="3" t="str">
        <f>"Lego friends: friends forever"</f>
        <v>Lego friends: friends forever</v>
      </c>
      <c r="H488" t="str">
        <f>"Murray, Helen,"</f>
        <v>Murray, Helen,</v>
      </c>
      <c r="I488">
        <v>21</v>
      </c>
      <c r="J488" s="2">
        <v>43811</v>
      </c>
      <c r="K488" s="1">
        <v>9</v>
      </c>
    </row>
    <row r="489" spans="1:11" ht="16" x14ac:dyDescent="0.2">
      <c r="A489">
        <v>336498</v>
      </c>
      <c r="B489" t="str">
        <f>"J RIORD"</f>
        <v>J RIORD</v>
      </c>
      <c r="C489" t="s">
        <v>3541</v>
      </c>
      <c r="D489" t="s">
        <v>3542</v>
      </c>
      <c r="E489">
        <v>5018040</v>
      </c>
      <c r="F489" s="3" t="str">
        <f>"2019-08-30  - Due: 8-4-2019. Notified: 8-11-2019, 8-18-2019, 8-26-2019, 10-29-2019"</f>
        <v>2019-08-30  - Due: 8-4-2019. Notified: 8-11-2019, 8-18-2019, 8-26-2019, 10-29-2019</v>
      </c>
      <c r="G489" s="3" t="str">
        <f>"The throne of fire"</f>
        <v>The throne of fire</v>
      </c>
      <c r="H489" t="str">
        <f>"Riordan, Rick"</f>
        <v>Riordan, Rick</v>
      </c>
      <c r="I489">
        <v>31</v>
      </c>
      <c r="J489" s="2">
        <v>43667</v>
      </c>
      <c r="K489" s="1">
        <v>15</v>
      </c>
    </row>
    <row r="490" spans="1:11" ht="16" x14ac:dyDescent="0.2">
      <c r="A490">
        <v>336652</v>
      </c>
      <c r="B490" t="str">
        <f>"YA HINTO"</f>
        <v>YA HINTO</v>
      </c>
      <c r="C490" t="s">
        <v>3541</v>
      </c>
      <c r="D490" t="s">
        <v>3542</v>
      </c>
      <c r="E490">
        <v>5117458</v>
      </c>
      <c r="F490" s="3" t="str">
        <f>"2019-08-05  - Due: 7-10-2019. Notified: 7-17-2019, 7-24-2019, 7-31-2019, 9-24-2019"</f>
        <v>2019-08-05  - Due: 7-10-2019. Notified: 7-17-2019, 7-24-2019, 7-31-2019, 9-24-2019</v>
      </c>
      <c r="G490" s="3" t="str">
        <f>"The outsiders"</f>
        <v>The outsiders</v>
      </c>
      <c r="H490" t="str">
        <f>"Hinton, S. E."</f>
        <v>Hinton, S. E.</v>
      </c>
      <c r="I490">
        <v>17</v>
      </c>
      <c r="J490" s="2">
        <v>43642</v>
      </c>
      <c r="K490" s="1">
        <v>15</v>
      </c>
    </row>
    <row r="491" spans="1:11" ht="48" x14ac:dyDescent="0.2">
      <c r="A491">
        <v>336901</v>
      </c>
      <c r="B491" t="str">
        <f>"F MILLE"</f>
        <v>F MILLE</v>
      </c>
      <c r="C491" t="s">
        <v>3541</v>
      </c>
      <c r="D491" t="s">
        <v>3542</v>
      </c>
      <c r="E491">
        <v>5144805</v>
      </c>
      <c r="F491" s="3" t="str">
        <f>"2019-09-16  - mm - WB - Member paid $21 for this missing item #336901.    9-16-2019  - mm - WB - Member left this on air plane. Owes $21.    9-16-2019  - Due: 8-25-2019. Notified: 9-3-2019, 9-8-2019, 9-16-2019"</f>
        <v>2019-09-16  - mm - WB - Member paid $21 for this missing item #336901.    9-16-2019  - mm - WB - Member left this on air plane. Owes $21.    9-16-2019  - Due: 8-25-2019. Notified: 9-3-2019, 9-8-2019, 9-16-2019</v>
      </c>
      <c r="G491" s="3" t="str">
        <f>"The song of Achilles"</f>
        <v>The song of Achilles</v>
      </c>
      <c r="H491" t="str">
        <f>"Miller, Madeline."</f>
        <v>Miller, Madeline.</v>
      </c>
      <c r="I491">
        <v>13</v>
      </c>
      <c r="J491" s="2">
        <v>43657</v>
      </c>
      <c r="K491" s="1">
        <v>21</v>
      </c>
    </row>
    <row r="492" spans="1:11" ht="32" x14ac:dyDescent="0.2">
      <c r="A492">
        <v>336915</v>
      </c>
      <c r="B492" t="str">
        <f>"E BEREN"</f>
        <v>E BEREN</v>
      </c>
      <c r="C492" t="s">
        <v>3541</v>
      </c>
      <c r="D492" t="s">
        <v>3542</v>
      </c>
      <c r="E492">
        <v>5216000</v>
      </c>
      <c r="F492" s="3" t="str">
        <f>"2019-12-30  - mm - WB - Member mailed a check #379 for missing item. Paid $9.00 for item #336915.    9-1-2019  - Due: 8-6-2019. Notified: 8-13-2019, 8-20-2019, 8-28-2019, 10-29-2019"</f>
        <v>2019-12-30  - mm - WB - Member mailed a check #379 for missing item. Paid $9.00 for item #336915.    9-1-2019  - Due: 8-6-2019. Notified: 8-13-2019, 8-20-2019, 8-28-2019, 10-29-2019</v>
      </c>
      <c r="G492" s="3" t="str">
        <f>"The Berenstain Bears' computer trouble"</f>
        <v>The Berenstain Bears' computer trouble</v>
      </c>
      <c r="H492" t="str">
        <f>"Berenstain, Jan (1923-2012.)"</f>
        <v>Berenstain, Jan (1923-2012.)</v>
      </c>
      <c r="I492">
        <v>49</v>
      </c>
      <c r="J492" s="2">
        <v>43669</v>
      </c>
      <c r="K492" s="1">
        <v>9</v>
      </c>
    </row>
    <row r="493" spans="1:11" ht="16" x14ac:dyDescent="0.2">
      <c r="A493">
        <v>337044</v>
      </c>
      <c r="B493" t="str">
        <f>"J 394.2 HAL MET"</f>
        <v>J 394.2 HAL MET</v>
      </c>
      <c r="C493" t="s">
        <v>3541</v>
      </c>
      <c r="D493" t="s">
        <v>3542</v>
      </c>
      <c r="E493" t="s">
        <v>3544</v>
      </c>
      <c r="F493" s="3" t="str">
        <f>"2019-04-05  - Inventory - "</f>
        <v xml:space="preserve">2019-04-05  - Inventory - </v>
      </c>
      <c r="G493" s="3" t="str">
        <f>"This is the house that monsters built"</f>
        <v>This is the house that monsters built</v>
      </c>
      <c r="H493" t="str">
        <f>"Metzger, Steve"</f>
        <v>Metzger, Steve</v>
      </c>
      <c r="I493">
        <v>9</v>
      </c>
      <c r="J493" s="2">
        <v>43395</v>
      </c>
      <c r="K493" s="1">
        <v>15</v>
      </c>
    </row>
    <row r="494" spans="1:11" ht="16" x14ac:dyDescent="0.2">
      <c r="A494">
        <v>337468</v>
      </c>
      <c r="B494" t="str">
        <f>"320 THO"</f>
        <v>320 THO</v>
      </c>
      <c r="C494" t="s">
        <v>3541</v>
      </c>
      <c r="D494" t="s">
        <v>3542</v>
      </c>
      <c r="E494">
        <v>5059854</v>
      </c>
      <c r="F494" s="3" t="str">
        <f>"2019-08-31  - Due: 8-5-2019. Notified: 8-12-2019, 8-19-2019, 8-26-2019, 10-29-2019"</f>
        <v>2019-08-31  - Due: 8-5-2019. Notified: 8-12-2019, 8-19-2019, 8-26-2019, 10-29-2019</v>
      </c>
      <c r="G494" s="3" t="str">
        <f>"Enough said: what's gone wrong with the language of politics?"</f>
        <v>Enough said: what's gone wrong with the language of politics?</v>
      </c>
      <c r="H494" t="str">
        <f>"Thompson, Mark John, (1957-)"</f>
        <v>Thompson, Mark John, (1957-)</v>
      </c>
      <c r="I494">
        <v>4</v>
      </c>
      <c r="J494" s="2">
        <v>43649</v>
      </c>
      <c r="K494" s="1">
        <v>33</v>
      </c>
    </row>
    <row r="495" spans="1:11" ht="16" x14ac:dyDescent="0.2">
      <c r="A495">
        <v>337629</v>
      </c>
      <c r="B495" t="str">
        <f>"J RIORD"</f>
        <v>J RIORD</v>
      </c>
      <c r="C495" t="s">
        <v>3545</v>
      </c>
      <c r="D495" t="str">
        <f>"Tech Serv"</f>
        <v>Tech Serv</v>
      </c>
      <c r="E495" t="s">
        <v>3544</v>
      </c>
      <c r="F495" s="3" t="str">
        <f>"2019-08-02  - BD - Check In - WB - ick"</f>
        <v>2019-08-02  - BD - Check In - WB - ick</v>
      </c>
      <c r="G495" s="3" t="str">
        <f>"The hammer of Thor"</f>
        <v>The hammer of Thor</v>
      </c>
      <c r="H495" t="str">
        <f>"Riordan, Rick"</f>
        <v>Riordan, Rick</v>
      </c>
      <c r="I495">
        <v>36</v>
      </c>
      <c r="J495" s="2">
        <v>43670</v>
      </c>
      <c r="K495" s="1">
        <v>25</v>
      </c>
    </row>
    <row r="496" spans="1:11" ht="48" x14ac:dyDescent="0.2">
      <c r="A496">
        <v>337693</v>
      </c>
      <c r="B496" t="str">
        <f>"921 GIN"</f>
        <v>921 GIN</v>
      </c>
      <c r="C496" t="s">
        <v>3545</v>
      </c>
      <c r="D496" t="s">
        <v>3542</v>
      </c>
      <c r="E496">
        <v>5179250</v>
      </c>
      <c r="F496" s="3" t="s">
        <v>3601</v>
      </c>
      <c r="G496" s="3" t="str">
        <f>"My own words"</f>
        <v>My own words</v>
      </c>
      <c r="H496" t="str">
        <f>"Ginsburg, Ruth Bader"</f>
        <v>Ginsburg, Ruth Bader</v>
      </c>
      <c r="I496">
        <v>25</v>
      </c>
      <c r="J496" s="2">
        <v>43738</v>
      </c>
      <c r="K496" s="1">
        <v>35</v>
      </c>
    </row>
    <row r="497" spans="1:11" ht="16" x14ac:dyDescent="0.2">
      <c r="A497">
        <v>337829</v>
      </c>
      <c r="B497" t="str">
        <f>"921 VAR"</f>
        <v>921 VAR</v>
      </c>
      <c r="C497" t="s">
        <v>3545</v>
      </c>
      <c r="D497" t="s">
        <v>3542</v>
      </c>
      <c r="E497">
        <v>5105302</v>
      </c>
      <c r="F497" s="3" t="str">
        <f>"2019-08-23  - BD - WB - water damage; paid    8-23-2019  - Due: 8-16-2019. Notified: 8-23-2019"</f>
        <v>2019-08-23  - BD - WB - water damage; paid    8-23-2019  - Due: 8-16-2019. Notified: 8-23-2019</v>
      </c>
      <c r="G497" s="3" t="str">
        <f>"Between breaths: a memoir of panic and addiction"</f>
        <v>Between breaths: a memoir of panic and addiction</v>
      </c>
      <c r="H497" t="str">
        <f>"Vargas, Elizabeth"</f>
        <v>Vargas, Elizabeth</v>
      </c>
      <c r="I497">
        <v>20</v>
      </c>
      <c r="J497" s="2">
        <v>43679</v>
      </c>
      <c r="K497" s="1">
        <v>32</v>
      </c>
    </row>
    <row r="498" spans="1:11" ht="16" x14ac:dyDescent="0.2">
      <c r="A498">
        <v>337839</v>
      </c>
      <c r="B498" t="str">
        <f>"J 468.6 GHI"</f>
        <v>J 468.6 GHI</v>
      </c>
      <c r="C498" t="s">
        <v>3541</v>
      </c>
      <c r="D498" t="s">
        <v>3542</v>
      </c>
      <c r="E498">
        <v>5151398</v>
      </c>
      <c r="F498" s="3" t="str">
        <f>"2020-01-15  - Due: 12-16-2019. Notified: 12-23-2019, 12-30-2019, 1-6-2020"</f>
        <v>2020-01-15  - Due: 12-16-2019. Notified: 12-23-2019, 12-30-2019, 1-6-2020</v>
      </c>
      <c r="G498" s="3" t="str">
        <f>"I See Fall = Veo el oto�o"</f>
        <v>I See Fall = Veo el oto�o</v>
      </c>
      <c r="H498" t="str">
        <f>"Ghigna, Charles."</f>
        <v>Ghigna, Charles.</v>
      </c>
      <c r="I498">
        <v>17</v>
      </c>
      <c r="J498" s="2">
        <v>43755</v>
      </c>
      <c r="K498" s="1">
        <v>27</v>
      </c>
    </row>
    <row r="499" spans="1:11" ht="16" x14ac:dyDescent="0.2">
      <c r="A499">
        <v>338094</v>
      </c>
      <c r="B499" t="str">
        <f>"F CONNE"</f>
        <v>F CONNE</v>
      </c>
      <c r="C499" t="s">
        <v>3545</v>
      </c>
      <c r="D499" t="str">
        <f>"Tech Serv"</f>
        <v>Tech Serv</v>
      </c>
      <c r="E499" t="s">
        <v>3544</v>
      </c>
      <c r="F499" s="3" t="str">
        <f>"2020-01-22  - kt - Check In - WB - spine detaching"</f>
        <v>2020-01-22  - kt - Check In - WB - spine detaching</v>
      </c>
      <c r="G499" s="3" t="str">
        <f>"The wrong side of goodbye: a novel"</f>
        <v>The wrong side of goodbye: a novel</v>
      </c>
      <c r="H499" t="str">
        <f>"Connelly, Michael (1956-)"</f>
        <v>Connelly, Michael (1956-)</v>
      </c>
      <c r="I499">
        <v>29</v>
      </c>
      <c r="J499" s="2">
        <v>43839</v>
      </c>
      <c r="K499" s="1">
        <v>34</v>
      </c>
    </row>
    <row r="500" spans="1:11" ht="16" x14ac:dyDescent="0.2">
      <c r="A500">
        <v>338183</v>
      </c>
      <c r="B500" t="str">
        <f>"J 940.54 OLS"</f>
        <v>J 940.54 OLS</v>
      </c>
      <c r="C500" t="s">
        <v>3541</v>
      </c>
      <c r="D500" t="s">
        <v>3542</v>
      </c>
      <c r="E500">
        <v>5050631</v>
      </c>
      <c r="F500" s="3" t="str">
        <f>"2019-08-28  - Due: 8-2-2019. Notified: 8-9-2019, 8-16-2019, 8-23-2019, 10-29-2019"</f>
        <v>2019-08-28  - Due: 8-2-2019. Notified: 8-9-2019, 8-16-2019, 8-23-2019, 10-29-2019</v>
      </c>
      <c r="G500" s="3" t="str">
        <f>"Lost in the Pacific, 1942: not a drop to drink"</f>
        <v>Lost in the Pacific, 1942: not a drop to drink</v>
      </c>
      <c r="H500" t="str">
        <f>"Olson, Tod."</f>
        <v>Olson, Tod.</v>
      </c>
      <c r="I500">
        <v>13</v>
      </c>
      <c r="J500" s="2">
        <v>43665</v>
      </c>
      <c r="K500" s="1">
        <v>18</v>
      </c>
    </row>
    <row r="501" spans="1:11" ht="16" x14ac:dyDescent="0.2">
      <c r="A501">
        <v>338505</v>
      </c>
      <c r="B501" t="str">
        <f>"YA RIGGS"</f>
        <v>YA RIGGS</v>
      </c>
      <c r="C501" t="s">
        <v>3545</v>
      </c>
      <c r="D501" t="str">
        <f>"Tech Serv"</f>
        <v>Tech Serv</v>
      </c>
      <c r="E501" t="s">
        <v>3544</v>
      </c>
      <c r="F501" s="3" t="str">
        <f>"2020-01-11  - BD - Check In - LL - back cover mostly detached"</f>
        <v>2020-01-11  - BD - Check In - LL - back cover mostly detached</v>
      </c>
      <c r="G501" s="3" t="str">
        <f>"Hollow city"</f>
        <v>Hollow city</v>
      </c>
      <c r="H501" t="str">
        <f>"Riggs, Ransom."</f>
        <v>Riggs, Ransom.</v>
      </c>
      <c r="I501">
        <v>12</v>
      </c>
      <c r="J501" s="2">
        <v>43814</v>
      </c>
      <c r="K501" s="1">
        <v>24</v>
      </c>
    </row>
    <row r="502" spans="1:11" ht="32" x14ac:dyDescent="0.2">
      <c r="A502">
        <v>338506</v>
      </c>
      <c r="B502" t="str">
        <f>"J PATTE"</f>
        <v>J PATTE</v>
      </c>
      <c r="C502" t="s">
        <v>3541</v>
      </c>
      <c r="D502" t="s">
        <v>3542</v>
      </c>
      <c r="E502">
        <v>5166564</v>
      </c>
      <c r="F502" s="3" t="str">
        <f>"2019-08-08  - CC - WB - Member paid for missing book. 8.8.19    8-8-2019  - Due: 7-21-2019. Notified: 7-28-2019, 8-4-2019"</f>
        <v>2019-08-08  - CC - WB - Member paid for missing book. 8.8.19    8-8-2019  - Due: 7-21-2019. Notified: 7-28-2019, 8-4-2019</v>
      </c>
      <c r="G502" s="3" t="str">
        <f>"I funny"</f>
        <v>I funny</v>
      </c>
      <c r="H502" t="str">
        <f>"Patterson, James (1947-)"</f>
        <v>Patterson, James (1947-)</v>
      </c>
      <c r="I502">
        <v>30</v>
      </c>
      <c r="J502" s="2">
        <v>43626</v>
      </c>
      <c r="K502" s="1">
        <v>19</v>
      </c>
    </row>
    <row r="503" spans="1:11" ht="32" x14ac:dyDescent="0.2">
      <c r="A503">
        <v>338806</v>
      </c>
      <c r="B503" t="str">
        <f>"J 940.53 HOO"</f>
        <v>J 940.53 HOO</v>
      </c>
      <c r="C503" t="s">
        <v>3541</v>
      </c>
      <c r="D503" t="s">
        <v>3542</v>
      </c>
      <c r="E503">
        <v>5174755</v>
      </c>
      <c r="F503" s="3" t="str">
        <f>"2019-09-17  - Due: 8-20-2019. Notified: 8-27-2019, 9-3-2019, 9-11-2019, 10-29-2019"</f>
        <v>2019-09-17  - Due: 8-20-2019. Notified: 8-27-2019, 9-3-2019, 9-11-2019, 10-29-2019</v>
      </c>
      <c r="G503" s="3" t="str">
        <f>"The boys who challenged Hitler: Knud Pedersen and the Churchill Club"</f>
        <v>The boys who challenged Hitler: Knud Pedersen and the Churchill Club</v>
      </c>
      <c r="H503" t="str">
        <f>"Hoose, Phillip"</f>
        <v>Hoose, Phillip</v>
      </c>
      <c r="I503">
        <v>10</v>
      </c>
      <c r="J503" s="2">
        <v>43683</v>
      </c>
      <c r="K503" s="1">
        <v>25</v>
      </c>
    </row>
    <row r="504" spans="1:11" ht="32" x14ac:dyDescent="0.2">
      <c r="A504">
        <v>338864</v>
      </c>
      <c r="B504" t="str">
        <f>"155.9 BEA"</f>
        <v>155.9 BEA</v>
      </c>
      <c r="C504" t="s">
        <v>3541</v>
      </c>
      <c r="D504" t="s">
        <v>3542</v>
      </c>
      <c r="E504" t="s">
        <v>3544</v>
      </c>
      <c r="F504" s="3" t="str">
        <f>"2019-09-15  - mew - Searched 3x at WB"</f>
        <v>2019-09-15  - mew - Searched 3x at WB</v>
      </c>
      <c r="G504" s="3" t="str">
        <f>"Codependent no more: how to stop controlling others and start caring for yourself"</f>
        <v>Codependent no more: how to stop controlling others and start caring for yourself</v>
      </c>
      <c r="H504" t="str">
        <f>"Beattie, Melody"</f>
        <v>Beattie, Melody</v>
      </c>
      <c r="I504">
        <v>12</v>
      </c>
      <c r="J504" s="2">
        <v>43663</v>
      </c>
      <c r="K504" s="1">
        <v>22</v>
      </c>
    </row>
    <row r="505" spans="1:11" ht="16" x14ac:dyDescent="0.2">
      <c r="A505">
        <v>338901</v>
      </c>
      <c r="B505" t="str">
        <f>"E BEREN"</f>
        <v>E BEREN</v>
      </c>
      <c r="C505" t="s">
        <v>3545</v>
      </c>
      <c r="D505" t="str">
        <f>"Tech Serv"</f>
        <v>Tech Serv</v>
      </c>
      <c r="E505" t="s">
        <v>3544</v>
      </c>
      <c r="F505" s="3" t="str">
        <f>"2019-12-16  - AI - Check In - LL - loose page"</f>
        <v>2019-12-16  - AI - Check In - LL - loose page</v>
      </c>
      <c r="G505" s="3" t="str">
        <f>"The berenstain bears lose a friend"</f>
        <v>The berenstain bears lose a friend</v>
      </c>
      <c r="H505" t="str">
        <f>"Berenstain, Stan (1923-)"</f>
        <v>Berenstain, Stan (1923-)</v>
      </c>
      <c r="I505">
        <v>41</v>
      </c>
      <c r="J505" s="2">
        <v>43780</v>
      </c>
      <c r="K505" s="1">
        <v>9</v>
      </c>
    </row>
    <row r="506" spans="1:11" ht="16" x14ac:dyDescent="0.2">
      <c r="A506">
        <v>339158</v>
      </c>
      <c r="B506" t="str">
        <f>"E WALTD"</f>
        <v>E WALTD</v>
      </c>
      <c r="C506" t="s">
        <v>3541</v>
      </c>
      <c r="D506" t="s">
        <v>3542</v>
      </c>
      <c r="E506" t="s">
        <v>3544</v>
      </c>
      <c r="F506" s="3" t="str">
        <f>"2019-06-14  - Inventory - "</f>
        <v xml:space="preserve">2019-06-14  - Inventory - </v>
      </c>
      <c r="G506" s="3" t="s">
        <v>3602</v>
      </c>
      <c r="H506" t="str">
        <f>"Hitchcock, Laura"</f>
        <v>Hitchcock, Laura</v>
      </c>
      <c r="I506">
        <v>31</v>
      </c>
      <c r="J506" s="2">
        <v>43598</v>
      </c>
      <c r="K506" s="1">
        <v>10</v>
      </c>
    </row>
    <row r="507" spans="1:11" ht="32" x14ac:dyDescent="0.2">
      <c r="A507">
        <v>339227</v>
      </c>
      <c r="B507" t="str">
        <f>"332.024 TOB"</f>
        <v>332.024 TOB</v>
      </c>
      <c r="C507" t="s">
        <v>3541</v>
      </c>
      <c r="D507" t="s">
        <v>3542</v>
      </c>
      <c r="E507">
        <v>5091880</v>
      </c>
      <c r="F507" s="3" t="str">
        <f>"2019-10-28  - cc - WB - member paid 21.00 10.28.19    7-16-2019  - Due: 6-19-2019. Notified: 6-26-2019, 7-3-2019, 7-10-2019, 9-24-2019"</f>
        <v>2019-10-28  - cc - WB - member paid 21.00 10.28.19    7-16-2019  - Due: 6-19-2019. Notified: 6-26-2019, 7-3-2019, 7-10-2019, 9-24-2019</v>
      </c>
      <c r="G507" s="3" t="str">
        <f>"The only investment guide you'll ever need"</f>
        <v>The only investment guide you'll ever need</v>
      </c>
      <c r="H507" t="str">
        <f>"Tobias, Andrew P."</f>
        <v>Tobias, Andrew P.</v>
      </c>
      <c r="I507">
        <v>11</v>
      </c>
      <c r="J507" s="2">
        <v>43600</v>
      </c>
      <c r="K507" s="1">
        <v>21</v>
      </c>
    </row>
    <row r="508" spans="1:11" ht="32" x14ac:dyDescent="0.2">
      <c r="A508">
        <v>339264</v>
      </c>
      <c r="B508" t="str">
        <f>"E BRYAN"</f>
        <v>E BRYAN</v>
      </c>
      <c r="C508" t="s">
        <v>3545</v>
      </c>
      <c r="D508" t="str">
        <f>"Tech Serv"</f>
        <v>Tech Serv</v>
      </c>
      <c r="E508" t="s">
        <v>3544</v>
      </c>
      <c r="F508" s="3" t="str">
        <f>"2019-11-04  - kmf - Check In - WB - spine label has incorrect call number"</f>
        <v>2019-11-04  - kmf - Check In - WB - spine label has incorrect call number</v>
      </c>
      <c r="G508" s="3" t="str">
        <f>"Freedom over me: eleven slaves, their lives and dreams brought to life"</f>
        <v>Freedom over me: eleven slaves, their lives and dreams brought to life</v>
      </c>
      <c r="H508" t="str">
        <f>"Bryan, Ashley."</f>
        <v>Bryan, Ashley.</v>
      </c>
      <c r="I508">
        <v>2</v>
      </c>
      <c r="J508" s="2">
        <v>43496</v>
      </c>
      <c r="K508" s="1">
        <v>5</v>
      </c>
    </row>
    <row r="509" spans="1:11" ht="16" x14ac:dyDescent="0.2">
      <c r="A509">
        <v>339278</v>
      </c>
      <c r="B509" t="str">
        <f>"YA 155.5 WOO"</f>
        <v>YA 155.5 WOO</v>
      </c>
      <c r="C509" t="s">
        <v>3541</v>
      </c>
      <c r="D509" t="s">
        <v>3542</v>
      </c>
      <c r="E509" t="s">
        <v>3544</v>
      </c>
      <c r="F509" s="3" t="str">
        <f>"2019-04-20  - ss - searched 3 times"</f>
        <v>2019-04-20  - ss - searched 3 times</v>
      </c>
      <c r="G509" s="3" t="str">
        <f>"Ignite your spark: discovering who you are from the inside out"</f>
        <v>Ignite your spark: discovering who you are from the inside out</v>
      </c>
      <c r="H509" t="str">
        <f>"Wooster, Patricia"</f>
        <v>Wooster, Patricia</v>
      </c>
      <c r="I509">
        <v>3</v>
      </c>
      <c r="J509" s="2">
        <v>43036</v>
      </c>
      <c r="K509" s="1">
        <v>25</v>
      </c>
    </row>
    <row r="510" spans="1:11" ht="32" x14ac:dyDescent="0.2">
      <c r="A510">
        <v>339286</v>
      </c>
      <c r="B510" t="str">
        <f>"B PJMAS"</f>
        <v>B PJMAS</v>
      </c>
      <c r="C510" t="s">
        <v>3541</v>
      </c>
      <c r="D510" t="s">
        <v>3542</v>
      </c>
      <c r="E510">
        <v>5141620</v>
      </c>
      <c r="F510" s="3" t="str">
        <f>"2019-05-14  - PayPal - Paid    3-20-2019  - Due: 2-22-2019. Notified: 3-1-2019, 3-8-2019, 3-15-2019, 5-7-2019"</f>
        <v>2019-05-14  - PayPal - Paid    3-20-2019  - Due: 2-22-2019. Notified: 3-1-2019, 3-8-2019, 3-15-2019, 5-7-2019</v>
      </c>
      <c r="G510" s="3" t="str">
        <f>"PJ Masks save the library!"</f>
        <v>PJ Masks save the library!</v>
      </c>
      <c r="H510" t="str">
        <f>"Pendergrass, Daphne"</f>
        <v>Pendergrass, Daphne</v>
      </c>
      <c r="I510">
        <v>24</v>
      </c>
      <c r="J510" s="2">
        <v>43504</v>
      </c>
      <c r="K510" s="1">
        <v>8</v>
      </c>
    </row>
    <row r="511" spans="1:11" ht="16" x14ac:dyDescent="0.2">
      <c r="A511">
        <v>339905</v>
      </c>
      <c r="B511" t="str">
        <f>"921 DOU"</f>
        <v>921 DOU</v>
      </c>
      <c r="C511" t="s">
        <v>3541</v>
      </c>
      <c r="D511" t="s">
        <v>3542</v>
      </c>
      <c r="E511">
        <v>62335</v>
      </c>
      <c r="F511" s="3" t="str">
        <f>"2020-01-25  - Due: 12-28-2019. Notified: 1-4-2020, 1-11-2020, 1-21-2020"</f>
        <v>2020-01-25  - Due: 12-28-2019. Notified: 1-4-2020, 1-11-2020, 1-21-2020</v>
      </c>
      <c r="G511" s="3" t="str">
        <f>"Narrative of the life of Frederick Douglass: an American slave"</f>
        <v>Narrative of the life of Frederick Douglass: an American slave</v>
      </c>
      <c r="H511" t="str">
        <f>"Douglass, Frederick (1817?-1895.)"</f>
        <v>Douglass, Frederick (1817?-1895.)</v>
      </c>
      <c r="I511">
        <v>6</v>
      </c>
      <c r="J511" s="2">
        <v>43813</v>
      </c>
      <c r="K511" s="1">
        <v>10</v>
      </c>
    </row>
    <row r="512" spans="1:11" ht="16" x14ac:dyDescent="0.2">
      <c r="A512">
        <v>339952</v>
      </c>
      <c r="B512" t="str">
        <f>"J GN PEIRC"</f>
        <v>J GN PEIRC</v>
      </c>
      <c r="C512" t="s">
        <v>3545</v>
      </c>
      <c r="D512" t="str">
        <f>"Tech Serv"</f>
        <v>Tech Serv</v>
      </c>
      <c r="E512" t="s">
        <v>3544</v>
      </c>
      <c r="F512" s="3" t="str">
        <f>"2020-01-23  - TL - Check In - LL - Spine is falling apart."</f>
        <v>2020-01-23  - TL - Check In - LL - Spine is falling apart.</v>
      </c>
      <c r="G512" s="3" t="str">
        <f>"Big Nate: what's a little noogie between friends?"</f>
        <v>Big Nate: what's a little noogie between friends?</v>
      </c>
      <c r="H512" t="str">
        <f>"Peirce, Lincoln."</f>
        <v>Peirce, Lincoln.</v>
      </c>
      <c r="I512">
        <v>65</v>
      </c>
      <c r="J512" s="2">
        <v>43837</v>
      </c>
      <c r="K512" s="1">
        <v>15</v>
      </c>
    </row>
    <row r="513" spans="1:11" ht="32" x14ac:dyDescent="0.2">
      <c r="A513">
        <v>340040</v>
      </c>
      <c r="B513" t="str">
        <f>"J GN STANT"</f>
        <v>J GN STANT</v>
      </c>
      <c r="C513" t="s">
        <v>3541</v>
      </c>
      <c r="D513" t="s">
        <v>3542</v>
      </c>
      <c r="E513">
        <v>5085739</v>
      </c>
      <c r="F513" s="3" t="str">
        <f>"2019-12-07  - kl - WB - paid for lost book $24    12-5-2019  - Due: 11-6-2019. Notified: 11-13-2019, 11-20-2019, 12-2-2019"</f>
        <v>2019-12-07  - kl - WB - paid for lost book $24    12-5-2019  - Due: 11-6-2019. Notified: 11-13-2019, 11-20-2019, 12-2-2019</v>
      </c>
      <c r="G513" s="3" t="str">
        <f>"Arthur and the golden rope"</f>
        <v>Arthur and the golden rope</v>
      </c>
      <c r="H513" t="str">
        <f>"Stanton, Joe Todd"</f>
        <v>Stanton, Joe Todd</v>
      </c>
      <c r="I513">
        <v>15</v>
      </c>
      <c r="J513" s="2">
        <v>43727</v>
      </c>
      <c r="K513" s="1">
        <v>24</v>
      </c>
    </row>
    <row r="514" spans="1:11" ht="16" x14ac:dyDescent="0.2">
      <c r="A514">
        <v>340218</v>
      </c>
      <c r="B514" t="str">
        <f>"E PARR"</f>
        <v>E PARR</v>
      </c>
      <c r="C514" t="s">
        <v>3541</v>
      </c>
      <c r="D514" t="s">
        <v>3542</v>
      </c>
      <c r="E514">
        <v>5214028</v>
      </c>
      <c r="F514" s="3" t="str">
        <f>"2019-12-29  - Due: 11-30-2019. Notified: 12-7-2019, 12-14-2019, 12-23-2019"</f>
        <v>2019-12-29  - Due: 11-30-2019. Notified: 12-7-2019, 12-14-2019, 12-23-2019</v>
      </c>
      <c r="G514" s="3" t="str">
        <f>"The I love you book"</f>
        <v>The I love you book</v>
      </c>
      <c r="H514" t="str">
        <f>"Parr, Todd"</f>
        <v>Parr, Todd</v>
      </c>
      <c r="I514">
        <v>16</v>
      </c>
      <c r="J514" s="2">
        <v>43782</v>
      </c>
      <c r="K514" s="1">
        <v>16</v>
      </c>
    </row>
    <row r="515" spans="1:11" ht="32" x14ac:dyDescent="0.2">
      <c r="A515">
        <v>340263</v>
      </c>
      <c r="B515" t="str">
        <f>"J BLUME"</f>
        <v>J BLUME</v>
      </c>
      <c r="C515" t="s">
        <v>3541</v>
      </c>
      <c r="D515" t="s">
        <v>3542</v>
      </c>
      <c r="E515">
        <v>5124613</v>
      </c>
      <c r="F515" s="3" t="str">
        <f>"2019-12-07  - PayPal - Paid    12-1-2019  - Due: 11-2-2019. Notified: 11-9-2019, 11-16-2019, 11-25-2019"</f>
        <v>2019-12-07  - PayPal - Paid    12-1-2019  - Due: 11-2-2019. Notified: 11-9-2019, 11-16-2019, 11-25-2019</v>
      </c>
      <c r="G515" s="3" t="s">
        <v>3603</v>
      </c>
      <c r="H515" t="str">
        <f>"Blume, Judy"</f>
        <v>Blume, Judy</v>
      </c>
      <c r="I515">
        <v>24</v>
      </c>
      <c r="J515" s="2">
        <v>43746</v>
      </c>
      <c r="K515" s="1">
        <v>12</v>
      </c>
    </row>
    <row r="516" spans="1:11" ht="16" x14ac:dyDescent="0.2">
      <c r="A516">
        <v>340376</v>
      </c>
      <c r="B516" t="str">
        <f>"J GN HATKE"</f>
        <v>J GN HATKE</v>
      </c>
      <c r="C516" t="s">
        <v>3545</v>
      </c>
      <c r="D516" t="str">
        <f>"Tech Serv"</f>
        <v>Tech Serv</v>
      </c>
      <c r="E516" t="s">
        <v>3544</v>
      </c>
      <c r="F516" s="3" t="str">
        <f>"2019-04-30  - jem - Check In - LL - weed or replace?"</f>
        <v>2019-04-30  - jem - Check In - LL - weed or replace?</v>
      </c>
      <c r="G516" s="3" t="str">
        <f>"Mighty Jack: book one"</f>
        <v>Mighty Jack: book one</v>
      </c>
      <c r="H516" t="str">
        <f>"Hatke, Ben."</f>
        <v>Hatke, Ben.</v>
      </c>
      <c r="I516">
        <v>32</v>
      </c>
      <c r="J516" s="2">
        <v>43574</v>
      </c>
      <c r="K516" s="1">
        <v>20</v>
      </c>
    </row>
    <row r="517" spans="1:11" ht="32" x14ac:dyDescent="0.2">
      <c r="A517">
        <v>340467</v>
      </c>
      <c r="B517" t="str">
        <f>"320.5 LAK"</f>
        <v>320.5 LAK</v>
      </c>
      <c r="C517" t="s">
        <v>3541</v>
      </c>
      <c r="D517" t="s">
        <v>3542</v>
      </c>
      <c r="E517">
        <v>5059880</v>
      </c>
      <c r="F517" s="3" t="str">
        <f>"2019-08-31  - Due: 8-5-2019. Notified: 8-12-2019, 8-19-2019, 8-26-2019, 10-29-2019"</f>
        <v>2019-08-31  - Due: 8-5-2019. Notified: 8-12-2019, 8-19-2019, 8-26-2019, 10-29-2019</v>
      </c>
      <c r="G517" s="3" t="str">
        <f>"The all new don't think of an elephant!: know your values and frame the debate"</f>
        <v>The all new don't think of an elephant!: know your values and frame the debate</v>
      </c>
      <c r="H517" t="str">
        <f>"Lakoff, George."</f>
        <v>Lakoff, George.</v>
      </c>
      <c r="I517">
        <v>3</v>
      </c>
      <c r="J517" s="2">
        <v>43649</v>
      </c>
      <c r="K517" s="1">
        <v>20</v>
      </c>
    </row>
    <row r="518" spans="1:11" ht="16" x14ac:dyDescent="0.2">
      <c r="A518">
        <v>340562</v>
      </c>
      <c r="B518" t="str">
        <f>"F CHILD"</f>
        <v>F CHILD</v>
      </c>
      <c r="C518" t="s">
        <v>3541</v>
      </c>
      <c r="D518" t="s">
        <v>3542</v>
      </c>
      <c r="E518">
        <v>5181716</v>
      </c>
      <c r="F518" s="3" t="str">
        <f>"2020-01-07  - Due: 12-8-2019. Notified: 12-15-2019, 12-22-2019, 12-30-2019"</f>
        <v>2020-01-07  - Due: 12-8-2019. Notified: 12-15-2019, 12-22-2019, 12-30-2019</v>
      </c>
      <c r="G518" s="3" t="str">
        <f>"Echo burning"</f>
        <v>Echo burning</v>
      </c>
      <c r="H518" t="str">
        <f>"Child, Lee"</f>
        <v>Child, Lee</v>
      </c>
      <c r="I518">
        <v>22</v>
      </c>
      <c r="J518" s="2">
        <v>43793</v>
      </c>
      <c r="K518" s="1">
        <v>15</v>
      </c>
    </row>
    <row r="519" spans="1:11" ht="16" x14ac:dyDescent="0.2">
      <c r="A519">
        <v>341072</v>
      </c>
      <c r="B519" t="str">
        <f>"E BREAT"</f>
        <v>E BREAT</v>
      </c>
      <c r="C519" t="s">
        <v>3541</v>
      </c>
      <c r="D519" t="s">
        <v>3542</v>
      </c>
      <c r="E519">
        <v>5122132</v>
      </c>
      <c r="F519" s="3" t="str">
        <f>"2019-06-20  - PayPal - Paid    6-18-2019  - Due: 5-22-2019. Notified: 5-29-2019, 6-5-2019, 6-12-2019"</f>
        <v>2019-06-20  - PayPal - Paid    6-18-2019  - Due: 5-22-2019. Notified: 5-29-2019, 6-5-2019, 6-12-2019</v>
      </c>
      <c r="G519" s="3" t="str">
        <f>"Edwurd Fudwupper fibbed big"</f>
        <v>Edwurd Fudwupper fibbed big</v>
      </c>
      <c r="H519" t="str">
        <f>"Breathed, Berkeley"</f>
        <v>Breathed, Berkeley</v>
      </c>
      <c r="I519">
        <v>7</v>
      </c>
      <c r="J519" s="2">
        <v>43565</v>
      </c>
      <c r="K519" s="1">
        <v>21</v>
      </c>
    </row>
    <row r="520" spans="1:11" ht="16" x14ac:dyDescent="0.2">
      <c r="A520">
        <v>341162</v>
      </c>
      <c r="B520" t="str">
        <f>"J GUTMA"</f>
        <v>J GUTMA</v>
      </c>
      <c r="C520" t="s">
        <v>3541</v>
      </c>
      <c r="D520" t="s">
        <v>3542</v>
      </c>
      <c r="E520">
        <v>5150377</v>
      </c>
      <c r="F520" s="3" t="str">
        <f>"2019-08-05  - kl - LL - paid $10 cash    8-5-2019  - Due: 8-9-2019."</f>
        <v>2019-08-05  - kl - LL - paid $10 cash    8-5-2019  - Due: 8-9-2019.</v>
      </c>
      <c r="G520" s="3" t="str">
        <f>"Ms. Joni is a phony!"</f>
        <v>Ms. Joni is a phony!</v>
      </c>
      <c r="H520" t="str">
        <f>"Gutman, Dan"</f>
        <v>Gutman, Dan</v>
      </c>
      <c r="I520">
        <v>19</v>
      </c>
      <c r="J520" s="2">
        <v>43672</v>
      </c>
      <c r="K520" s="1">
        <v>10</v>
      </c>
    </row>
    <row r="521" spans="1:11" ht="16" x14ac:dyDescent="0.2">
      <c r="A521">
        <v>341262</v>
      </c>
      <c r="B521" t="str">
        <f>"T BOYNT"</f>
        <v>T BOYNT</v>
      </c>
      <c r="C521" t="s">
        <v>3541</v>
      </c>
      <c r="D521" t="s">
        <v>3542</v>
      </c>
      <c r="E521" t="s">
        <v>3544</v>
      </c>
      <c r="F521" s="3" t="str">
        <f>"2019-11-15  - Inventory - "</f>
        <v xml:space="preserve">2019-11-15  - Inventory - </v>
      </c>
      <c r="G521" s="3" t="str">
        <f>"Azul el sombrero, verde el sombrero"</f>
        <v>Azul el sombrero, verde el sombrero</v>
      </c>
      <c r="H521" t="str">
        <f>"Boynton, Sandra"</f>
        <v>Boynton, Sandra</v>
      </c>
      <c r="I521">
        <v>7</v>
      </c>
      <c r="J521" s="2">
        <v>43321</v>
      </c>
      <c r="K521" s="1">
        <v>11</v>
      </c>
    </row>
    <row r="522" spans="1:11" ht="16" x14ac:dyDescent="0.2">
      <c r="A522">
        <v>341422</v>
      </c>
      <c r="B522" t="str">
        <f>"T BACH"</f>
        <v>T BACH</v>
      </c>
      <c r="C522" t="s">
        <v>3541</v>
      </c>
      <c r="D522" t="s">
        <v>3542</v>
      </c>
      <c r="E522" t="s">
        <v>3544</v>
      </c>
      <c r="F522" s="3" t="str">
        <f>"2019-11-15  - Inventory - "</f>
        <v xml:space="preserve">2019-11-15  - Inventory - </v>
      </c>
      <c r="G522" s="3" t="str">
        <f>"Monster party!"</f>
        <v>Monster party!</v>
      </c>
      <c r="H522" t="str">
        <f>"Bach, Annie."</f>
        <v>Bach, Annie.</v>
      </c>
      <c r="I522">
        <v>8</v>
      </c>
      <c r="J522" s="2">
        <v>43252</v>
      </c>
      <c r="K522" s="1">
        <v>12</v>
      </c>
    </row>
    <row r="523" spans="1:11" ht="16" x14ac:dyDescent="0.2">
      <c r="A523">
        <v>341538</v>
      </c>
      <c r="B523" t="str">
        <f>"J MESSE"</f>
        <v>J MESSE</v>
      </c>
      <c r="C523" t="s">
        <v>3541</v>
      </c>
      <c r="D523" t="s">
        <v>3542</v>
      </c>
      <c r="E523" t="s">
        <v>3544</v>
      </c>
      <c r="F523" s="3" t="str">
        <f>"2020-01-19  - mm - Searched 3 times"</f>
        <v>2020-01-19  - mm - Searched 3 times</v>
      </c>
      <c r="G523" s="3" t="s">
        <v>3604</v>
      </c>
      <c r="H523" t="str">
        <f>"Messenger, Shannon."</f>
        <v>Messenger, Shannon.</v>
      </c>
      <c r="I523">
        <v>21</v>
      </c>
      <c r="J523" s="2">
        <v>43508</v>
      </c>
      <c r="K523" s="1">
        <v>24</v>
      </c>
    </row>
    <row r="524" spans="1:11" ht="16" x14ac:dyDescent="0.2">
      <c r="A524">
        <v>341792</v>
      </c>
      <c r="B524" t="str">
        <f>"E MYLIT"</f>
        <v>E MYLIT</v>
      </c>
      <c r="C524" t="s">
        <v>3541</v>
      </c>
      <c r="D524" t="s">
        <v>3542</v>
      </c>
      <c r="E524">
        <v>5212391</v>
      </c>
      <c r="F524" s="3" t="str">
        <f>"2019-09-01  - Due: 8-6-2019. Notified: 8-13-2019, 8-20-2019, 8-28-2019, 10-29-2019"</f>
        <v>2019-09-01  - Due: 8-6-2019. Notified: 8-13-2019, 8-20-2019, 8-28-2019, 10-29-2019</v>
      </c>
      <c r="G524" s="3" t="str">
        <f>"My little pony: welcome to Equestria"</f>
        <v>My little pony: welcome to Equestria</v>
      </c>
      <c r="H524" t="str">
        <f>"London, Olivia."</f>
        <v>London, Olivia.</v>
      </c>
      <c r="I524">
        <v>17</v>
      </c>
      <c r="J524" s="2">
        <v>43669</v>
      </c>
      <c r="K524" s="1">
        <v>9</v>
      </c>
    </row>
    <row r="525" spans="1:11" ht="16" x14ac:dyDescent="0.2">
      <c r="A525">
        <v>341885</v>
      </c>
      <c r="B525" t="str">
        <f>"J PILKE"</f>
        <v>J PILKE</v>
      </c>
      <c r="C525" t="s">
        <v>3541</v>
      </c>
      <c r="D525" t="s">
        <v>3542</v>
      </c>
      <c r="E525">
        <v>5175179</v>
      </c>
      <c r="F525" s="3" t="str">
        <f>"2019-11-08  - Due: 10-13-2019. Notified: 10-20-2019, 10-27-2019, 11-4-2019, 12-31-2019"</f>
        <v>2019-11-08  - Due: 10-13-2019. Notified: 10-20-2019, 10-27-2019, 11-4-2019, 12-31-2019</v>
      </c>
      <c r="G525" s="3" t="str">
        <f>"The adventures of Captain Underpants: in full color"</f>
        <v>The adventures of Captain Underpants: in full color</v>
      </c>
      <c r="H525" t="str">
        <f>"Pilkey, Dav (1966-)"</f>
        <v>Pilkey, Dav (1966-)</v>
      </c>
      <c r="I525">
        <v>38</v>
      </c>
      <c r="J525" s="2">
        <v>43737</v>
      </c>
      <c r="K525" s="1">
        <v>15</v>
      </c>
    </row>
    <row r="526" spans="1:11" ht="16" x14ac:dyDescent="0.2">
      <c r="A526">
        <v>342105</v>
      </c>
      <c r="B526" t="str">
        <f>"B PUPPY"</f>
        <v>B PUPPY</v>
      </c>
      <c r="C526" t="s">
        <v>3541</v>
      </c>
      <c r="D526" t="s">
        <v>3542</v>
      </c>
      <c r="E526">
        <v>5202610</v>
      </c>
      <c r="F526" s="3" t="str">
        <f>"2019-09-22  - Due: 8-25-2019. Notified: 9-3-2019, 9-8-2019, 9-16-2019, 10-29-2019"</f>
        <v>2019-09-22  - Due: 8-25-2019. Notified: 9-3-2019, 9-8-2019, 9-16-2019, 10-29-2019</v>
      </c>
      <c r="G526" s="3" t="str">
        <f>"Meet A.R.F."</f>
        <v>Meet A.R.F.</v>
      </c>
      <c r="H526" t="str">
        <f>"Olson, Michael"</f>
        <v>Olson, Michael</v>
      </c>
      <c r="I526">
        <v>20</v>
      </c>
      <c r="J526" s="2">
        <v>43653</v>
      </c>
      <c r="K526" s="1">
        <v>10</v>
      </c>
    </row>
    <row r="527" spans="1:11" ht="32" x14ac:dyDescent="0.2">
      <c r="A527">
        <v>342241</v>
      </c>
      <c r="B527" t="str">
        <f>"E PETET"</f>
        <v>E PETET</v>
      </c>
      <c r="C527" t="s">
        <v>3545</v>
      </c>
      <c r="D527" t="s">
        <v>3542</v>
      </c>
      <c r="E527">
        <v>5159010</v>
      </c>
      <c r="F527" s="3" t="s">
        <v>3605</v>
      </c>
      <c r="G527" s="3" t="str">
        <f>"Pete the cat: out of this world"</f>
        <v>Pete the cat: out of this world</v>
      </c>
      <c r="H527" t="str">
        <f>"Dean, James (1931-1955.)"</f>
        <v>Dean, James (1931-1955.)</v>
      </c>
      <c r="I527">
        <v>35</v>
      </c>
      <c r="J527" s="2">
        <v>43846</v>
      </c>
      <c r="K527" s="1">
        <v>10</v>
      </c>
    </row>
    <row r="528" spans="1:11" ht="16" x14ac:dyDescent="0.2">
      <c r="A528">
        <v>342363</v>
      </c>
      <c r="B528" t="str">
        <f>"J PATTE"</f>
        <v>J PATTE</v>
      </c>
      <c r="C528" t="s">
        <v>3541</v>
      </c>
      <c r="D528" t="s">
        <v>3542</v>
      </c>
      <c r="E528" t="s">
        <v>3544</v>
      </c>
      <c r="F528" s="3" t="str">
        <f>"2020-01-28  - mbw - can't find at WB"</f>
        <v>2020-01-28  - mbw - can't find at WB</v>
      </c>
      <c r="G528" s="3" t="str">
        <f>"Middle school: get me out of here!"</f>
        <v>Middle school: get me out of here!</v>
      </c>
      <c r="H528" t="str">
        <f>"Patterson, James (1947-)"</f>
        <v>Patterson, James (1947-)</v>
      </c>
      <c r="I528">
        <v>23</v>
      </c>
      <c r="J528" s="2">
        <v>43834</v>
      </c>
      <c r="K528" s="1">
        <v>13</v>
      </c>
    </row>
    <row r="529" spans="1:11" ht="32" x14ac:dyDescent="0.2">
      <c r="A529">
        <v>342543</v>
      </c>
      <c r="B529" t="str">
        <f>"E BARBI"</f>
        <v>E BARBI</v>
      </c>
      <c r="C529" t="s">
        <v>3541</v>
      </c>
      <c r="D529" t="s">
        <v>3542</v>
      </c>
      <c r="E529">
        <v>5216319</v>
      </c>
      <c r="F529" s="3" t="str">
        <f>"2019-12-30  - mm - WB - Member mailed a check #379 for missing item. Paid $10.00 for item #342543.    9-1-2019  - Due: 8-6-2019. Notified: 8-13-2019, 8-20-2019, 8-28-2019, 10-29-2019"</f>
        <v>2019-12-30  - mm - WB - Member mailed a check #379 for missing item. Paid $10.00 for item #342543.    9-1-2019  - Due: 8-6-2019. Notified: 8-13-2019, 8-20-2019, 8-28-2019, 10-29-2019</v>
      </c>
      <c r="G529" s="3" t="str">
        <f>"Barbie Dreamtopia: the birthday wish"</f>
        <v>Barbie Dreamtopia: the birthday wish</v>
      </c>
      <c r="H529" t="str">
        <f>"Man-Kong, Mary"</f>
        <v>Man-Kong, Mary</v>
      </c>
      <c r="I529">
        <v>16</v>
      </c>
      <c r="J529" s="2">
        <v>43669</v>
      </c>
      <c r="K529" s="1">
        <v>10</v>
      </c>
    </row>
    <row r="530" spans="1:11" ht="16" x14ac:dyDescent="0.2">
      <c r="A530">
        <v>342858</v>
      </c>
      <c r="B530" t="str">
        <f>"E COUSI"</f>
        <v>E COUSI</v>
      </c>
      <c r="C530" t="s">
        <v>3541</v>
      </c>
      <c r="D530" t="s">
        <v>3542</v>
      </c>
      <c r="E530">
        <v>5134324</v>
      </c>
      <c r="F530" s="3" t="str">
        <f>"2020-01-24  - Due: 12-27-2019. Notified: 1-3-2020, 1-10-2020, 1-17-2020"</f>
        <v>2020-01-24  - Due: 12-27-2019. Notified: 1-3-2020, 1-10-2020, 1-17-2020</v>
      </c>
      <c r="G530" s="3" t="str">
        <f>"Maisy goes to the library"</f>
        <v>Maisy goes to the library</v>
      </c>
      <c r="H530" t="str">
        <f>"Cousins, Lucy"</f>
        <v>Cousins, Lucy</v>
      </c>
      <c r="I530">
        <v>18</v>
      </c>
      <c r="J530" s="2">
        <v>43799</v>
      </c>
      <c r="K530" s="1">
        <v>12</v>
      </c>
    </row>
    <row r="531" spans="1:11" ht="16" x14ac:dyDescent="0.2">
      <c r="A531">
        <v>342868</v>
      </c>
      <c r="B531" t="str">
        <f>"J STILT"</f>
        <v>J STILT</v>
      </c>
      <c r="C531" t="s">
        <v>3541</v>
      </c>
      <c r="D531" t="s">
        <v>3542</v>
      </c>
      <c r="E531">
        <v>5145310</v>
      </c>
      <c r="F531" s="3" t="str">
        <f>"2019-10-07  - Due: 9-11-2019. Notified: 9-18-2019, 9-26-2019, 10-2-2019"</f>
        <v>2019-10-07  - Due: 9-11-2019. Notified: 9-18-2019, 9-26-2019, 10-2-2019</v>
      </c>
      <c r="G531" s="3" t="str">
        <f>"Micekings: the mysterious message"</f>
        <v>Micekings: the mysterious message</v>
      </c>
      <c r="H531" t="str">
        <f>"Stilton, Geronimo"</f>
        <v>Stilton, Geronimo</v>
      </c>
      <c r="I531">
        <v>23</v>
      </c>
      <c r="J531" s="2">
        <v>43662</v>
      </c>
      <c r="K531" s="1">
        <v>13</v>
      </c>
    </row>
    <row r="532" spans="1:11" ht="16" x14ac:dyDescent="0.2">
      <c r="A532">
        <v>342924</v>
      </c>
      <c r="B532" t="str">
        <f>"B LEGON"</f>
        <v>B LEGON</v>
      </c>
      <c r="C532" t="s">
        <v>3541</v>
      </c>
      <c r="D532" t="s">
        <v>3542</v>
      </c>
      <c r="E532">
        <v>5174442</v>
      </c>
      <c r="F532" s="3" t="str">
        <f>"2020-01-24  - Due: 12-27-2019. Notified: 1-3-2020, 1-10-2020, 1-17-2020"</f>
        <v>2020-01-24  - Due: 12-27-2019. Notified: 1-3-2020, 1-10-2020, 1-17-2020</v>
      </c>
      <c r="G532" s="3" t="str">
        <f>"LEGO, the Ninjago movie: secret Ninja force"</f>
        <v>LEGO, the Ninjago movie: secret Ninja force</v>
      </c>
      <c r="H532" t="str">
        <f>"March, Julia."</f>
        <v>March, Julia.</v>
      </c>
      <c r="I532">
        <v>23</v>
      </c>
      <c r="J532" s="2">
        <v>43809</v>
      </c>
      <c r="K532" s="1">
        <v>9</v>
      </c>
    </row>
    <row r="533" spans="1:11" ht="32" x14ac:dyDescent="0.2">
      <c r="A533">
        <v>342967</v>
      </c>
      <c r="B533" t="str">
        <f>"657 DRO"</f>
        <v>657 DRO</v>
      </c>
      <c r="C533" t="s">
        <v>3541</v>
      </c>
      <c r="D533" t="s">
        <v>3542</v>
      </c>
      <c r="E533">
        <v>5102047</v>
      </c>
      <c r="F533" s="3" t="str">
        <f>"2019-12-11  - Due: 11-12-2019. Notified: 11-19-2019, 11-26-2019, 12-4-2019, 1-21-2020"</f>
        <v>2019-12-11  - Due: 11-12-2019. Notified: 11-19-2019, 11-26-2019, 12-4-2019, 1-21-2020</v>
      </c>
      <c r="G533" s="3" t="str">
        <f>"Finance and accounting for nonfinancial managers: all the basics you need to know"</f>
        <v>Finance and accounting for nonfinancial managers: all the basics you need to know</v>
      </c>
      <c r="H533" t="str">
        <f>"Droms, William G., (1944-)"</f>
        <v>Droms, William G., (1944-)</v>
      </c>
      <c r="I533">
        <v>6</v>
      </c>
      <c r="J533" s="2">
        <v>43767</v>
      </c>
      <c r="K533" s="1">
        <v>27</v>
      </c>
    </row>
    <row r="534" spans="1:11" ht="16" x14ac:dyDescent="0.2">
      <c r="A534">
        <v>343211</v>
      </c>
      <c r="B534" t="str">
        <f>"643.4 BOU"</f>
        <v>643.4 BOU</v>
      </c>
      <c r="C534" t="s">
        <v>3545</v>
      </c>
      <c r="D534" t="str">
        <f>"Tech Serv"</f>
        <v>Tech Serv</v>
      </c>
      <c r="E534" t="s">
        <v>3544</v>
      </c>
      <c r="F534" s="3" t="str">
        <f>"2020-01-31  - JW - Check In - WB - Set of pages is completely loose."</f>
        <v>2020-01-31  - JW - Check In - WB - Set of pages is completely loose.</v>
      </c>
      <c r="G534" s="3" t="str">
        <f>"Taunton's all new built-ins idea book"</f>
        <v>Taunton's all new built-ins idea book</v>
      </c>
      <c r="H534" t="str">
        <f>"Bouknight, Joanne Kellar"</f>
        <v>Bouknight, Joanne Kellar</v>
      </c>
      <c r="I534">
        <v>9</v>
      </c>
      <c r="J534" s="2">
        <v>43813</v>
      </c>
      <c r="K534" s="1">
        <v>25</v>
      </c>
    </row>
    <row r="535" spans="1:11" ht="32" x14ac:dyDescent="0.2">
      <c r="A535">
        <v>343306</v>
      </c>
      <c r="B535" t="str">
        <f>"158 GAL"</f>
        <v>158 GAL</v>
      </c>
      <c r="C535" t="s">
        <v>3541</v>
      </c>
      <c r="D535" t="s">
        <v>3542</v>
      </c>
      <c r="E535">
        <v>5213230</v>
      </c>
      <c r="F535" s="3" t="str">
        <f>"2019-12-02  - mm - WB - Member paid $21 for the missing book #343306.    12-2-2019  - Due: 11-20-2019. Notified: 11-30-2019"</f>
        <v>2019-12-02  - mm - WB - Member paid $21 for the missing book #343306.    12-2-2019  - Due: 11-20-2019. Notified: 11-30-2019</v>
      </c>
      <c r="G535" s="3" t="str">
        <f>"In a daze work: a pick-your-path journey through the daily grind"</f>
        <v>In a daze work: a pick-your-path journey through the daily grind</v>
      </c>
      <c r="H535" t="str">
        <f>"Gallagher, Siobh�n"</f>
        <v>Gallagher, Siobh�n</v>
      </c>
      <c r="I535">
        <v>3</v>
      </c>
      <c r="J535" s="2">
        <v>43730</v>
      </c>
      <c r="K535" s="1">
        <v>21</v>
      </c>
    </row>
    <row r="536" spans="1:11" ht="16" x14ac:dyDescent="0.2">
      <c r="A536">
        <v>343460</v>
      </c>
      <c r="B536" t="str">
        <f>"E STARW"</f>
        <v>E STARW</v>
      </c>
      <c r="C536" t="s">
        <v>3545</v>
      </c>
      <c r="D536" t="str">
        <f>"Tech Serv"</f>
        <v>Tech Serv</v>
      </c>
      <c r="E536" t="s">
        <v>3544</v>
      </c>
      <c r="F536" s="3" t="str">
        <f>"2019-12-06  - JW - Check In - WB - Spine damage, page beginning to fall out."</f>
        <v>2019-12-06  - JW - Check In - WB - Spine damage, page beginning to fall out.</v>
      </c>
      <c r="G536" s="3" t="str">
        <f>"BB-8 on the run"</f>
        <v>BB-8 on the run</v>
      </c>
      <c r="H536" t="str">
        <f>"Daywalt, Drew."</f>
        <v>Daywalt, Drew.</v>
      </c>
      <c r="I536">
        <v>20</v>
      </c>
      <c r="J536" s="2">
        <v>43791</v>
      </c>
      <c r="K536" s="1">
        <v>23</v>
      </c>
    </row>
    <row r="537" spans="1:11" ht="48" x14ac:dyDescent="0.2">
      <c r="A537">
        <v>343849</v>
      </c>
      <c r="B537" t="str">
        <f>"J MEADO"</f>
        <v>J MEADO</v>
      </c>
      <c r="C537" t="s">
        <v>3545</v>
      </c>
      <c r="D537" t="str">
        <f>"Tech Serv"</f>
        <v>Tech Serv</v>
      </c>
      <c r="E537">
        <v>5182249</v>
      </c>
      <c r="F537" s="3" t="str">
        <f>"2020-01-16  - kh - LL - Resolving on member's account and sending along to tech services.    1-15-2020  - kt - member claims they did not damage book    1-15-2020  - BD - LL - emailed    1-15-2020  - TL - Check In - LL - Book has many ruined pages."</f>
        <v>2020-01-16  - kh - LL - Resolving on member's account and sending along to tech services.    1-15-2020  - kt - member claims they did not damage book    1-15-2020  - BD - LL - emailed    1-15-2020  - TL - Check In - LL - Book has many ruined pages.</v>
      </c>
      <c r="G537" s="3" t="str">
        <f>"Michelle the winter wonderland fairy"</f>
        <v>Michelle the winter wonderland fairy</v>
      </c>
      <c r="H537" t="str">
        <f>"Meadows, Daisy"</f>
        <v>Meadows, Daisy</v>
      </c>
      <c r="I537">
        <v>21</v>
      </c>
      <c r="J537" s="2">
        <v>43813</v>
      </c>
      <c r="K537" s="1">
        <v>12</v>
      </c>
    </row>
    <row r="538" spans="1:11" ht="16" x14ac:dyDescent="0.2">
      <c r="A538">
        <v>343922</v>
      </c>
      <c r="B538" t="str">
        <f>"J PILKE"</f>
        <v>J PILKE</v>
      </c>
      <c r="C538" t="s">
        <v>3541</v>
      </c>
      <c r="D538" t="s">
        <v>3542</v>
      </c>
      <c r="E538">
        <v>5207309</v>
      </c>
      <c r="F538" s="3" t="str">
        <f>"2020-01-03  - Due: 12-4-2019. Notified: 12-11-2019, 12-18-2019, 12-27-2019"</f>
        <v>2020-01-03  - Due: 12-4-2019. Notified: 12-11-2019, 12-18-2019, 12-27-2019</v>
      </c>
      <c r="G538" s="3" t="str">
        <f>"Super diaper baby 2: the invasion of the potty snatchers"</f>
        <v>Super diaper baby 2: the invasion of the potty snatchers</v>
      </c>
      <c r="H538" t="str">
        <f>"Pilkey, Dav (1966-)"</f>
        <v>Pilkey, Dav (1966-)</v>
      </c>
      <c r="I538">
        <v>40</v>
      </c>
      <c r="J538" s="2">
        <v>43778</v>
      </c>
      <c r="K538" s="1">
        <v>15</v>
      </c>
    </row>
    <row r="539" spans="1:11" ht="32" x14ac:dyDescent="0.2">
      <c r="A539">
        <v>343928</v>
      </c>
      <c r="B539" t="str">
        <f>"B PJMAS"</f>
        <v>B PJMAS</v>
      </c>
      <c r="C539" t="s">
        <v>3541</v>
      </c>
      <c r="D539" t="s">
        <v>3542</v>
      </c>
      <c r="E539">
        <v>5209009</v>
      </c>
      <c r="F539" s="3" t="str">
        <f>"2019-12-01  - rm - LL - Member has paid $9.00 for lost book by cc.    12-1-2019  - Due: 11-16-2019. Notified: 11-23-2019, 11-30-2019"</f>
        <v>2019-12-01  - rm - LL - Member has paid $9.00 for lost book by cc.    12-1-2019  - Due: 11-16-2019. Notified: 11-23-2019, 11-30-2019</v>
      </c>
      <c r="G539" s="3" t="str">
        <f>"PJ Masks save the library!"</f>
        <v>PJ Masks save the library!</v>
      </c>
      <c r="H539" t="str">
        <f>"Pendergrass, Daphne"</f>
        <v>Pendergrass, Daphne</v>
      </c>
      <c r="I539">
        <v>16</v>
      </c>
      <c r="J539" s="2">
        <v>43737</v>
      </c>
      <c r="K539" s="1">
        <v>9</v>
      </c>
    </row>
    <row r="540" spans="1:11" ht="16" x14ac:dyDescent="0.2">
      <c r="A540">
        <v>343931</v>
      </c>
      <c r="B540" t="str">
        <f>"J MEADO"</f>
        <v>J MEADO</v>
      </c>
      <c r="C540" t="s">
        <v>3545</v>
      </c>
      <c r="D540" t="str">
        <f>"Tech Serv"</f>
        <v>Tech Serv</v>
      </c>
      <c r="E540" t="s">
        <v>3544</v>
      </c>
      <c r="F540" s="3" t="str">
        <f>"2020-01-10  - JW - Check In - WB - Spine is loose and separating."</f>
        <v>2020-01-10  - JW - Check In - WB - Spine is loose and separating.</v>
      </c>
      <c r="G540" s="3" t="str">
        <f>"The ultimate fairy guide"</f>
        <v>The ultimate fairy guide</v>
      </c>
      <c r="H540" t="str">
        <f>"Meadows, Daisy"</f>
        <v>Meadows, Daisy</v>
      </c>
      <c r="I540">
        <v>36</v>
      </c>
      <c r="J540" s="2">
        <v>43810</v>
      </c>
      <c r="K540" s="1">
        <v>15</v>
      </c>
    </row>
    <row r="541" spans="1:11" ht="16" x14ac:dyDescent="0.2">
      <c r="A541">
        <v>343938</v>
      </c>
      <c r="B541" t="str">
        <f>"E SIMON"</f>
        <v>E SIMON</v>
      </c>
      <c r="C541" t="s">
        <v>3545</v>
      </c>
      <c r="D541" t="str">
        <f>"Tech Serv"</f>
        <v>Tech Serv</v>
      </c>
      <c r="E541" t="s">
        <v>3544</v>
      </c>
      <c r="F541" s="3" t="str">
        <f>"2019-12-05  - mlvs - Check In - LL - page loose"</f>
        <v>2019-12-05  - mlvs - Check In - LL - page loose</v>
      </c>
      <c r="G541" s="3" t="str">
        <f>"The stray dog"</f>
        <v>The stray dog</v>
      </c>
      <c r="H541" t="str">
        <f>"Sassa, Reiko"</f>
        <v>Sassa, Reiko</v>
      </c>
      <c r="I541">
        <v>18</v>
      </c>
      <c r="J541" s="2">
        <v>43801</v>
      </c>
      <c r="K541" s="1">
        <v>12</v>
      </c>
    </row>
    <row r="542" spans="1:11" ht="16" x14ac:dyDescent="0.2">
      <c r="A542">
        <v>344249</v>
      </c>
      <c r="B542" t="str">
        <f>"J LEGO"</f>
        <v>J LEGO</v>
      </c>
      <c r="C542" t="s">
        <v>3541</v>
      </c>
      <c r="D542" t="s">
        <v>3542</v>
      </c>
      <c r="E542" t="s">
        <v>3544</v>
      </c>
      <c r="F542" s="3" t="str">
        <f>"2019-08-31  - BD - 3 searches completed at LL"</f>
        <v>2019-08-31  - BD - 3 searches completed at LL</v>
      </c>
      <c r="G542" s="3" t="str">
        <f>"Justice League vs Bizarro League"</f>
        <v>Justice League vs Bizarro League</v>
      </c>
      <c r="H542" t="str">
        <f>"Bright, J. E"</f>
        <v>Bright, J. E</v>
      </c>
      <c r="I542">
        <v>5</v>
      </c>
      <c r="J542" s="2">
        <v>43444</v>
      </c>
      <c r="K542" s="1">
        <v>10</v>
      </c>
    </row>
    <row r="543" spans="1:11" ht="32" x14ac:dyDescent="0.2">
      <c r="A543">
        <v>344828</v>
      </c>
      <c r="B543" t="str">
        <f>"613.2 SEA"</f>
        <v>613.2 SEA</v>
      </c>
      <c r="C543" t="s">
        <v>3541</v>
      </c>
      <c r="D543" t="s">
        <v>3542</v>
      </c>
      <c r="E543" t="s">
        <v>3544</v>
      </c>
      <c r="F543" s="3" t="str">
        <f>"2020-01-23  - ss - searched 3 times"</f>
        <v>2020-01-23  - ss - searched 3 times</v>
      </c>
      <c r="G543" s="3" t="str">
        <f>"The Mediterranean zone: unleash the power of the world's healthiest diet for superior weight loss, health, and longevity"</f>
        <v>The Mediterranean zone: unleash the power of the world's healthiest diet for superior weight loss, health, and longevity</v>
      </c>
      <c r="H543" t="str">
        <f>"Sears, Barry (1947-)"</f>
        <v>Sears, Barry (1947-)</v>
      </c>
      <c r="I543">
        <v>14</v>
      </c>
      <c r="J543" s="2">
        <v>43838</v>
      </c>
      <c r="K543" s="1">
        <v>32</v>
      </c>
    </row>
    <row r="544" spans="1:11" ht="16" x14ac:dyDescent="0.2">
      <c r="A544">
        <v>344988</v>
      </c>
      <c r="B544" t="str">
        <f>"J REYNO"</f>
        <v>J REYNO</v>
      </c>
      <c r="C544" t="s">
        <v>3541</v>
      </c>
      <c r="D544" t="s">
        <v>3542</v>
      </c>
      <c r="E544">
        <v>5131023</v>
      </c>
      <c r="F544" s="3" t="str">
        <f>"2019-09-27  - Due: 8-30-2019. Notified: 9-6-2019, 9-13-2019, 9-20-2019, 10-29-2019"</f>
        <v>2019-09-27  - Due: 8-30-2019. Notified: 9-6-2019, 9-13-2019, 9-20-2019, 10-29-2019</v>
      </c>
      <c r="G544" s="3" t="s">
        <v>3606</v>
      </c>
      <c r="H544" t="str">
        <f>"Reynolds, Jason."</f>
        <v>Reynolds, Jason.</v>
      </c>
      <c r="I544">
        <v>17</v>
      </c>
      <c r="J544" s="2">
        <v>43687</v>
      </c>
      <c r="K544" s="1">
        <v>22</v>
      </c>
    </row>
    <row r="545" spans="1:11" ht="16" x14ac:dyDescent="0.2">
      <c r="A545">
        <v>344989</v>
      </c>
      <c r="B545" t="str">
        <f>"E PEPPA"</f>
        <v>E PEPPA</v>
      </c>
      <c r="C545" t="s">
        <v>3541</v>
      </c>
      <c r="D545" t="s">
        <v>3542</v>
      </c>
      <c r="E545" t="s">
        <v>3544</v>
      </c>
      <c r="F545" s="3" t="str">
        <f>"2019-06-14  - Inventory - "</f>
        <v xml:space="preserve">2019-06-14  - Inventory - </v>
      </c>
      <c r="G545" s="3" t="str">
        <f>"Peppa Pig and the library visit"</f>
        <v>Peppa Pig and the library visit</v>
      </c>
      <c r="I545">
        <v>8</v>
      </c>
      <c r="J545" s="2">
        <v>43264</v>
      </c>
      <c r="K545" s="1">
        <v>18</v>
      </c>
    </row>
    <row r="546" spans="1:11" ht="32" x14ac:dyDescent="0.2">
      <c r="A546">
        <v>344990</v>
      </c>
      <c r="B546" t="str">
        <f>"J BUYEA"</f>
        <v>J BUYEA</v>
      </c>
      <c r="C546" t="s">
        <v>3541</v>
      </c>
      <c r="D546" t="s">
        <v>3542</v>
      </c>
      <c r="E546">
        <v>5066230</v>
      </c>
      <c r="F546" s="3" t="str">
        <f>"2020-01-22  - mbw - WB - member paid $22 on 1/22/20    12-24-2019  - Due: 11-25-2019. Notified: 12-2-2019, 12-9-2019, 12-16-2019"</f>
        <v>2020-01-22  - mbw - WB - member paid $22 on 1/22/20    12-24-2019  - Due: 11-25-2019. Notified: 12-2-2019, 12-9-2019, 12-16-2019</v>
      </c>
      <c r="G546" s="3" t="str">
        <f>"The perfect score"</f>
        <v>The perfect score</v>
      </c>
      <c r="H546" t="str">
        <f>"Buyea, Rob."</f>
        <v>Buyea, Rob.</v>
      </c>
      <c r="I546">
        <v>7</v>
      </c>
      <c r="J546" s="2">
        <v>43759</v>
      </c>
      <c r="K546" s="1">
        <v>22</v>
      </c>
    </row>
    <row r="547" spans="1:11" ht="16" x14ac:dyDescent="0.2">
      <c r="A547">
        <v>345024</v>
      </c>
      <c r="B547" t="str">
        <f>"E PEPPA"</f>
        <v>E PEPPA</v>
      </c>
      <c r="C547" t="s">
        <v>3541</v>
      </c>
      <c r="D547" t="s">
        <v>3542</v>
      </c>
      <c r="E547" t="s">
        <v>3544</v>
      </c>
      <c r="F547" s="3" t="str">
        <f>"2019-06-14  - Inventory - "</f>
        <v xml:space="preserve">2019-06-14  - Inventory - </v>
      </c>
      <c r="G547" s="3" t="str">
        <f>"Peppa's Valentine's Day"</f>
        <v>Peppa's Valentine's Day</v>
      </c>
      <c r="H547" t="str">
        <f>"Carbone, Courtney"</f>
        <v>Carbone, Courtney</v>
      </c>
      <c r="I547">
        <v>21</v>
      </c>
      <c r="J547" s="2">
        <v>43572</v>
      </c>
      <c r="K547" s="1">
        <v>10</v>
      </c>
    </row>
    <row r="548" spans="1:11" ht="16" x14ac:dyDescent="0.2">
      <c r="A548">
        <v>345148</v>
      </c>
      <c r="B548" t="str">
        <f>"J 921 GRA"</f>
        <v>J 921 GRA</v>
      </c>
      <c r="C548" t="s">
        <v>3541</v>
      </c>
      <c r="D548" t="s">
        <v>3542</v>
      </c>
      <c r="E548" t="s">
        <v>3544</v>
      </c>
      <c r="F548" s="3" t="str">
        <f>"2019-06-19  - TL - Is on reserve. Checked 3 times, couldn't find it."</f>
        <v>2019-06-19  - TL - Is on reserve. Checked 3 times, couldn't find it.</v>
      </c>
      <c r="G548" s="3" t="str">
        <f>"The girl who thought in pictures: the story of Dr. Temple Grandin"</f>
        <v>The girl who thought in pictures: the story of Dr. Temple Grandin</v>
      </c>
      <c r="H548" t="str">
        <f>"Mosca, Julia Finley"</f>
        <v>Mosca, Julia Finley</v>
      </c>
      <c r="I548">
        <v>4</v>
      </c>
      <c r="J548" s="2">
        <v>43406</v>
      </c>
      <c r="K548" s="1">
        <v>23</v>
      </c>
    </row>
    <row r="549" spans="1:11" ht="32" x14ac:dyDescent="0.2">
      <c r="A549">
        <v>345159</v>
      </c>
      <c r="B549" t="str">
        <f>"J GN SCIEN"</f>
        <v>J GN SCIEN</v>
      </c>
      <c r="C549" t="s">
        <v>3541</v>
      </c>
      <c r="D549" t="s">
        <v>3542</v>
      </c>
      <c r="E549">
        <v>5106436</v>
      </c>
      <c r="F549" s="3" t="str">
        <f>"2019-12-31  - PayPal - Paid    12-28-2019  - Due: 11-26-2019. Notified: 12-3-2019, 12-10-2019, 12-18-2019"</f>
        <v>2019-12-31  - PayPal - Paid    12-28-2019  - Due: 11-26-2019. Notified: 12-3-2019, 12-10-2019, 12-18-2019</v>
      </c>
      <c r="G549" s="3" t="str">
        <f>"Flying machines: how the Wright Brothers soared"</f>
        <v>Flying machines: how the Wright Brothers soared</v>
      </c>
      <c r="H549" t="str">
        <f>"Wilgus, Alison"</f>
        <v>Wilgus, Alison</v>
      </c>
      <c r="I549">
        <v>11</v>
      </c>
      <c r="J549" s="2">
        <v>43750</v>
      </c>
      <c r="K549" s="1">
        <v>18</v>
      </c>
    </row>
    <row r="550" spans="1:11" ht="16" x14ac:dyDescent="0.2">
      <c r="A550">
        <v>345627</v>
      </c>
      <c r="B550" t="str">
        <f>"F MORIA"</f>
        <v>F MORIA</v>
      </c>
      <c r="C550" t="s">
        <v>3545</v>
      </c>
      <c r="D550" t="str">
        <f>"Tech Serv"</f>
        <v>Tech Serv</v>
      </c>
      <c r="E550" t="s">
        <v>3544</v>
      </c>
      <c r="F550" s="3" t="str">
        <f>"2019-03-25  - mm - Check In - WB - Slightly damaged spine"</f>
        <v>2019-03-25  - mm - Check In - WB - Slightly damaged spine</v>
      </c>
      <c r="G550" s="3" t="str">
        <f>"Big little lies"</f>
        <v>Big little lies</v>
      </c>
      <c r="H550" t="str">
        <f>"Moriarty, Liane."</f>
        <v>Moriarty, Liane.</v>
      </c>
      <c r="I550">
        <v>18</v>
      </c>
      <c r="J550" s="2">
        <v>43536</v>
      </c>
      <c r="K550" s="1">
        <v>21</v>
      </c>
    </row>
    <row r="551" spans="1:11" ht="16" x14ac:dyDescent="0.2">
      <c r="A551">
        <v>345666</v>
      </c>
      <c r="B551" t="str">
        <f>"J 468.6 GAL"</f>
        <v>J 468.6 GAL</v>
      </c>
      <c r="C551" t="s">
        <v>3541</v>
      </c>
      <c r="D551" t="s">
        <v>3542</v>
      </c>
      <c r="E551">
        <v>5151471</v>
      </c>
      <c r="F551" s="3" t="str">
        <f>"2019-12-29  - Due: 11-30-2019. Notified: 12-7-2019, 12-14-2019, 12-23-2019"</f>
        <v>2019-12-29  - Due: 11-30-2019. Notified: 12-7-2019, 12-14-2019, 12-23-2019</v>
      </c>
      <c r="G551" s="3" t="str">
        <f>"�Es la hora de los esqueletos! = it's skeleton time!"</f>
        <v>�Es la hora de los esqueletos! = it's skeleton time!</v>
      </c>
      <c r="H551" t="str">
        <f>"Galan, Ana"</f>
        <v>Galan, Ana</v>
      </c>
      <c r="I551">
        <v>3</v>
      </c>
      <c r="J551" s="2">
        <v>43738</v>
      </c>
      <c r="K551" s="1">
        <v>11</v>
      </c>
    </row>
    <row r="552" spans="1:11" ht="16" x14ac:dyDescent="0.2">
      <c r="A552">
        <v>345676</v>
      </c>
      <c r="B552" t="str">
        <f>"J GN HATKE"</f>
        <v>J GN HATKE</v>
      </c>
      <c r="C552" t="s">
        <v>3545</v>
      </c>
      <c r="D552" t="str">
        <f>"Tech Serv"</f>
        <v>Tech Serv</v>
      </c>
      <c r="E552" t="s">
        <v>3544</v>
      </c>
      <c r="F552" s="3" t="str">
        <f>"2020-01-28  - ml - Check In - WB - pages separating from spine beginning pg 96, and soiled."</f>
        <v>2020-01-28  - ml - Check In - WB - pages separating from spine beginning pg 96, and soiled.</v>
      </c>
      <c r="G552" s="3" t="str">
        <f>"Mighty Jack and the Goblin King"</f>
        <v>Mighty Jack and the Goblin King</v>
      </c>
      <c r="H552" t="str">
        <f>"Hatke, Ben."</f>
        <v>Hatke, Ben.</v>
      </c>
      <c r="I552">
        <v>27</v>
      </c>
      <c r="J552" s="2">
        <v>43820</v>
      </c>
      <c r="K552" s="1">
        <v>28</v>
      </c>
    </row>
    <row r="553" spans="1:11" ht="16" x14ac:dyDescent="0.2">
      <c r="A553">
        <v>345712</v>
      </c>
      <c r="B553" t="str">
        <f>"J 468.6 REY"</f>
        <v>J 468.6 REY</v>
      </c>
      <c r="C553" t="s">
        <v>3541</v>
      </c>
      <c r="D553" t="s">
        <v>3542</v>
      </c>
      <c r="E553" t="s">
        <v>3544</v>
      </c>
      <c r="F553" s="3" t="str">
        <f>"2019-11-08  - Inventory - "</f>
        <v xml:space="preserve">2019-11-08  - Inventory - </v>
      </c>
      <c r="G553" s="3" t="str">
        <f>"Feliz navidad, Jorge el curioso"</f>
        <v>Feliz navidad, Jorge el curioso</v>
      </c>
      <c r="H553" t="str">
        <f>"Hapka, Cathy"</f>
        <v>Hapka, Cathy</v>
      </c>
      <c r="I553">
        <v>2</v>
      </c>
      <c r="K553" s="1">
        <v>16</v>
      </c>
    </row>
    <row r="554" spans="1:11" ht="16" x14ac:dyDescent="0.2">
      <c r="A554">
        <v>345842</v>
      </c>
      <c r="B554" t="str">
        <f>"J 636.7 JAC"</f>
        <v>J 636.7 JAC</v>
      </c>
      <c r="C554" t="s">
        <v>3541</v>
      </c>
      <c r="D554" t="s">
        <v>3542</v>
      </c>
      <c r="E554" t="s">
        <v>3544</v>
      </c>
      <c r="F554" s="3" t="str">
        <f>"2019-11-08  - Inventory - "</f>
        <v xml:space="preserve">2019-11-08  - Inventory - </v>
      </c>
      <c r="G554" s="3" t="str">
        <f>"Dog pals"</f>
        <v>Dog pals</v>
      </c>
      <c r="H554" t="str">
        <f>"Jacobs, Pat."</f>
        <v>Jacobs, Pat.</v>
      </c>
      <c r="I554">
        <v>2</v>
      </c>
      <c r="J554" s="2">
        <v>43662</v>
      </c>
      <c r="K554" s="1">
        <v>14</v>
      </c>
    </row>
    <row r="555" spans="1:11" ht="32" x14ac:dyDescent="0.2">
      <c r="A555">
        <v>345970</v>
      </c>
      <c r="B555" t="str">
        <f>"F HUNTE"</f>
        <v>F HUNTE</v>
      </c>
      <c r="C555" t="s">
        <v>3545</v>
      </c>
      <c r="D555" t="str">
        <f>"Tech Serv"</f>
        <v>Tech Serv</v>
      </c>
      <c r="E555">
        <v>52504</v>
      </c>
      <c r="F555" s="3" t="str">
        <f>"2020-01-25  - kt -     1-25-2020  - kt -     1-25-2020  - kt - member claims they did not damage book. removed from account.    1-25-2020  - BD - Check In - LL - liquid dmg"</f>
        <v>2020-01-25  - kt -     1-25-2020  - kt -     1-25-2020  - kt - member claims they did not damage book. removed from account.    1-25-2020  - BD - Check In - LL - liquid dmg</v>
      </c>
      <c r="G555" s="3" t="str">
        <f>"We were the lucky ones"</f>
        <v>We were the lucky ones</v>
      </c>
      <c r="H555" t="str">
        <f>"Hunter, Georgia, (1978-)"</f>
        <v>Hunter, Georgia, (1978-)</v>
      </c>
      <c r="I555">
        <v>19</v>
      </c>
      <c r="J555" s="2">
        <v>43838</v>
      </c>
      <c r="K555" s="1">
        <v>21</v>
      </c>
    </row>
    <row r="556" spans="1:11" ht="16" x14ac:dyDescent="0.2">
      <c r="A556">
        <v>346063</v>
      </c>
      <c r="B556" t="str">
        <f>"BB J 921 HAR"</f>
        <v>BB J 921 HAR</v>
      </c>
      <c r="C556" t="s">
        <v>3541</v>
      </c>
      <c r="D556" t="s">
        <v>3542</v>
      </c>
      <c r="E556" t="s">
        <v>3544</v>
      </c>
      <c r="F556" s="3" t="str">
        <f>"2019-09-06  - Inventory - "</f>
        <v xml:space="preserve">2019-09-06  - Inventory - </v>
      </c>
      <c r="G556" s="3" t="str">
        <f>"Keith Haring: the boy who just kept drawing"</f>
        <v>Keith Haring: the boy who just kept drawing</v>
      </c>
      <c r="H556" t="str">
        <f>"Haring, Kay"</f>
        <v>Haring, Kay</v>
      </c>
      <c r="I556">
        <v>9</v>
      </c>
      <c r="J556" s="2">
        <v>43352</v>
      </c>
      <c r="K556" s="1">
        <v>22</v>
      </c>
    </row>
    <row r="557" spans="1:11" ht="16" x14ac:dyDescent="0.2">
      <c r="A557">
        <v>346065</v>
      </c>
      <c r="B557" t="str">
        <f>"E CUMMI"</f>
        <v>E CUMMI</v>
      </c>
      <c r="C557" t="s">
        <v>3541</v>
      </c>
      <c r="D557" t="s">
        <v>3542</v>
      </c>
      <c r="E557" t="s">
        <v>3544</v>
      </c>
      <c r="F557" s="3" t="str">
        <f>"2019-06-14  - Inventory - "</f>
        <v xml:space="preserve">2019-06-14  - Inventory - </v>
      </c>
      <c r="G557" s="3" t="str">
        <f>"The adventures of Honey &amp; Leon"</f>
        <v>The adventures of Honey &amp; Leon</v>
      </c>
      <c r="H557" t="str">
        <f>"Cumming, Alan (1965-)"</f>
        <v>Cumming, Alan (1965-)</v>
      </c>
      <c r="I557">
        <v>4</v>
      </c>
      <c r="J557" s="2">
        <v>43264</v>
      </c>
      <c r="K557" s="1">
        <v>23</v>
      </c>
    </row>
    <row r="558" spans="1:11" ht="32" x14ac:dyDescent="0.2">
      <c r="A558">
        <v>346104</v>
      </c>
      <c r="B558" t="str">
        <f>"T HUGHE"</f>
        <v>T HUGHE</v>
      </c>
      <c r="C558" t="s">
        <v>3541</v>
      </c>
      <c r="D558" t="s">
        <v>3542</v>
      </c>
      <c r="E558">
        <v>5213665</v>
      </c>
      <c r="F558" s="3" t="str">
        <f>"2019-10-17  - Tess - WB - paid in full.    10-17-2019  - Tess - WB - Patron come in and said the book is lost.    10-17-2019  - Due: 10-16-2019."</f>
        <v>2019-10-17  - Tess - WB - paid in full.    10-17-2019  - Tess - WB - Patron come in and said the book is lost.    10-17-2019  - Due: 10-16-2019.</v>
      </c>
      <c r="G558" s="3" t="str">
        <f>"We're going on an egg hunt: lift the flaps and find the eggs!"</f>
        <v>We're going on an egg hunt: lift the flaps and find the eggs!</v>
      </c>
      <c r="H558" t="str">
        <f>"Hughes, Laura"</f>
        <v>Hughes, Laura</v>
      </c>
      <c r="I558">
        <v>9</v>
      </c>
      <c r="J558" s="2">
        <v>43740</v>
      </c>
      <c r="K558" s="1">
        <v>13</v>
      </c>
    </row>
    <row r="559" spans="1:11" ht="32" x14ac:dyDescent="0.2">
      <c r="A559">
        <v>346279</v>
      </c>
      <c r="B559" t="str">
        <f>"641.51 HAR"</f>
        <v>641.51 HAR</v>
      </c>
      <c r="C559" t="s">
        <v>3541</v>
      </c>
      <c r="D559" t="s">
        <v>3542</v>
      </c>
      <c r="E559" t="s">
        <v>3544</v>
      </c>
      <c r="F559" s="3" t="str">
        <f>"2020-01-05  - mm - Searched 3 times"</f>
        <v>2020-01-05  - mm - Searched 3 times</v>
      </c>
      <c r="G559" s="3" t="str">
        <f>"The whole30 fast &amp; easy: 150 simply delicious everyday recipes for your whole30"</f>
        <v>The whole30 fast &amp; easy: 150 simply delicious everyday recipes for your whole30</v>
      </c>
      <c r="H559" t="str">
        <f>"Hartwig, Melissa"</f>
        <v>Hartwig, Melissa</v>
      </c>
      <c r="I559">
        <v>21</v>
      </c>
      <c r="J559" s="2">
        <v>43741</v>
      </c>
      <c r="K559" s="1">
        <v>35</v>
      </c>
    </row>
    <row r="560" spans="1:11" ht="32" x14ac:dyDescent="0.2">
      <c r="A560">
        <v>346686</v>
      </c>
      <c r="B560" t="str">
        <f>"B BLACK"</f>
        <v>B BLACK</v>
      </c>
      <c r="C560" t="s">
        <v>3541</v>
      </c>
      <c r="D560" t="s">
        <v>3542</v>
      </c>
      <c r="E560">
        <v>5163171</v>
      </c>
      <c r="F560" s="3" t="str">
        <f>"2019-11-13  - cc - WB - Member paid$10.00 for book. 11.13.19    7-13-2019  - Due: 6-16-2019. Notified: 6-23-2019, 6-30-2019, 7-10-2019, 9-24-2019"</f>
        <v>2019-11-13  - cc - WB - Member paid$10.00 for book. 11.13.19    7-13-2019  - Due: 6-16-2019. Notified: 6-23-2019, 6-30-2019, 7-10-2019, 9-24-2019</v>
      </c>
      <c r="G560" s="3" t="str">
        <f>"Meet Black Panther"</f>
        <v>Meet Black Panther</v>
      </c>
      <c r="H560" t="str">
        <f>"Busse, R.R."</f>
        <v>Busse, R.R.</v>
      </c>
      <c r="I560">
        <v>9</v>
      </c>
      <c r="J560" s="2">
        <v>43599</v>
      </c>
      <c r="K560" s="1">
        <v>10</v>
      </c>
    </row>
    <row r="561" spans="1:11" ht="16" x14ac:dyDescent="0.2">
      <c r="A561">
        <v>346687</v>
      </c>
      <c r="B561" t="str">
        <f>"J DASGU"</f>
        <v>J DASGU</v>
      </c>
      <c r="C561" t="s">
        <v>3541</v>
      </c>
      <c r="D561" t="s">
        <v>3542</v>
      </c>
      <c r="E561">
        <v>5174051</v>
      </c>
      <c r="F561" s="3" t="str">
        <f>"2020-01-24  - Due: 12-27-2019. Notified: 1-3-2020, 1-10-2020, 1-17-2020"</f>
        <v>2020-01-24  - Due: 12-27-2019. Notified: 1-3-2020, 1-10-2020, 1-17-2020</v>
      </c>
      <c r="G561" s="3" t="str">
        <f>"The serpent's secret"</f>
        <v>The serpent's secret</v>
      </c>
      <c r="H561" t="str">
        <f>"DasGupta, Sayantani,"</f>
        <v>DasGupta, Sayantani,</v>
      </c>
      <c r="I561">
        <v>11</v>
      </c>
      <c r="J561" s="2">
        <v>43809</v>
      </c>
      <c r="K561" s="1">
        <v>23</v>
      </c>
    </row>
    <row r="562" spans="1:11" ht="32" x14ac:dyDescent="0.2">
      <c r="A562">
        <v>346768</v>
      </c>
      <c r="B562" t="str">
        <f>"J 700 COO"</f>
        <v>J 700 COO</v>
      </c>
      <c r="C562" t="s">
        <v>3541</v>
      </c>
      <c r="D562" t="s">
        <v>3542</v>
      </c>
      <c r="E562">
        <v>5145825</v>
      </c>
      <c r="F562" s="3" t="str">
        <f>"2020-01-18  - kl - WB - paid for lost book $18    10-20-2019  - Due: 9-24-2019. Notified: 10-1-2019, 10-8-2019, 10-16-2019, 12-10-2019"</f>
        <v>2020-01-18  - kl - WB - paid for lost book $18    10-20-2019  - Due: 9-24-2019. Notified: 10-1-2019, 10-8-2019, 10-16-2019, 12-10-2019</v>
      </c>
      <c r="G562" s="3" t="str">
        <f>"Little Leonardo's fascinating world of the arts"</f>
        <v>Little Leonardo's fascinating world of the arts</v>
      </c>
      <c r="H562" t="str">
        <f>"Cooper, Bob (1963-)"</f>
        <v>Cooper, Bob (1963-)</v>
      </c>
      <c r="I562">
        <v>2</v>
      </c>
      <c r="J562" s="2">
        <v>43689</v>
      </c>
      <c r="K562" s="1">
        <v>18</v>
      </c>
    </row>
    <row r="563" spans="1:11" ht="32" x14ac:dyDescent="0.2">
      <c r="A563">
        <v>346851</v>
      </c>
      <c r="B563" t="str">
        <f>"J GN CRADD"</f>
        <v>J GN CRADD</v>
      </c>
      <c r="C563" t="s">
        <v>3541</v>
      </c>
      <c r="D563" t="s">
        <v>3542</v>
      </c>
      <c r="E563">
        <v>5212061</v>
      </c>
      <c r="F563" s="3" t="str">
        <f>"2019-12-11  - TL - LL - Member paid $23 on 12/11/19. She is still looking for it.    12-11-2019  - Due: 12-18-2019."</f>
        <v>2019-12-11  - TL - LL - Member paid $23 on 12/11/19. She is still looking for it.    12-11-2019  - Due: 12-18-2019.</v>
      </c>
      <c r="G563" s="3" t="str">
        <f>"Ninja slice"</f>
        <v>Ninja slice</v>
      </c>
      <c r="H563" t="str">
        <f>"Craddock, Erik."</f>
        <v>Craddock, Erik.</v>
      </c>
      <c r="I563">
        <v>19</v>
      </c>
      <c r="J563" s="2">
        <v>43774</v>
      </c>
      <c r="K563" s="1">
        <v>23</v>
      </c>
    </row>
    <row r="564" spans="1:11" ht="32" x14ac:dyDescent="0.2">
      <c r="A564">
        <v>346851</v>
      </c>
      <c r="B564" t="str">
        <f>"J GN CRADD"</f>
        <v>J GN CRADD</v>
      </c>
      <c r="C564" t="s">
        <v>3541</v>
      </c>
      <c r="D564" t="s">
        <v>3542</v>
      </c>
      <c r="E564">
        <v>5212020</v>
      </c>
      <c r="F564" s="3" t="str">
        <f>"2019-12-11  - TL - LL - Member paid $23 on 12/11/19. She is still looking for it.    12-11-2019  - Due: 12-18-2019."</f>
        <v>2019-12-11  - TL - LL - Member paid $23 on 12/11/19. She is still looking for it.    12-11-2019  - Due: 12-18-2019.</v>
      </c>
      <c r="G564" s="3" t="str">
        <f>"Ninja slice"</f>
        <v>Ninja slice</v>
      </c>
      <c r="H564" t="str">
        <f>"Craddock, Erik."</f>
        <v>Craddock, Erik.</v>
      </c>
      <c r="I564">
        <v>19</v>
      </c>
      <c r="J564" s="2">
        <v>43774</v>
      </c>
      <c r="K564" s="1">
        <v>23</v>
      </c>
    </row>
    <row r="565" spans="1:11" ht="32" x14ac:dyDescent="0.2">
      <c r="A565">
        <v>346944</v>
      </c>
      <c r="B565" t="str">
        <f>"E BEREN"</f>
        <v>E BEREN</v>
      </c>
      <c r="C565" t="s">
        <v>3541</v>
      </c>
      <c r="D565" t="s">
        <v>3542</v>
      </c>
      <c r="E565">
        <v>5216389</v>
      </c>
      <c r="F565" s="3" t="str">
        <f>"2019-12-30  - mm - WB - Member mailed a check #379 for missing item. Paid $10.00 for item #346944.    9-1-2019  - Due: 8-6-2019. Notified: 8-13-2019, 8-20-2019, 8-28-2019, 10-29-2019"</f>
        <v>2019-12-30  - mm - WB - Member mailed a check #379 for missing item. Paid $10.00 for item #346944.    9-1-2019  - Due: 8-6-2019. Notified: 8-13-2019, 8-20-2019, 8-28-2019, 10-29-2019</v>
      </c>
      <c r="G565" s="3" t="str">
        <f>"We love our dad! ; We love our mom!"</f>
        <v>We love our dad! ; We love our mom!</v>
      </c>
      <c r="H565" t="str">
        <f>"Berenstain, Jan (1923-2012.)"</f>
        <v>Berenstain, Jan (1923-2012.)</v>
      </c>
      <c r="I565">
        <v>16</v>
      </c>
      <c r="J565" s="2">
        <v>43669</v>
      </c>
      <c r="K565" s="1">
        <v>10</v>
      </c>
    </row>
    <row r="566" spans="1:11" ht="16" x14ac:dyDescent="0.2">
      <c r="A566">
        <v>346972</v>
      </c>
      <c r="B566" t="str">
        <f>"J MCMAN"</f>
        <v>J MCMAN</v>
      </c>
      <c r="C566" t="s">
        <v>3541</v>
      </c>
      <c r="D566" t="s">
        <v>3542</v>
      </c>
      <c r="E566">
        <v>5078251</v>
      </c>
      <c r="F566" s="3" t="str">
        <f>"2020-01-24  - Due: 12-27-2019. Notified: 1-3-2020, 1-10-2020, 1-17-2020"</f>
        <v>2020-01-24  - Due: 12-27-2019. Notified: 1-3-2020, 1-10-2020, 1-17-2020</v>
      </c>
      <c r="G566" s="3" t="str">
        <f>"Island of fire"</f>
        <v>Island of fire</v>
      </c>
      <c r="H566" t="str">
        <f>"McMann, Lisa."</f>
        <v>McMann, Lisa.</v>
      </c>
      <c r="I566">
        <v>11</v>
      </c>
      <c r="J566" s="2">
        <v>43787</v>
      </c>
      <c r="K566" s="1">
        <v>14</v>
      </c>
    </row>
    <row r="567" spans="1:11" ht="16" x14ac:dyDescent="0.2">
      <c r="A567">
        <v>347189</v>
      </c>
      <c r="B567" t="str">
        <f>"J 791.43 WAL"</f>
        <v>J 791.43 WAL</v>
      </c>
      <c r="C567" t="s">
        <v>3545</v>
      </c>
      <c r="D567" t="str">
        <f>"Tech Serv"</f>
        <v>Tech Serv</v>
      </c>
      <c r="E567" t="s">
        <v>3544</v>
      </c>
      <c r="F567" s="3" t="str">
        <f>"2020-01-14  - TL - Check In - WB - Pages 7-10 are falling out, and pages 81 and 181 are torn."</f>
        <v>2020-01-14  - TL - Check In - WB - Pages 7-10 are falling out, and pages 81 and 181 are torn.</v>
      </c>
      <c r="G567" s="3" t="str">
        <f>"Star Wars encyclopedia of starfighters and other vehicles"</f>
        <v>Star Wars encyclopedia of starfighters and other vehicles</v>
      </c>
      <c r="H567" t="str">
        <f>"Walker, Landry Q. (Landry Quinn)"</f>
        <v>Walker, Landry Q. (Landry Quinn)</v>
      </c>
      <c r="I567">
        <v>18</v>
      </c>
      <c r="J567" s="2">
        <v>43799</v>
      </c>
      <c r="K567" s="1">
        <v>22</v>
      </c>
    </row>
    <row r="568" spans="1:11" ht="32" x14ac:dyDescent="0.2">
      <c r="A568">
        <v>347411</v>
      </c>
      <c r="B568" t="str">
        <f>"J GN REX"</f>
        <v>J GN REX</v>
      </c>
      <c r="C568" t="s">
        <v>3545</v>
      </c>
      <c r="D568" t="str">
        <f>"Tech Serv"</f>
        <v>Tech Serv</v>
      </c>
      <c r="E568" t="s">
        <v>3544</v>
      </c>
      <c r="F568" s="3" t="str">
        <f>"2019-04-26  - BD - Check In - WB - unsure if this is water damage, but the first page is distinctly warped; can we remove it?"</f>
        <v>2019-04-26  - BD - Check In - WB - unsure if this is water damage, but the first page is distinctly warped; can we remove it?</v>
      </c>
      <c r="G568" s="3" t="str">
        <f>"Fangbone!, third-grade barbarian: the egg misery"</f>
        <v>Fangbone!, third-grade barbarian: the egg misery</v>
      </c>
      <c r="H568" t="str">
        <f>"Rex, Michael"</f>
        <v>Rex, Michael</v>
      </c>
      <c r="I568">
        <v>6</v>
      </c>
      <c r="J568" s="2">
        <v>43542</v>
      </c>
      <c r="K568" s="1">
        <v>13</v>
      </c>
    </row>
    <row r="569" spans="1:11" ht="16" x14ac:dyDescent="0.2">
      <c r="A569">
        <v>347418</v>
      </c>
      <c r="B569" t="str">
        <f>"YA SEBAS"</f>
        <v>YA SEBAS</v>
      </c>
      <c r="C569" t="s">
        <v>3541</v>
      </c>
      <c r="D569" t="s">
        <v>3542</v>
      </c>
      <c r="E569" t="s">
        <v>3544</v>
      </c>
      <c r="F569" s="3" t="str">
        <f>"2019-09-13  - Inventory - "</f>
        <v xml:space="preserve">2019-09-13  - Inventory - </v>
      </c>
      <c r="G569" s="3" t="str">
        <f>"Ash princess"</f>
        <v>Ash princess</v>
      </c>
      <c r="H569" t="str">
        <f>"Sebastian, Laura,"</f>
        <v>Sebastian, Laura,</v>
      </c>
      <c r="I569">
        <v>2</v>
      </c>
      <c r="J569" s="2">
        <v>43286</v>
      </c>
      <c r="K569" s="1">
        <v>24</v>
      </c>
    </row>
    <row r="570" spans="1:11" ht="16" x14ac:dyDescent="0.2">
      <c r="A570">
        <v>347529</v>
      </c>
      <c r="B570" t="str">
        <f>"YA KAGAW"</f>
        <v>YA KAGAW</v>
      </c>
      <c r="C570" t="s">
        <v>3541</v>
      </c>
      <c r="D570" t="s">
        <v>3542</v>
      </c>
      <c r="E570">
        <v>5174888</v>
      </c>
      <c r="F570" s="3" t="str">
        <f>"2019-09-17  - Due: 8-20-2019. Notified: 8-27-2019, 9-3-2019, 9-11-2019, 10-29-2019"</f>
        <v>2019-09-17  - Due: 8-20-2019. Notified: 8-27-2019, 9-3-2019, 9-11-2019, 10-29-2019</v>
      </c>
      <c r="G570" s="3" t="s">
        <v>3607</v>
      </c>
      <c r="H570" t="str">
        <f>"Kagawa, Julie"</f>
        <v>Kagawa, Julie</v>
      </c>
      <c r="I570">
        <v>4</v>
      </c>
      <c r="J570" s="2">
        <v>43683</v>
      </c>
      <c r="K570" s="1">
        <v>24</v>
      </c>
    </row>
    <row r="571" spans="1:11" ht="16" x14ac:dyDescent="0.2">
      <c r="A571">
        <v>347609</v>
      </c>
      <c r="B571" t="str">
        <f>"J MEADO"</f>
        <v>J MEADO</v>
      </c>
      <c r="C571" t="s">
        <v>3541</v>
      </c>
      <c r="D571" t="s">
        <v>3542</v>
      </c>
      <c r="E571">
        <v>5076737</v>
      </c>
      <c r="F571" s="3" t="str">
        <f>"2020-01-04  - Due: 12-5-2019. Notified: 12-12-2019, 12-19-2019, 12-27-2019"</f>
        <v>2020-01-04  - Due: 12-5-2019. Notified: 12-12-2019, 12-19-2019, 12-27-2019</v>
      </c>
      <c r="G571" s="3" t="str">
        <f>"Carly the school fairy"</f>
        <v>Carly the school fairy</v>
      </c>
      <c r="H571" t="str">
        <f>"Meadows, Daisy"</f>
        <v>Meadows, Daisy</v>
      </c>
      <c r="I571">
        <v>11</v>
      </c>
      <c r="J571" s="2">
        <v>43762</v>
      </c>
      <c r="K571" s="1">
        <v>12</v>
      </c>
    </row>
    <row r="572" spans="1:11" ht="32" x14ac:dyDescent="0.2">
      <c r="A572">
        <v>347926</v>
      </c>
      <c r="B572" t="str">
        <f>"F CHILD"</f>
        <v>F CHILD</v>
      </c>
      <c r="C572" t="s">
        <v>3541</v>
      </c>
      <c r="D572" t="s">
        <v>3542</v>
      </c>
      <c r="E572">
        <v>5182009</v>
      </c>
      <c r="F572" s="3" t="str">
        <f>"2019-11-24  - rm - LL - Member paid for lost book by credit card.    8-10-2019  - Due: 7-15-2019. Notified: 7-22-2019, 7-29-2019, 8-5-2019, 9-24-2019"</f>
        <v>2019-11-24  - rm - LL - Member paid for lost book by credit card.    8-10-2019  - Due: 7-15-2019. Notified: 7-22-2019, 7-29-2019, 8-5-2019, 9-24-2019</v>
      </c>
      <c r="G572" s="3" t="str">
        <f>"61 hours"</f>
        <v>61 hours</v>
      </c>
      <c r="H572" t="str">
        <f>"Child, Lee"</f>
        <v>Child, Lee</v>
      </c>
      <c r="I572">
        <v>11</v>
      </c>
      <c r="J572" s="2">
        <v>43647</v>
      </c>
      <c r="K572" s="1">
        <v>21</v>
      </c>
    </row>
    <row r="573" spans="1:11" ht="16" x14ac:dyDescent="0.2">
      <c r="A573">
        <v>348088</v>
      </c>
      <c r="B573" t="str">
        <f>"J RIORD"</f>
        <v>J RIORD</v>
      </c>
      <c r="C573" t="s">
        <v>3545</v>
      </c>
      <c r="D573" t="str">
        <f>"Tech Serv"</f>
        <v>Tech Serv</v>
      </c>
      <c r="E573" t="s">
        <v>3544</v>
      </c>
      <c r="F573" s="3" t="str">
        <f>"2020-01-14  - pt - Check In - LL - water damage"</f>
        <v>2020-01-14  - pt - Check In - LL - water damage</v>
      </c>
      <c r="G573" s="3" t="str">
        <f>"The last Olympian"</f>
        <v>The last Olympian</v>
      </c>
      <c r="H573" t="str">
        <f>"Riordan, Rick"</f>
        <v>Riordan, Rick</v>
      </c>
      <c r="I573">
        <v>16</v>
      </c>
      <c r="J573" s="2">
        <v>43804</v>
      </c>
      <c r="K573" s="1">
        <v>13</v>
      </c>
    </row>
    <row r="574" spans="1:11" ht="32" x14ac:dyDescent="0.2">
      <c r="A574">
        <v>348232</v>
      </c>
      <c r="B574" t="str">
        <f>"F STEAD"</f>
        <v>F STEAD</v>
      </c>
      <c r="C574" t="s">
        <v>3541</v>
      </c>
      <c r="D574" t="s">
        <v>3542</v>
      </c>
      <c r="E574">
        <v>5003137</v>
      </c>
      <c r="F574" s="3" t="str">
        <f>"2020-01-23  - TL - LL - Resolving problem.    8-23-2019  - crd - lost item paid for    8-23-2019  - Due: 8-21-2019. Notified: 8-28-2019, 9-4-2019, 9-11-2019, 10-29-2019"</f>
        <v>2020-01-23  - TL - LL - Resolving problem.    8-23-2019  - crd - lost item paid for    8-23-2019  - Due: 8-21-2019. Notified: 8-28-2019, 9-4-2019, 9-11-2019, 10-29-2019</v>
      </c>
      <c r="G574" s="3" t="str">
        <f>"Something in the water: a novel"</f>
        <v>Something in the water: a novel</v>
      </c>
      <c r="H574" t="str">
        <f>"Steadman, Catherine"</f>
        <v>Steadman, Catherine</v>
      </c>
      <c r="I574">
        <v>19</v>
      </c>
      <c r="J574" s="2">
        <v>43684</v>
      </c>
      <c r="K574" s="1">
        <v>32</v>
      </c>
    </row>
    <row r="575" spans="1:11" ht="16" x14ac:dyDescent="0.2">
      <c r="A575">
        <v>348330</v>
      </c>
      <c r="B575" t="str">
        <f>"F GIFFI"</f>
        <v>F GIFFI</v>
      </c>
      <c r="C575" t="s">
        <v>3541</v>
      </c>
      <c r="D575" t="s">
        <v>3542</v>
      </c>
      <c r="E575">
        <v>5080561</v>
      </c>
      <c r="F575" s="3" t="str">
        <f>"2020-01-30  - Due: 1-3-2020. Notified: 1-10-2020, 1-17-2020, 1-24-2020"</f>
        <v>2020-01-30  - Due: 1-3-2020. Notified: 1-10-2020, 1-17-2020, 1-24-2020</v>
      </c>
      <c r="G575" s="3" t="str">
        <f>"All we ever wanted: a novel"</f>
        <v>All we ever wanted: a novel</v>
      </c>
      <c r="H575" t="str">
        <f>"Giffin, Emily"</f>
        <v>Giffin, Emily</v>
      </c>
      <c r="I575">
        <v>21</v>
      </c>
      <c r="J575" s="2">
        <v>43819</v>
      </c>
      <c r="K575" s="1">
        <v>33</v>
      </c>
    </row>
    <row r="576" spans="1:11" ht="16" x14ac:dyDescent="0.2">
      <c r="A576">
        <v>348331</v>
      </c>
      <c r="B576" t="str">
        <f>"F GIFFI"</f>
        <v>F GIFFI</v>
      </c>
      <c r="C576" t="s">
        <v>3541</v>
      </c>
      <c r="D576" t="s">
        <v>3542</v>
      </c>
      <c r="E576" t="s">
        <v>3544</v>
      </c>
      <c r="F576" s="3" t="str">
        <f>"2020-01-14  - cab - missing from reserve list 3 days"</f>
        <v>2020-01-14  - cab - missing from reserve list 3 days</v>
      </c>
      <c r="G576" s="3" t="str">
        <f>"All we ever wanted: a novel"</f>
        <v>All we ever wanted: a novel</v>
      </c>
      <c r="H576" t="str">
        <f>"Giffin, Emily"</f>
        <v>Giffin, Emily</v>
      </c>
      <c r="I576">
        <v>24</v>
      </c>
      <c r="J576" s="2">
        <v>43829</v>
      </c>
      <c r="K576" s="1">
        <v>33</v>
      </c>
    </row>
    <row r="577" spans="1:11" ht="16" x14ac:dyDescent="0.2">
      <c r="A577">
        <v>348539</v>
      </c>
      <c r="B577" t="str">
        <f>"J ROWLI"</f>
        <v>J ROWLI</v>
      </c>
      <c r="C577" t="s">
        <v>3541</v>
      </c>
      <c r="D577" t="s">
        <v>3542</v>
      </c>
      <c r="E577">
        <v>5209206</v>
      </c>
      <c r="F577" s="3" t="str">
        <f>"2019-08-24  - Due: 7-29-2019. Notified: 8-5-2019, 8-12-2019, 8-19-2019, 10-29-2019"</f>
        <v>2019-08-24  - Due: 7-29-2019. Notified: 8-5-2019, 8-12-2019, 8-19-2019, 10-29-2019</v>
      </c>
      <c r="G577" s="3" t="str">
        <f>"Harry Potter and the sorcerer's stone"</f>
        <v>Harry Potter and the sorcerer's stone</v>
      </c>
      <c r="H577" t="str">
        <f>"Rowling, J.K"</f>
        <v>Rowling, J.K</v>
      </c>
      <c r="I577">
        <v>11</v>
      </c>
      <c r="J577" s="2">
        <v>43661</v>
      </c>
      <c r="K577" s="1">
        <v>18</v>
      </c>
    </row>
    <row r="578" spans="1:11" ht="16" x14ac:dyDescent="0.2">
      <c r="A578">
        <v>348703</v>
      </c>
      <c r="B578" t="str">
        <f>"YA GN ISAYA"</f>
        <v>YA GN ISAYA</v>
      </c>
      <c r="C578" t="s">
        <v>3541</v>
      </c>
      <c r="D578" t="s">
        <v>3542</v>
      </c>
      <c r="E578">
        <v>5216754</v>
      </c>
      <c r="F578" s="3" t="str">
        <f>"2019-09-22  - Due: 8-25-2019. Notified: 9-3-2019, 9-8-2019, 9-16-2019, 10-29-2019"</f>
        <v>2019-09-22  - Due: 8-25-2019. Notified: 9-3-2019, 9-8-2019, 9-16-2019, 10-29-2019</v>
      </c>
      <c r="G578" s="3" t="str">
        <f>"Attack on Titan, v. 25"</f>
        <v>Attack on Titan, v. 25</v>
      </c>
      <c r="H578" t="str">
        <f>"Isayama, Hajime, (1986-)"</f>
        <v>Isayama, Hajime, (1986-)</v>
      </c>
      <c r="I578">
        <v>2</v>
      </c>
      <c r="J578" s="2">
        <v>43688</v>
      </c>
      <c r="K578" s="1">
        <v>16</v>
      </c>
    </row>
    <row r="579" spans="1:11" ht="16" x14ac:dyDescent="0.2">
      <c r="A579">
        <v>349010</v>
      </c>
      <c r="B579" t="str">
        <f>"YA BOWMA"</f>
        <v>YA BOWMA</v>
      </c>
      <c r="C579" t="s">
        <v>3541</v>
      </c>
      <c r="D579" t="s">
        <v>3542</v>
      </c>
      <c r="E579" t="s">
        <v>3544</v>
      </c>
      <c r="F579" s="3" t="str">
        <f>"2019-09-13  - Inventory - "</f>
        <v xml:space="preserve">2019-09-13  - Inventory - </v>
      </c>
      <c r="G579" s="3" t="s">
        <v>3608</v>
      </c>
      <c r="H579" t="str">
        <f>"Bowman, Erin."</f>
        <v>Bowman, Erin.</v>
      </c>
      <c r="I579">
        <v>1</v>
      </c>
      <c r="J579" s="2">
        <v>43367</v>
      </c>
      <c r="K579" s="1">
        <v>23</v>
      </c>
    </row>
    <row r="580" spans="1:11" ht="16" x14ac:dyDescent="0.2">
      <c r="A580">
        <v>349277</v>
      </c>
      <c r="B580" t="str">
        <f>"J 577.34 DON"</f>
        <v>J 577.34 DON</v>
      </c>
      <c r="C580" t="s">
        <v>3545</v>
      </c>
      <c r="D580" t="str">
        <f>"Tech Serv"</f>
        <v>Tech Serv</v>
      </c>
      <c r="E580" t="s">
        <v>3544</v>
      </c>
      <c r="F580" s="3" t="str">
        <f>"2020-01-07  - jem - Check In - LL - several torn pages"</f>
        <v>2020-01-07  - jem - Check In - LL - several torn pages</v>
      </c>
      <c r="G580" s="3" t="str">
        <f>"Little kids first big book of the rain forest"</f>
        <v>Little kids first big book of the rain forest</v>
      </c>
      <c r="H580" t="str">
        <f>"Donohue, Moira Rose"</f>
        <v>Donohue, Moira Rose</v>
      </c>
      <c r="I580">
        <v>11</v>
      </c>
      <c r="J580" s="2">
        <v>43801</v>
      </c>
      <c r="K580" s="1">
        <v>20</v>
      </c>
    </row>
    <row r="581" spans="1:11" ht="32" x14ac:dyDescent="0.2">
      <c r="A581">
        <v>349313</v>
      </c>
      <c r="B581" t="str">
        <f>"615.5 FOR"</f>
        <v>615.5 FOR</v>
      </c>
      <c r="C581" t="s">
        <v>3541</v>
      </c>
      <c r="D581" t="s">
        <v>3542</v>
      </c>
      <c r="E581" t="s">
        <v>3544</v>
      </c>
      <c r="F581" s="3" t="str">
        <f>"2019-12-08  - kl - searched 3 times"</f>
        <v>2019-12-08  - kl - searched 3 times</v>
      </c>
      <c r="G581" s="3" t="str">
        <f>"Alchemy of herbs: transform everyday ingredients into foods &amp; remedies that heal"</f>
        <v>Alchemy of herbs: transform everyday ingredients into foods &amp; remedies that heal</v>
      </c>
      <c r="H581" t="str">
        <f>"Foret, Rosalee de la, (1980-)"</f>
        <v>Foret, Rosalee de la, (1980-)</v>
      </c>
      <c r="I581">
        <v>4</v>
      </c>
      <c r="J581" s="2">
        <v>43438</v>
      </c>
      <c r="K581" s="1">
        <v>30</v>
      </c>
    </row>
    <row r="582" spans="1:11" ht="16" x14ac:dyDescent="0.2">
      <c r="A582">
        <v>349412</v>
      </c>
      <c r="B582" t="str">
        <f>"J GN PILKE"</f>
        <v>J GN PILKE</v>
      </c>
      <c r="C582" t="s">
        <v>3541</v>
      </c>
      <c r="D582" t="s">
        <v>3542</v>
      </c>
      <c r="E582">
        <v>5140975</v>
      </c>
      <c r="F582" s="3" t="str">
        <f>"2019-03-02  - Due: 2-3-2019. Notified: 2-10-2019, 2-17-2019, 2-25-2019, 4-17-2019"</f>
        <v>2019-03-02  - Due: 2-3-2019. Notified: 2-10-2019, 2-17-2019, 2-25-2019, 4-17-2019</v>
      </c>
      <c r="G582" s="3" t="str">
        <f>"Dog man: lord of the fleas"</f>
        <v>Dog man: lord of the fleas</v>
      </c>
      <c r="H582" t="str">
        <f>"Pilkey, Dav (1966-)"</f>
        <v>Pilkey, Dav (1966-)</v>
      </c>
      <c r="I582">
        <v>12</v>
      </c>
      <c r="J582" s="2">
        <v>43485</v>
      </c>
      <c r="K582" s="1">
        <v>15</v>
      </c>
    </row>
    <row r="583" spans="1:11" ht="16" x14ac:dyDescent="0.2">
      <c r="A583">
        <v>349445</v>
      </c>
      <c r="B583" t="str">
        <f>"NEW 921 WES"</f>
        <v>NEW 921 WES</v>
      </c>
      <c r="C583" t="s">
        <v>3560</v>
      </c>
      <c r="D583" t="s">
        <v>3542</v>
      </c>
      <c r="E583" t="s">
        <v>3544</v>
      </c>
      <c r="F583" s="3" t="str">
        <f>"2019-12-15  - mbw - item not at WB"</f>
        <v>2019-12-15  - mbw - item not at WB</v>
      </c>
      <c r="G583" s="3" t="str">
        <f>"Educated: a memoir"</f>
        <v>Educated: a memoir</v>
      </c>
      <c r="H583" t="str">
        <f>"Westover, Tara"</f>
        <v>Westover, Tara</v>
      </c>
      <c r="I583">
        <v>22</v>
      </c>
      <c r="J583" s="2">
        <v>43770</v>
      </c>
      <c r="K583" s="1">
        <v>33</v>
      </c>
    </row>
    <row r="584" spans="1:11" ht="32" x14ac:dyDescent="0.2">
      <c r="A584">
        <v>349494</v>
      </c>
      <c r="B584" t="str">
        <f>"J 741.5 DAV"</f>
        <v>J 741.5 DAV</v>
      </c>
      <c r="C584" t="s">
        <v>3541</v>
      </c>
      <c r="D584" t="s">
        <v>3542</v>
      </c>
      <c r="E584">
        <v>5017418</v>
      </c>
      <c r="F584" s="3" t="str">
        <f>"2020-01-17  - PayPal - Paid    1-14-2020  - Due: 12-15-2019. Notified: 12-22-2019, 12-29-2019, 1-6-2020"</f>
        <v>2020-01-17  - PayPal - Paid    1-14-2020  - Due: 12-15-2019. Notified: 12-22-2019, 12-29-2019, 1-6-2020</v>
      </c>
      <c r="G584" s="3" t="str">
        <f>"Garfield fat cat 3-pack, v.18"</f>
        <v>Garfield fat cat 3-pack, v.18</v>
      </c>
      <c r="H584" t="str">
        <f>"Davis, Jim (1945 July 28-)"</f>
        <v>Davis, Jim (1945 July 28-)</v>
      </c>
      <c r="I584">
        <v>16</v>
      </c>
      <c r="J584" s="2">
        <v>43754</v>
      </c>
      <c r="K584" s="1">
        <v>23</v>
      </c>
    </row>
    <row r="585" spans="1:11" ht="32" x14ac:dyDescent="0.2">
      <c r="A585">
        <v>349496</v>
      </c>
      <c r="B585" t="str">
        <f>"616.89 BAL"</f>
        <v>616.89 BAL</v>
      </c>
      <c r="C585" t="s">
        <v>3541</v>
      </c>
      <c r="D585" t="s">
        <v>3542</v>
      </c>
      <c r="E585">
        <v>5085166</v>
      </c>
      <c r="F585" s="3" t="str">
        <f>"2020-01-30  - Due: 1-3-2020. Notified: 1-10-2020, 1-17-2020, 1-24-2020"</f>
        <v>2020-01-30  - Due: 1-3-2020. Notified: 1-10-2020, 1-17-2020, 1-24-2020</v>
      </c>
      <c r="G585" s="3" t="str">
        <f>"50 things to do before seeing a psychiatrist: and how to actually do them"</f>
        <v>50 things to do before seeing a psychiatrist: and how to actually do them</v>
      </c>
      <c r="H585" t="str">
        <f>"Baldizzone, Joe."</f>
        <v>Baldizzone, Joe.</v>
      </c>
      <c r="I585">
        <v>4</v>
      </c>
      <c r="J585" s="2">
        <v>43771</v>
      </c>
      <c r="K585" s="1">
        <v>20</v>
      </c>
    </row>
    <row r="586" spans="1:11" ht="32" x14ac:dyDescent="0.2">
      <c r="A586">
        <v>349535</v>
      </c>
      <c r="B586" t="str">
        <f>"613.6 GON"</f>
        <v>613.6 GON</v>
      </c>
      <c r="C586" t="s">
        <v>3541</v>
      </c>
      <c r="D586" t="s">
        <v>3542</v>
      </c>
      <c r="E586">
        <v>5097754</v>
      </c>
      <c r="F586" s="3" t="str">
        <f>"2019-06-04  - Due: 5-8-2019. Notified: 5-15-2019, 5-22-2019, 5-29-2019, 7-9-2019"</f>
        <v>2019-06-04  - Due: 5-8-2019. Notified: 5-15-2019, 5-22-2019, 5-29-2019, 7-9-2019</v>
      </c>
      <c r="G586" s="3" t="str">
        <f>"Deep survival: who lives, who dies, and why : true stories of miraculous endurance and sudden death"</f>
        <v>Deep survival: who lives, who dies, and why : true stories of miraculous endurance and sudden death</v>
      </c>
      <c r="H586" t="str">
        <f>"Gonzales, Laurence (1947-)"</f>
        <v>Gonzales, Laurence (1947-)</v>
      </c>
      <c r="I586">
        <v>3</v>
      </c>
      <c r="J586" s="2">
        <v>43579</v>
      </c>
      <c r="K586" s="1">
        <v>22</v>
      </c>
    </row>
    <row r="587" spans="1:11" ht="16" x14ac:dyDescent="0.2">
      <c r="A587">
        <v>349927</v>
      </c>
      <c r="B587" t="str">
        <f>"E MORAL"</f>
        <v>E MORAL</v>
      </c>
      <c r="C587" t="s">
        <v>3541</v>
      </c>
      <c r="D587" t="s">
        <v>3542</v>
      </c>
      <c r="E587" t="s">
        <v>3544</v>
      </c>
      <c r="F587" s="3" t="str">
        <f>"2019-10-10  - kt - Item on reserve. Searched for 3 days"</f>
        <v>2019-10-10  - kt - Item on reserve. Searched for 3 days</v>
      </c>
      <c r="G587" s="3" t="s">
        <v>3609</v>
      </c>
      <c r="H587" t="str">
        <f>"Morales, Yuyi"</f>
        <v>Morales, Yuyi</v>
      </c>
      <c r="I587">
        <v>1</v>
      </c>
      <c r="J587" s="2">
        <v>43601</v>
      </c>
      <c r="K587" s="1">
        <v>24</v>
      </c>
    </row>
    <row r="588" spans="1:11" ht="16" x14ac:dyDescent="0.2">
      <c r="A588">
        <v>349954</v>
      </c>
      <c r="B588" t="str">
        <f>"E HIGGI"</f>
        <v>E HIGGI</v>
      </c>
      <c r="C588" t="s">
        <v>3541</v>
      </c>
      <c r="D588" t="s">
        <v>3542</v>
      </c>
      <c r="E588">
        <v>5202824</v>
      </c>
      <c r="F588" s="3" t="str">
        <f>"2020-01-29  - Due: 1-2-2020. Notified: 1-9-2020, 1-16-2020, 1-24-2020"</f>
        <v>2020-01-29  - Due: 1-2-2020. Notified: 1-9-2020, 1-16-2020, 1-24-2020</v>
      </c>
      <c r="G588" s="3" t="str">
        <f>"Santa Bruce"</f>
        <v>Santa Bruce</v>
      </c>
      <c r="H588" t="str">
        <f>"Higgins, Ryan T."</f>
        <v>Higgins, Ryan T.</v>
      </c>
      <c r="I588">
        <v>8</v>
      </c>
      <c r="J588" s="2">
        <v>43817</v>
      </c>
      <c r="K588" s="1">
        <v>23</v>
      </c>
    </row>
    <row r="589" spans="1:11" ht="16" x14ac:dyDescent="0.2">
      <c r="A589">
        <v>350236</v>
      </c>
      <c r="B589" t="str">
        <f>"J GN HINOD"</f>
        <v>J GN HINOD</v>
      </c>
      <c r="C589" t="s">
        <v>3541</v>
      </c>
      <c r="D589" t="s">
        <v>3542</v>
      </c>
      <c r="E589">
        <v>5162660</v>
      </c>
      <c r="F589" s="3" t="str">
        <f>"2019-12-18  - Due: 11-19-2019. Notified: 11-26-2019, 12-3-2019, 12-11-2019, 1-21-2020"</f>
        <v>2019-12-18  - Due: 11-19-2019. Notified: 11-26-2019, 12-3-2019, 12-11-2019, 1-21-2020</v>
      </c>
      <c r="G589" s="3" t="str">
        <f>"Splatoon, v.3"</f>
        <v>Splatoon, v.3</v>
      </c>
      <c r="H589" t="str">
        <f>"Hinodeya, Sankichi"</f>
        <v>Hinodeya, Sankichi</v>
      </c>
      <c r="I589">
        <v>7</v>
      </c>
      <c r="J589" s="2">
        <v>43752</v>
      </c>
      <c r="K589" s="1">
        <v>15</v>
      </c>
    </row>
    <row r="590" spans="1:11" ht="16" x14ac:dyDescent="0.2">
      <c r="A590">
        <v>350260</v>
      </c>
      <c r="B590" t="str">
        <f>"J TARSH"</f>
        <v>J TARSH</v>
      </c>
      <c r="C590" t="s">
        <v>3541</v>
      </c>
      <c r="D590" t="s">
        <v>3542</v>
      </c>
      <c r="E590" t="s">
        <v>3544</v>
      </c>
      <c r="F590" s="3" t="str">
        <f>"2019-10-17  - kt - 3 reserve searches conducted."</f>
        <v>2019-10-17  - kt - 3 reserve searches conducted.</v>
      </c>
      <c r="G590" s="3" t="str">
        <f>"I survived the attack of the Grizzlies"</f>
        <v>I survived the attack of the Grizzlies</v>
      </c>
      <c r="H590" t="str">
        <f>"Tarshis, Lauren"</f>
        <v>Tarshis, Lauren</v>
      </c>
      <c r="I590">
        <v>7</v>
      </c>
      <c r="J590" s="2">
        <v>43518</v>
      </c>
      <c r="K590" s="1">
        <v>10</v>
      </c>
    </row>
    <row r="591" spans="1:11" ht="16" x14ac:dyDescent="0.2">
      <c r="A591">
        <v>350385</v>
      </c>
      <c r="B591" t="str">
        <f>"914.21 EYE"</f>
        <v>914.21 EYE</v>
      </c>
      <c r="C591" t="s">
        <v>3545</v>
      </c>
      <c r="D591" t="str">
        <f>"Tech Serv"</f>
        <v>Tech Serv</v>
      </c>
      <c r="E591" t="s">
        <v>3544</v>
      </c>
      <c r="F591" s="3" t="str">
        <f>"2020-01-30  - BD - Check In - WB - spine coming unglued from back"</f>
        <v>2020-01-30  - BD - Check In - WB - spine coming unglued from back</v>
      </c>
      <c r="G591" s="3" t="str">
        <f>"London 2019"</f>
        <v>London 2019</v>
      </c>
      <c r="H591" t="str">
        <f>"Leapman, Michael, (1938-)"</f>
        <v>Leapman, Michael, (1938-)</v>
      </c>
      <c r="I591">
        <v>11</v>
      </c>
      <c r="J591" s="2">
        <v>43810</v>
      </c>
      <c r="K591" s="1">
        <v>30</v>
      </c>
    </row>
    <row r="592" spans="1:11" ht="16" x14ac:dyDescent="0.2">
      <c r="A592">
        <v>350434</v>
      </c>
      <c r="B592" t="str">
        <f>"J 791.43 LUC"</f>
        <v>J 791.43 LUC</v>
      </c>
      <c r="C592" t="s">
        <v>3541</v>
      </c>
      <c r="D592" t="s">
        <v>3542</v>
      </c>
      <c r="E592">
        <v>5122693</v>
      </c>
      <c r="F592" s="3" t="str">
        <f>"2019-10-26  - Due: 9-30-2019. Notified: 10-7-2019, 10-14-2019, 10-21-2019, 12-10-2019"</f>
        <v>2019-10-26  - Due: 9-30-2019. Notified: 10-7-2019, 10-14-2019, 10-21-2019, 12-10-2019</v>
      </c>
      <c r="G592" s="3" t="str">
        <f>"Star Wars: the complete visual dictionary"</f>
        <v>Star Wars: the complete visual dictionary</v>
      </c>
      <c r="H592" t="str">
        <f>"Luceno, James"</f>
        <v>Luceno, James</v>
      </c>
      <c r="I592">
        <v>7</v>
      </c>
      <c r="J592" s="2">
        <v>43724</v>
      </c>
      <c r="K592" s="1">
        <v>45</v>
      </c>
    </row>
    <row r="593" spans="1:11" ht="16" x14ac:dyDescent="0.2">
      <c r="A593">
        <v>350469</v>
      </c>
      <c r="B593" t="str">
        <f>"YA GN KATO v.20"</f>
        <v>YA GN KATO v.20</v>
      </c>
      <c r="C593" t="s">
        <v>3541</v>
      </c>
      <c r="D593" t="s">
        <v>3542</v>
      </c>
      <c r="E593" t="s">
        <v>3544</v>
      </c>
      <c r="F593" s="3" t="str">
        <f>"2019-10-04  - Inventory - "</f>
        <v xml:space="preserve">2019-10-04  - Inventory - </v>
      </c>
      <c r="G593" s="3" t="str">
        <f>"Blue Exorcist, v.20"</f>
        <v>Blue Exorcist, v.20</v>
      </c>
      <c r="H593" t="str">
        <f>"Katō, Kazue,, 1980-"</f>
        <v>Katō, Kazue,, 1980-</v>
      </c>
      <c r="I593">
        <v>0</v>
      </c>
      <c r="K593" s="1">
        <v>15</v>
      </c>
    </row>
    <row r="594" spans="1:11" ht="16" x14ac:dyDescent="0.2">
      <c r="A594">
        <v>350573</v>
      </c>
      <c r="B594" t="str">
        <f>"E DELAP"</f>
        <v>E DELAP</v>
      </c>
      <c r="C594" t="s">
        <v>3541</v>
      </c>
      <c r="D594" t="s">
        <v>3542</v>
      </c>
      <c r="E594">
        <v>5142670</v>
      </c>
      <c r="F594" s="3" t="str">
        <f>"2019-12-20  - Due: 11-21-2019. Notified: 11-30-2019, 12-5-2019, 12-13-2019, 1-21-2020"</f>
        <v>2019-12-20  - Due: 11-21-2019. Notified: 11-30-2019, 12-5-2019, 12-13-2019, 1-21-2020</v>
      </c>
      <c r="G594" s="3" t="str">
        <f>"Carmela full of wishes"</f>
        <v>Carmela full of wishes</v>
      </c>
      <c r="H594" t="str">
        <f>"De La Pena, Matt"</f>
        <v>De La Pena, Matt</v>
      </c>
      <c r="I594">
        <v>3</v>
      </c>
      <c r="J594" s="2">
        <v>43776</v>
      </c>
      <c r="K594" s="1">
        <v>23</v>
      </c>
    </row>
    <row r="595" spans="1:11" ht="32" x14ac:dyDescent="0.2">
      <c r="A595">
        <v>351039</v>
      </c>
      <c r="B595" t="str">
        <f>"J 791.43 REV"</f>
        <v>J 791.43 REV</v>
      </c>
      <c r="C595" t="s">
        <v>3545</v>
      </c>
      <c r="D595" t="str">
        <f>"Tech Serv"</f>
        <v>Tech Serv</v>
      </c>
      <c r="E595" t="s">
        <v>3544</v>
      </c>
      <c r="F595" s="3" t="str">
        <f>"2020-01-12  - TL - Check In - LL - The spine label is wrong. Catalog lists this as a J nonfiction, not adult."</f>
        <v>2020-01-12  - TL - Check In - LL - The spine label is wrong. Catalog lists this as a J nonfiction, not adult.</v>
      </c>
      <c r="G595" s="3" t="str">
        <f>"Harry Potter: the creature vault : the creatures and plants of the Harry Potter films"</f>
        <v>Harry Potter: the creature vault : the creatures and plants of the Harry Potter films</v>
      </c>
      <c r="H595" t="str">
        <f>"Revenson, Jody,"</f>
        <v>Revenson, Jody,</v>
      </c>
      <c r="I595">
        <v>2</v>
      </c>
      <c r="K595" s="1">
        <v>50</v>
      </c>
    </row>
    <row r="596" spans="1:11" ht="16" x14ac:dyDescent="0.2">
      <c r="A596">
        <v>351069</v>
      </c>
      <c r="B596" t="str">
        <f>"NEW ADULT GN AHMED"</f>
        <v>NEW ADULT GN AHMED</v>
      </c>
      <c r="C596" t="s">
        <v>3541</v>
      </c>
      <c r="D596" t="s">
        <v>3542</v>
      </c>
      <c r="E596" t="s">
        <v>3544</v>
      </c>
      <c r="F596" s="3" t="str">
        <f>"2019-05-01  - mew - Can't find at WB"</f>
        <v>2019-05-01  - mew - Can't find at WB</v>
      </c>
      <c r="G596" s="3" t="s">
        <v>2983</v>
      </c>
      <c r="H596" t="str">
        <f>"Ahmed, Saladin."</f>
        <v>Ahmed, Saladin.</v>
      </c>
      <c r="I596">
        <v>1</v>
      </c>
      <c r="J596" s="2">
        <v>43421</v>
      </c>
      <c r="K596" s="1">
        <v>23</v>
      </c>
    </row>
    <row r="597" spans="1:11" ht="16" x14ac:dyDescent="0.2">
      <c r="A597">
        <v>351407</v>
      </c>
      <c r="B597" t="str">
        <f>"NEW OS 976.4 SAU"</f>
        <v>NEW OS 976.4 SAU</v>
      </c>
      <c r="C597" t="s">
        <v>3541</v>
      </c>
      <c r="D597" t="s">
        <v>3542</v>
      </c>
      <c r="E597" t="s">
        <v>3544</v>
      </c>
      <c r="F597" s="3" t="str">
        <f>"2019-10-23  - mbw - cannot find item at wb"</f>
        <v>2019-10-23  - mbw - cannot find item at wb</v>
      </c>
      <c r="G597" s="3" t="str">
        <f>"A mile above Texas"</f>
        <v>A mile above Texas</v>
      </c>
      <c r="H597" t="str">
        <f>"Sauceda, Jay B."</f>
        <v>Sauceda, Jay B.</v>
      </c>
      <c r="I597">
        <v>9</v>
      </c>
      <c r="J597" s="2">
        <v>43751</v>
      </c>
      <c r="K597" s="1">
        <v>50</v>
      </c>
    </row>
    <row r="598" spans="1:11" ht="16" x14ac:dyDescent="0.2">
      <c r="A598">
        <v>351670</v>
      </c>
      <c r="B598" t="str">
        <f>"J 362.7 OSB"</f>
        <v>J 362.7 OSB</v>
      </c>
      <c r="C598" t="s">
        <v>3541</v>
      </c>
      <c r="D598" t="s">
        <v>3542</v>
      </c>
      <c r="E598" t="s">
        <v>3544</v>
      </c>
      <c r="F598" s="3" t="str">
        <f>"2019-12-08  - mbw - member never checked this item out"</f>
        <v>2019-12-08  - mbw - member never checked this item out</v>
      </c>
      <c r="G598" s="3" t="str">
        <f>"Rags and riches: kids in the time of Charles Dickens"</f>
        <v>Rags and riches: kids in the time of Charles Dickens</v>
      </c>
      <c r="H598" t="str">
        <f>"Osborne, Mary Pope"</f>
        <v>Osborne, Mary Pope</v>
      </c>
      <c r="I598">
        <v>1</v>
      </c>
      <c r="J598" s="2">
        <v>43765</v>
      </c>
      <c r="K598" s="1">
        <v>12</v>
      </c>
    </row>
    <row r="599" spans="1:11" ht="48" x14ac:dyDescent="0.2">
      <c r="A599">
        <v>351915</v>
      </c>
      <c r="B599" t="str">
        <f>"153.8 DWE"</f>
        <v>153.8 DWE</v>
      </c>
      <c r="C599" t="s">
        <v>3541</v>
      </c>
      <c r="D599" t="s">
        <v>3542</v>
      </c>
      <c r="E599">
        <v>5154760</v>
      </c>
      <c r="F599" s="3" t="s">
        <v>3610</v>
      </c>
      <c r="G599" s="3" t="str">
        <f>"Mindset: the new psychology of success"</f>
        <v>Mindset: the new psychology of success</v>
      </c>
      <c r="H599" t="str">
        <f>"Dweck, Carol S., (1946-)"</f>
        <v>Dweck, Carol S., (1946-)</v>
      </c>
      <c r="I599">
        <v>8</v>
      </c>
      <c r="J599" s="2">
        <v>43734</v>
      </c>
      <c r="K599" s="1">
        <v>22</v>
      </c>
    </row>
    <row r="600" spans="1:11" ht="16" x14ac:dyDescent="0.2">
      <c r="A600">
        <v>352149</v>
      </c>
      <c r="B600" t="str">
        <f>"YA GN KATO v.21"</f>
        <v>YA GN KATO v.21</v>
      </c>
      <c r="C600" t="s">
        <v>3541</v>
      </c>
      <c r="D600" t="s">
        <v>3542</v>
      </c>
      <c r="E600" t="s">
        <v>3544</v>
      </c>
      <c r="F600" s="3" t="str">
        <f>"2019-10-04  - Inventory - "</f>
        <v xml:space="preserve">2019-10-04  - Inventory - </v>
      </c>
      <c r="G600" s="3" t="str">
        <f>"Blue Exorcist, v. 21"</f>
        <v>Blue Exorcist, v. 21</v>
      </c>
      <c r="H600" t="str">
        <f>"Katō, Kazue,, 1980-"</f>
        <v>Katō, Kazue,, 1980-</v>
      </c>
      <c r="I600">
        <v>0</v>
      </c>
      <c r="K600" s="1">
        <v>15</v>
      </c>
    </row>
    <row r="601" spans="1:11" ht="32" x14ac:dyDescent="0.2">
      <c r="A601">
        <v>352241</v>
      </c>
      <c r="B601" t="str">
        <f>"NEW 332.024 DUN"</f>
        <v>NEW 332.024 DUN</v>
      </c>
      <c r="C601" t="s">
        <v>3541</v>
      </c>
      <c r="D601" t="s">
        <v>3542</v>
      </c>
      <c r="E601" t="s">
        <v>3544</v>
      </c>
      <c r="F601" s="3" t="str">
        <f>"2019-07-17  - mew - Can't find item at WB"</f>
        <v>2019-07-17  - mew - Can't find item at WB</v>
      </c>
      <c r="G601" s="3" t="str">
        <f>"Bad with money: the imperfect art of getting your financial sh*t together"</f>
        <v>Bad with money: the imperfect art of getting your financial sh*t together</v>
      </c>
      <c r="H601" t="str">
        <f>"Dunn, Gaby"</f>
        <v>Dunn, Gaby</v>
      </c>
      <c r="I601">
        <v>1</v>
      </c>
      <c r="K601" s="1">
        <v>21</v>
      </c>
    </row>
    <row r="602" spans="1:11" ht="16" x14ac:dyDescent="0.2">
      <c r="A602">
        <v>352472</v>
      </c>
      <c r="B602" t="str">
        <f>"LS J HIRAN"</f>
        <v>LS J HIRAN</v>
      </c>
      <c r="C602" t="s">
        <v>3541</v>
      </c>
      <c r="D602" t="s">
        <v>3542</v>
      </c>
      <c r="E602">
        <v>5213499</v>
      </c>
      <c r="F602" s="3" t="str">
        <f>"2019-11-23  - Due: 10-28-2019. Notified: 11-4-2019, 11-11-2019, 11-18-2019, 12-31-2019"</f>
        <v>2019-11-23  - Due: 10-28-2019. Notified: 11-4-2019, 11-11-2019, 11-18-2019, 12-31-2019</v>
      </c>
      <c r="G602" s="3" t="str">
        <f>"The night diary"</f>
        <v>The night diary</v>
      </c>
      <c r="H602" t="str">
        <f>"Hiranandani, Veera."</f>
        <v>Hiranandani, Veera.</v>
      </c>
      <c r="I602">
        <v>7</v>
      </c>
      <c r="J602" s="2">
        <v>43718</v>
      </c>
      <c r="K602" s="1">
        <v>22</v>
      </c>
    </row>
    <row r="603" spans="1:11" ht="16" x14ac:dyDescent="0.2">
      <c r="A603">
        <v>352475</v>
      </c>
      <c r="B603" t="str">
        <f>"LS YA CARTE"</f>
        <v>LS YA CARTE</v>
      </c>
      <c r="C603" t="s">
        <v>3541</v>
      </c>
      <c r="D603" t="s">
        <v>3542</v>
      </c>
      <c r="E603" t="s">
        <v>3544</v>
      </c>
      <c r="F603" s="3" t="str">
        <f>"2019-10-08  - mm - Searched 3 times"</f>
        <v>2019-10-08  - mm - Searched 3 times</v>
      </c>
      <c r="G603" s="3" t="str">
        <f>"Not if I save you first"</f>
        <v>Not if I save you first</v>
      </c>
      <c r="H603" t="str">
        <f>"Carter, Ally"</f>
        <v>Carter, Ally</v>
      </c>
      <c r="I603">
        <v>6</v>
      </c>
      <c r="J603" s="2">
        <v>43694</v>
      </c>
      <c r="K603" s="1">
        <v>24</v>
      </c>
    </row>
    <row r="604" spans="1:11" ht="16" x14ac:dyDescent="0.2">
      <c r="A604">
        <v>352476</v>
      </c>
      <c r="B604" t="str">
        <f>"LS YA CARTE"</f>
        <v>LS YA CARTE</v>
      </c>
      <c r="C604" t="s">
        <v>3541</v>
      </c>
      <c r="D604" t="s">
        <v>3542</v>
      </c>
      <c r="E604">
        <v>5200869</v>
      </c>
      <c r="F604" s="3" t="str">
        <f>"2019-10-04  - Due: 9-8-2019. Notified: 9-15-2019, 9-22-2019, 9-30-2019, 11-19-2019"</f>
        <v>2019-10-04  - Due: 9-8-2019. Notified: 9-15-2019, 9-22-2019, 9-30-2019, 11-19-2019</v>
      </c>
      <c r="G604" s="3" t="str">
        <f>"Not if I save you first"</f>
        <v>Not if I save you first</v>
      </c>
      <c r="H604" t="str">
        <f>"Carter, Ally"</f>
        <v>Carter, Ally</v>
      </c>
      <c r="I604">
        <v>8</v>
      </c>
      <c r="J604" s="2">
        <v>43691</v>
      </c>
      <c r="K604" s="1">
        <v>24</v>
      </c>
    </row>
    <row r="605" spans="1:11" ht="32" x14ac:dyDescent="0.2">
      <c r="A605">
        <v>352523</v>
      </c>
      <c r="B605" t="str">
        <f>"F STEIN"</f>
        <v>F STEIN</v>
      </c>
      <c r="C605" t="s">
        <v>3541</v>
      </c>
      <c r="D605" t="s">
        <v>3542</v>
      </c>
      <c r="E605">
        <v>5165790</v>
      </c>
      <c r="F605" s="3" t="str">
        <f>"2019-12-16  - mm - WB - Member will check with his daughter if she has this book.    10-4-2019  - Due: 9-8-2019. Notified: 9-15-2019, 9-22-2019, 9-30-2019, 11-19-2019"</f>
        <v>2019-12-16  - mm - WB - Member will check with his daughter if she has this book.    10-4-2019  - Due: 9-8-2019. Notified: 9-15-2019, 9-22-2019, 9-30-2019, 11-19-2019</v>
      </c>
      <c r="G605" s="3" t="str">
        <f>"Of mice and men"</f>
        <v>Of mice and men</v>
      </c>
      <c r="H605" t="str">
        <f>"Steinbeck, John (1902-1968.)"</f>
        <v>Steinbeck, John (1902-1968.)</v>
      </c>
      <c r="I605">
        <v>1</v>
      </c>
      <c r="J605" s="2">
        <v>43702</v>
      </c>
      <c r="K605" s="1">
        <v>21</v>
      </c>
    </row>
    <row r="606" spans="1:11" ht="16" x14ac:dyDescent="0.2">
      <c r="A606">
        <v>352556</v>
      </c>
      <c r="B606" t="str">
        <f>"NEW 152.4 WAT"</f>
        <v>NEW 152.4 WAT</v>
      </c>
      <c r="C606" t="s">
        <v>3541</v>
      </c>
      <c r="D606" t="s">
        <v>3542</v>
      </c>
      <c r="E606" t="s">
        <v>3544</v>
      </c>
      <c r="F606" s="3" t="str">
        <f>"2019-08-07  - mew - Can't find item at LL"</f>
        <v>2019-08-07  - mew - Can't find item at LL</v>
      </c>
      <c r="G606" s="3" t="str">
        <f>"Schadenfreude: the joy of another's misfortune"</f>
        <v>Schadenfreude: the joy of another's misfortune</v>
      </c>
      <c r="H606" t="str">
        <f>"Watt Smith, Tiffany."</f>
        <v>Watt Smith, Tiffany.</v>
      </c>
      <c r="I606">
        <v>8</v>
      </c>
      <c r="J606" s="2">
        <v>43640</v>
      </c>
      <c r="K606" s="1">
        <v>20</v>
      </c>
    </row>
    <row r="607" spans="1:11" ht="16" x14ac:dyDescent="0.2">
      <c r="A607">
        <v>352561</v>
      </c>
      <c r="B607" t="str">
        <f>"YA BRASW"</f>
        <v>YA BRASW</v>
      </c>
      <c r="C607" t="s">
        <v>3541</v>
      </c>
      <c r="D607" t="s">
        <v>3542</v>
      </c>
      <c r="E607">
        <v>5174372</v>
      </c>
      <c r="F607" s="3" t="str">
        <f>"2020-01-18  - Due: 12-19-2019. Notified: 12-27-2019, 1-2-2020, 1-10-2020"</f>
        <v>2020-01-18  - Due: 12-19-2019. Notified: 12-27-2019, 1-2-2020, 1-10-2020</v>
      </c>
      <c r="G607" s="3" t="str">
        <f>"Part of your world"</f>
        <v>Part of your world</v>
      </c>
      <c r="H607" t="str">
        <f>"Braswell, Liz"</f>
        <v>Braswell, Liz</v>
      </c>
      <c r="I607">
        <v>6</v>
      </c>
      <c r="J607" s="2">
        <v>43804</v>
      </c>
      <c r="K607" s="1">
        <v>23</v>
      </c>
    </row>
    <row r="608" spans="1:11" ht="32" x14ac:dyDescent="0.2">
      <c r="A608">
        <v>352731</v>
      </c>
      <c r="B608" t="str">
        <f>"J 940.53 EDS"</f>
        <v>J 940.53 EDS</v>
      </c>
      <c r="C608" t="s">
        <v>3541</v>
      </c>
      <c r="D608" t="s">
        <v>3542</v>
      </c>
      <c r="E608">
        <v>5174772</v>
      </c>
      <c r="F608" s="3" t="str">
        <f>"2019-09-17  - Due: 8-20-2019. Notified: 8-27-2019, 9-3-2019, 9-11-2019, 10-29-2019"</f>
        <v>2019-09-17  - Due: 8-20-2019. Notified: 8-27-2019, 9-3-2019, 9-11-2019, 10-29-2019</v>
      </c>
      <c r="G608" s="3" t="str">
        <f>"The greatest treasure hunt in history: the story of the Monuments Men"</f>
        <v>The greatest treasure hunt in history: the story of the Monuments Men</v>
      </c>
      <c r="H608" t="str">
        <f>"Edsel, Robert M."</f>
        <v>Edsel, Robert M.</v>
      </c>
      <c r="I608">
        <v>2</v>
      </c>
      <c r="J608" s="2">
        <v>43683</v>
      </c>
      <c r="K608" s="1">
        <v>24</v>
      </c>
    </row>
    <row r="609" spans="1:11" ht="32" x14ac:dyDescent="0.2">
      <c r="A609">
        <v>352879</v>
      </c>
      <c r="B609" t="str">
        <f>"J GN CRAFT"</f>
        <v>J GN CRAFT</v>
      </c>
      <c r="C609" t="s">
        <v>3541</v>
      </c>
      <c r="D609" t="s">
        <v>3542</v>
      </c>
      <c r="E609">
        <v>15994</v>
      </c>
      <c r="F609" s="3" t="str">
        <f>"2020-01-08  - Tess - WB - Tess - WB - She did not check out childrens books and was shocked to see them on her account. I am marking them as missing.    1-8-2020  - Due: 1-22-2020."</f>
        <v>2020-01-08  - Tess - WB - Tess - WB - She did not check out childrens books and was shocked to see them on her account. I am marking them as missing.    1-8-2020  - Due: 1-22-2020.</v>
      </c>
      <c r="G609" s="3" t="str">
        <f>"New kid"</f>
        <v>New kid</v>
      </c>
      <c r="H609" t="str">
        <f>"Craft, Jerry"</f>
        <v>Craft, Jerry</v>
      </c>
      <c r="I609">
        <v>19</v>
      </c>
      <c r="J609" s="2">
        <v>43838</v>
      </c>
      <c r="K609" s="1">
        <v>27</v>
      </c>
    </row>
    <row r="610" spans="1:11" ht="16" x14ac:dyDescent="0.2">
      <c r="A610">
        <v>352910</v>
      </c>
      <c r="B610" t="str">
        <f>"BB J WOODS"</f>
        <v>BB J WOODS</v>
      </c>
      <c r="C610" t="s">
        <v>3541</v>
      </c>
      <c r="D610" t="s">
        <v>3542</v>
      </c>
      <c r="E610" t="s">
        <v>3544</v>
      </c>
      <c r="F610" s="3" t="str">
        <f>"2019-09-06  - Inventory - "</f>
        <v xml:space="preserve">2019-09-06  - Inventory - </v>
      </c>
      <c r="G610" s="3" t="str">
        <f>"Harbor me"</f>
        <v>Harbor me</v>
      </c>
      <c r="H610" t="str">
        <f>"Woodson, Jacqueline"</f>
        <v>Woodson, Jacqueline</v>
      </c>
      <c r="I610">
        <v>5</v>
      </c>
      <c r="J610" s="2">
        <v>43660</v>
      </c>
      <c r="K610" s="1">
        <v>23</v>
      </c>
    </row>
    <row r="611" spans="1:11" ht="16" x14ac:dyDescent="0.2">
      <c r="A611">
        <v>353062</v>
      </c>
      <c r="B611" t="str">
        <f>"E PETET"</f>
        <v>E PETET</v>
      </c>
      <c r="C611" t="s">
        <v>3541</v>
      </c>
      <c r="D611" t="s">
        <v>3542</v>
      </c>
      <c r="E611">
        <v>5144122</v>
      </c>
      <c r="F611" s="3" t="str">
        <f>"2019-12-29  - Due: 11-30-2019. Notified: 12-7-2019, 12-14-2019, 12-23-2019"</f>
        <v>2019-12-29  - Due: 11-30-2019. Notified: 12-7-2019, 12-14-2019, 12-23-2019</v>
      </c>
      <c r="G611" s="3" t="str">
        <f>"The great leprechaun chase"</f>
        <v>The great leprechaun chase</v>
      </c>
      <c r="H611" t="str">
        <f>"Dean, James (1931-1955.)"</f>
        <v>Dean, James (1931-1955.)</v>
      </c>
      <c r="I611">
        <v>5</v>
      </c>
      <c r="J611" s="2">
        <v>43783</v>
      </c>
      <c r="K611" s="1">
        <v>15</v>
      </c>
    </row>
    <row r="612" spans="1:11" ht="16" x14ac:dyDescent="0.2">
      <c r="A612">
        <v>353187</v>
      </c>
      <c r="B612" t="str">
        <f>"BB J CONNO"</f>
        <v>BB J CONNO</v>
      </c>
      <c r="C612" t="s">
        <v>3541</v>
      </c>
      <c r="D612" t="s">
        <v>3542</v>
      </c>
      <c r="E612">
        <v>5174164</v>
      </c>
      <c r="F612" s="3" t="str">
        <f>"2020-01-24  - Due: 12-27-2019. Notified: 1-3-2020, 1-10-2020, 1-17-2020"</f>
        <v>2020-01-24  - Due: 12-27-2019. Notified: 1-3-2020, 1-10-2020, 1-17-2020</v>
      </c>
      <c r="G612" s="3" t="str">
        <f>"Shadow weaver"</f>
        <v>Shadow weaver</v>
      </c>
      <c r="H612" t="str">
        <f>"Connolly, MarcyKate"</f>
        <v>Connolly, MarcyKate</v>
      </c>
      <c r="I612">
        <v>8</v>
      </c>
      <c r="J612" s="2">
        <v>43809</v>
      </c>
      <c r="K612" s="1">
        <v>22</v>
      </c>
    </row>
    <row r="613" spans="1:11" ht="32" x14ac:dyDescent="0.2">
      <c r="A613">
        <v>353324</v>
      </c>
      <c r="B613" t="str">
        <f>"B KOSAR"</f>
        <v>B KOSAR</v>
      </c>
      <c r="C613" t="s">
        <v>3541</v>
      </c>
      <c r="D613" t="s">
        <v>3542</v>
      </c>
      <c r="E613">
        <v>5137680</v>
      </c>
      <c r="F613" s="3" t="str">
        <f>"2020-01-25  - kl - WB - paid for lost book $10    12-29-2019  - Due: 11-30-2019. Notified: 12-7-2019, 12-14-2019, 12-23-2019"</f>
        <v>2020-01-25  - kl - WB - paid for lost book $10    12-29-2019  - Due: 11-30-2019. Notified: 12-7-2019, 12-14-2019, 12-23-2019</v>
      </c>
      <c r="G613" s="3" t="str">
        <f>"Fingerlings: monkey mischief"</f>
        <v>Fingerlings: monkey mischief</v>
      </c>
      <c r="H613" t="str">
        <f>"Kosara, Tori."</f>
        <v>Kosara, Tori.</v>
      </c>
      <c r="I613">
        <v>6</v>
      </c>
      <c r="J613" s="2">
        <v>43782</v>
      </c>
      <c r="K613" s="1">
        <v>10</v>
      </c>
    </row>
    <row r="614" spans="1:11" ht="16" x14ac:dyDescent="0.2">
      <c r="A614">
        <v>353469</v>
      </c>
      <c r="B614" t="str">
        <f>"NEW 306 CAR"</f>
        <v>NEW 306 CAR</v>
      </c>
      <c r="C614" t="s">
        <v>3541</v>
      </c>
      <c r="D614" t="s">
        <v>3542</v>
      </c>
      <c r="E614">
        <v>5142107</v>
      </c>
      <c r="F614" s="3" t="str">
        <f>"2019-09-27  - Due: 8-30-2019. Notified: 9-6-2019, 9-13-2019, 9-20-2019, 10-29-2019"</f>
        <v>2019-09-27  - Due: 8-30-2019. Notified: 9-6-2019, 9-13-2019, 9-20-2019, 10-29-2019</v>
      </c>
      <c r="G614" s="3" t="str">
        <f>"Alienated America: why some places thrive while others collapse"</f>
        <v>Alienated America: why some places thrive while others collapse</v>
      </c>
      <c r="H614" t="str">
        <f>"Carney, Timothy P., (1978-)"</f>
        <v>Carney, Timothy P., (1978-)</v>
      </c>
      <c r="I614">
        <v>6</v>
      </c>
      <c r="J614" s="2">
        <v>43693</v>
      </c>
      <c r="K614" s="1">
        <v>33</v>
      </c>
    </row>
    <row r="615" spans="1:11" ht="16" x14ac:dyDescent="0.2">
      <c r="A615">
        <v>353471</v>
      </c>
      <c r="B615" t="str">
        <f>"921 ABB"</f>
        <v>921 ABB</v>
      </c>
      <c r="C615" t="s">
        <v>3541</v>
      </c>
      <c r="D615" t="s">
        <v>3542</v>
      </c>
      <c r="E615">
        <v>5139089</v>
      </c>
      <c r="F615" s="3" t="str">
        <f>"2019-08-08  - Due: 7-13-2019. Notified: 7-20-2019, 7-28-2019, 8-5-2019, 9-24-2019"</f>
        <v>2019-08-08  - Due: 7-13-2019. Notified: 7-20-2019, 7-28-2019, 8-5-2019, 9-24-2019</v>
      </c>
      <c r="G615" s="3" t="str">
        <f>"Desert solitaire: a season in the wilderness"</f>
        <v>Desert solitaire: a season in the wilderness</v>
      </c>
      <c r="H615" t="str">
        <f>"Abbey, Edward (1927-1990.)"</f>
        <v>Abbey, Edward (1927-1990.)</v>
      </c>
      <c r="I615">
        <v>1</v>
      </c>
      <c r="J615" s="2">
        <v>43645</v>
      </c>
      <c r="K615" s="1">
        <v>13</v>
      </c>
    </row>
    <row r="616" spans="1:11" ht="16" x14ac:dyDescent="0.2">
      <c r="A616">
        <v>353527</v>
      </c>
      <c r="B616" t="str">
        <f>"811.6 KEN"</f>
        <v>811.6 KEN</v>
      </c>
      <c r="C616" t="s">
        <v>3541</v>
      </c>
      <c r="D616" t="s">
        <v>3542</v>
      </c>
      <c r="E616" t="s">
        <v>3544</v>
      </c>
      <c r="F616" s="3" t="str">
        <f>"2020-01-09  - ss - searched 3 times"</f>
        <v>2020-01-09  - ss - searched 3 times</v>
      </c>
      <c r="G616" s="3" t="str">
        <f>"Love poems: (for married people)"</f>
        <v>Love poems: (for married people)</v>
      </c>
      <c r="I616">
        <v>7</v>
      </c>
      <c r="J616" s="2">
        <v>43738</v>
      </c>
      <c r="K616" s="1">
        <v>20</v>
      </c>
    </row>
    <row r="617" spans="1:11" ht="16" x14ac:dyDescent="0.2">
      <c r="A617">
        <v>353624</v>
      </c>
      <c r="B617" t="str">
        <f>"E OCONN"</f>
        <v>E OCONN</v>
      </c>
      <c r="C617" t="s">
        <v>3541</v>
      </c>
      <c r="D617" t="s">
        <v>3542</v>
      </c>
      <c r="E617">
        <v>5212080</v>
      </c>
      <c r="F617" s="3" t="str">
        <f>"2019-10-19  - kl - WB - paid for lost book    10-19-2019  - Due: 10-16-2019."</f>
        <v>2019-10-19  - kl - WB - paid for lost book    10-19-2019  - Due: 10-16-2019.</v>
      </c>
      <c r="G617" s="3" t="str">
        <f>"Camp Fancy"</f>
        <v>Camp Fancy</v>
      </c>
      <c r="H617" t="str">
        <f>"O'Connor, Jane"</f>
        <v>O'Connor, Jane</v>
      </c>
      <c r="I617">
        <v>3</v>
      </c>
      <c r="J617" s="2">
        <v>43656</v>
      </c>
      <c r="K617" s="1">
        <v>9</v>
      </c>
    </row>
    <row r="618" spans="1:11" ht="16" x14ac:dyDescent="0.2">
      <c r="A618">
        <v>353854</v>
      </c>
      <c r="B618" t="str">
        <f>"NEW 781.66 HIA"</f>
        <v>NEW 781.66 HIA</v>
      </c>
      <c r="C618" t="s">
        <v>3541</v>
      </c>
      <c r="D618" t="s">
        <v>3542</v>
      </c>
      <c r="E618" t="s">
        <v>3544</v>
      </c>
      <c r="F618" s="3" t="str">
        <f>"2019-10-02  - mbw - Couldn't find item at LL"</f>
        <v>2019-10-02  - mbw - Couldn't find item at LL</v>
      </c>
      <c r="G618" s="3" t="str">
        <f>"Bruce Springsteen: the stories behind the songs"</f>
        <v>Bruce Springsteen: the stories behind the songs</v>
      </c>
      <c r="H618" t="str">
        <f>"Hiatt, Brian."</f>
        <v>Hiatt, Brian.</v>
      </c>
      <c r="I618">
        <v>2</v>
      </c>
      <c r="J618" s="2">
        <v>43615</v>
      </c>
      <c r="K618" s="1">
        <v>40</v>
      </c>
    </row>
    <row r="619" spans="1:11" ht="16" x14ac:dyDescent="0.2">
      <c r="A619">
        <v>354051</v>
      </c>
      <c r="B619" t="str">
        <f>"NEW 921 MAD"</f>
        <v>NEW 921 MAD</v>
      </c>
      <c r="C619" t="s">
        <v>3541</v>
      </c>
      <c r="D619" t="s">
        <v>3542</v>
      </c>
      <c r="E619" t="s">
        <v>3544</v>
      </c>
      <c r="F619" s="3" t="str">
        <f>"2019-10-02  - mbw - Couldn't find item at WB"</f>
        <v>2019-10-02  - mbw - Couldn't find item at WB</v>
      </c>
      <c r="G619" s="3" t="str">
        <f>"Long live the tribe of fatherless girls: a memoir"</f>
        <v>Long live the tribe of fatherless girls: a memoir</v>
      </c>
      <c r="H619" t="str">
        <f>"Madden, T Kira"</f>
        <v>Madden, T Kira</v>
      </c>
      <c r="I619">
        <v>6</v>
      </c>
      <c r="J619" s="2">
        <v>43678</v>
      </c>
      <c r="K619" s="1">
        <v>32</v>
      </c>
    </row>
    <row r="620" spans="1:11" ht="16" x14ac:dyDescent="0.2">
      <c r="A620">
        <v>354072</v>
      </c>
      <c r="B620" t="str">
        <f>"YA GN ISAYA v.27"</f>
        <v>YA GN ISAYA v.27</v>
      </c>
      <c r="C620" t="s">
        <v>3541</v>
      </c>
      <c r="D620" t="s">
        <v>3542</v>
      </c>
      <c r="E620">
        <v>5216284</v>
      </c>
      <c r="F620" s="3" t="str">
        <f>"2019-09-22  - Due: 8-25-2019. Notified: 9-3-2019, 9-8-2019, 9-16-2019, 10-29-2019"</f>
        <v>2019-09-22  - Due: 8-25-2019. Notified: 9-3-2019, 9-8-2019, 9-16-2019, 10-29-2019</v>
      </c>
      <c r="G620" s="3" t="str">
        <f>"Attack on Titan, v. 27"</f>
        <v>Attack on Titan, v. 27</v>
      </c>
      <c r="H620" t="str">
        <f>"Isayama, Hajime, (1986-)"</f>
        <v>Isayama, Hajime, (1986-)</v>
      </c>
      <c r="I620">
        <v>2</v>
      </c>
      <c r="J620" s="2">
        <v>43688</v>
      </c>
      <c r="K620" s="1">
        <v>16</v>
      </c>
    </row>
    <row r="621" spans="1:11" ht="32" x14ac:dyDescent="0.2">
      <c r="A621">
        <v>354287</v>
      </c>
      <c r="B621" t="str">
        <f>"YA DUNCA"</f>
        <v>YA DUNCA</v>
      </c>
      <c r="C621" t="s">
        <v>3541</v>
      </c>
      <c r="D621" t="s">
        <v>3542</v>
      </c>
      <c r="E621">
        <v>5120053</v>
      </c>
      <c r="F621" s="3" t="str">
        <f>"2019-09-27  - BD - WB - paying;  9-27-2019  - Due: 9-4-2019. Notified: 9-11-2019, 9-18-2019, 9-27-2019"</f>
        <v>2019-09-27  - BD - WB - paying;  9-27-2019  - Due: 9-4-2019. Notified: 9-11-2019, 9-18-2019, 9-27-2019</v>
      </c>
      <c r="G621" s="3" t="str">
        <f>"Wicked saints"</f>
        <v>Wicked saints</v>
      </c>
      <c r="H621" t="str">
        <f>"Duncan, Emily A."</f>
        <v>Duncan, Emily A.</v>
      </c>
      <c r="I621">
        <v>1</v>
      </c>
      <c r="J621" s="2">
        <v>43581</v>
      </c>
      <c r="K621" s="1">
        <v>24</v>
      </c>
    </row>
    <row r="622" spans="1:11" ht="16" x14ac:dyDescent="0.2">
      <c r="A622">
        <v>354475</v>
      </c>
      <c r="B622" t="str">
        <f>"641 REI"</f>
        <v>641 REI</v>
      </c>
      <c r="C622" t="s">
        <v>3541</v>
      </c>
      <c r="D622" t="s">
        <v>3542</v>
      </c>
      <c r="E622" t="s">
        <v>3544</v>
      </c>
      <c r="F622" s="3" t="str">
        <f>"2019-12-05  - ss - searched 3 times"</f>
        <v>2019-12-05  - ss - searched 3 times</v>
      </c>
      <c r="G622" s="3" t="str">
        <f>"Save me the plums: my Gourmet memoir"</f>
        <v>Save me the plums: my Gourmet memoir</v>
      </c>
      <c r="H622" t="str">
        <f>"Reichl, Ruth"</f>
        <v>Reichl, Ruth</v>
      </c>
      <c r="I622">
        <v>13</v>
      </c>
      <c r="J622" s="2">
        <v>43752</v>
      </c>
      <c r="K622" s="1">
        <v>32</v>
      </c>
    </row>
    <row r="623" spans="1:11" ht="32" x14ac:dyDescent="0.2">
      <c r="A623">
        <v>354515</v>
      </c>
      <c r="B623" t="str">
        <f>"J GN MCCOR"</f>
        <v>J GN MCCOR</v>
      </c>
      <c r="C623" t="s">
        <v>3541</v>
      </c>
      <c r="D623" t="s">
        <v>3542</v>
      </c>
      <c r="E623">
        <v>5174166</v>
      </c>
      <c r="F623" s="3" t="str">
        <f>"2019-12-02  - kmf - WB - patron paying $20.00 for Mr. Pants: It's go time.    12-2-2019  - Due: 11-25-2019. Notified: 12-2-2019"</f>
        <v>2019-12-02  - kmf - WB - patron paying $20.00 for Mr. Pants: It's go time.    12-2-2019  - Due: 11-25-2019. Notified: 12-2-2019</v>
      </c>
      <c r="G623" s="3" t="str">
        <f>"Mr. Pants: it's go time!"</f>
        <v>Mr. Pants: it's go time!</v>
      </c>
      <c r="H623" t="str">
        <f>"McCormick, Scott, (1970-)"</f>
        <v>McCormick, Scott, (1970-)</v>
      </c>
      <c r="I623">
        <v>11</v>
      </c>
      <c r="J623" s="2">
        <v>43752</v>
      </c>
      <c r="K623" s="1">
        <v>20</v>
      </c>
    </row>
    <row r="624" spans="1:11" ht="16" x14ac:dyDescent="0.2">
      <c r="A624">
        <v>354788</v>
      </c>
      <c r="B624" t="str">
        <f>"NEW 324.6 MUE"</f>
        <v>NEW 324.6 MUE</v>
      </c>
      <c r="C624" t="s">
        <v>3545</v>
      </c>
      <c r="D624" t="s">
        <v>3542</v>
      </c>
      <c r="E624">
        <v>5069442</v>
      </c>
      <c r="F624" s="3" t="str">
        <f>"2019-09-03  - TL - WB - Member paid $20 on 9/3/19.    9-3-2019  - Due: 9-17-2019."</f>
        <v>2019-09-03  - TL - WB - Member paid $20 on 9/3/19.    9-3-2019  - Due: 9-17-2019.</v>
      </c>
      <c r="G624" s="3" t="str">
        <f>"The Mueller report"</f>
        <v>The Mueller report</v>
      </c>
      <c r="I624">
        <v>6</v>
      </c>
      <c r="J624" s="2">
        <v>43687</v>
      </c>
      <c r="K624" s="1">
        <v>20</v>
      </c>
    </row>
    <row r="625" spans="1:11" ht="16" x14ac:dyDescent="0.2">
      <c r="A625">
        <v>354817</v>
      </c>
      <c r="B625" t="str">
        <f>"T RODRI"</f>
        <v>T RODRI</v>
      </c>
      <c r="C625" t="s">
        <v>3541</v>
      </c>
      <c r="D625" t="s">
        <v>3542</v>
      </c>
      <c r="E625">
        <v>5151379</v>
      </c>
      <c r="F625" s="3" t="str">
        <f>"2019-12-29  - Due: 11-30-2019. Notified: 12-7-2019, 12-14-2019, 12-23-2019"</f>
        <v>2019-12-29  - Due: 11-30-2019. Notified: 12-7-2019, 12-14-2019, 12-23-2019</v>
      </c>
      <c r="G625" s="3" t="str">
        <f>"Singing/cantando de colores: a bilingual book of harmony"</f>
        <v>Singing/cantando de colores: a bilingual book of harmony</v>
      </c>
      <c r="H625" t="str">
        <f>"Rodr�guez, Patty"</f>
        <v>Rodr�guez, Patty</v>
      </c>
      <c r="I625">
        <v>2</v>
      </c>
      <c r="J625" s="2">
        <v>43738</v>
      </c>
      <c r="K625" s="1">
        <v>15</v>
      </c>
    </row>
    <row r="626" spans="1:11" ht="32" x14ac:dyDescent="0.2">
      <c r="A626">
        <v>354823</v>
      </c>
      <c r="B626" t="str">
        <f>"E WALTD"</f>
        <v>E WALTD</v>
      </c>
      <c r="C626" t="s">
        <v>3545</v>
      </c>
      <c r="D626" t="str">
        <f>"Tech Serv"</f>
        <v>Tech Serv</v>
      </c>
      <c r="E626" t="s">
        <v>3544</v>
      </c>
      <c r="F626" s="3" t="str">
        <f>"2020-01-16  - BD - Check In - WB - got v wet somehow; member who checked out earlier today found during check out and handed it to me to send to mending"</f>
        <v>2020-01-16  - BD - Check In - WB - got v wet somehow; member who checked out earlier today found during check out and handed it to me to send to mending</v>
      </c>
      <c r="G626" s="3" t="str">
        <f>"Bonnie's first day of school: Toy story 4"</f>
        <v>Bonnie's first day of school: Toy story 4</v>
      </c>
      <c r="H626" t="str">
        <f>"Katschke, Judy"</f>
        <v>Katschke, Judy</v>
      </c>
      <c r="I626">
        <v>10</v>
      </c>
      <c r="J626" s="2">
        <v>43846</v>
      </c>
      <c r="K626" s="1">
        <v>11</v>
      </c>
    </row>
    <row r="627" spans="1:11" ht="32" x14ac:dyDescent="0.2">
      <c r="A627">
        <v>354844</v>
      </c>
      <c r="B627" t="str">
        <f>"E BRIDW"</f>
        <v>E BRIDW</v>
      </c>
      <c r="C627" t="s">
        <v>3541</v>
      </c>
      <c r="D627" t="s">
        <v>3542</v>
      </c>
      <c r="E627">
        <v>5200633</v>
      </c>
      <c r="F627" s="3" t="str">
        <f>"2019-09-05  - BD - WB - Brought in replacement copy; waiving fee because she spoke to someone about options and it was not mentioned.    9-5-2019  - Due: 9-5-2019."</f>
        <v>2019-09-05  - BD - WB - Brought in replacement copy; waiving fee because she spoke to someone about options and it was not mentioned.    9-5-2019  - Due: 9-5-2019.</v>
      </c>
      <c r="G627" s="3" t="str">
        <f>"It's pool time!"</f>
        <v>It's pool time!</v>
      </c>
      <c r="H627" t="str">
        <f>"Bridwell, Norman"</f>
        <v>Bridwell, Norman</v>
      </c>
      <c r="I627">
        <v>3</v>
      </c>
      <c r="J627" s="2">
        <v>43675</v>
      </c>
      <c r="K627" s="1">
        <v>10</v>
      </c>
    </row>
    <row r="628" spans="1:11" ht="16" x14ac:dyDescent="0.2">
      <c r="A628">
        <v>354887</v>
      </c>
      <c r="B628" t="str">
        <f>"NEW F QUANT"</f>
        <v>NEW F QUANT</v>
      </c>
      <c r="C628" t="s">
        <v>3541</v>
      </c>
      <c r="D628" t="s">
        <v>3542</v>
      </c>
      <c r="E628">
        <v>5179328</v>
      </c>
      <c r="F628" s="3" t="str">
        <f>"2019-08-08  - Due: 7-13-2019. Notified: 7-20-2019, 7-28-2019, 8-5-2019, 9-24-2019"</f>
        <v>2019-08-08  - Due: 7-13-2019. Notified: 7-20-2019, 7-28-2019, 8-5-2019, 9-24-2019</v>
      </c>
      <c r="G628" s="3" t="str">
        <f>"All my colors"</f>
        <v>All my colors</v>
      </c>
      <c r="H628" t="str">
        <f>"Quantick, David"</f>
        <v>Quantick, David</v>
      </c>
      <c r="I628">
        <v>1</v>
      </c>
      <c r="J628" s="2">
        <v>43631</v>
      </c>
      <c r="K628" s="1">
        <v>20</v>
      </c>
    </row>
    <row r="629" spans="1:11" ht="16" x14ac:dyDescent="0.2">
      <c r="A629">
        <v>354928</v>
      </c>
      <c r="B629" t="str">
        <f>"NEW F RIMME"</f>
        <v>NEW F RIMME</v>
      </c>
      <c r="C629" t="s">
        <v>3541</v>
      </c>
      <c r="D629" t="s">
        <v>3542</v>
      </c>
      <c r="E629">
        <v>5125885</v>
      </c>
      <c r="F629" s="3" t="str">
        <f>"2020-01-27  - Due: 12-30-2019. Notified: 1-6-2020, 1-13-2020, 1-21-2020"</f>
        <v>2020-01-27  - Due: 12-30-2019. Notified: 1-6-2020, 1-13-2020, 1-21-2020</v>
      </c>
      <c r="G629" s="3" t="str">
        <f>"The things we cannot say"</f>
        <v>The things we cannot say</v>
      </c>
      <c r="H629" t="str">
        <f>"Rimmer, Kelly"</f>
        <v>Rimmer, Kelly</v>
      </c>
      <c r="I629">
        <v>11</v>
      </c>
      <c r="J629" s="2">
        <v>43793</v>
      </c>
      <c r="K629" s="1">
        <v>22</v>
      </c>
    </row>
    <row r="630" spans="1:11" ht="16" x14ac:dyDescent="0.2">
      <c r="A630">
        <v>355226</v>
      </c>
      <c r="B630" t="str">
        <f>"NEW 530 AGU"</f>
        <v>NEW 530 AGU</v>
      </c>
      <c r="C630" t="s">
        <v>3541</v>
      </c>
      <c r="D630" t="s">
        <v>3542</v>
      </c>
      <c r="E630" t="s">
        <v>3544</v>
      </c>
      <c r="F630" s="3" t="str">
        <f>"2019-10-04  - Inventory - "</f>
        <v xml:space="preserve">2019-10-04  - Inventory - </v>
      </c>
      <c r="G630" s="3" t="str">
        <f>"Cosmological koans: a journey to the heart of physical reality"</f>
        <v>Cosmological koans: a journey to the heart of physical reality</v>
      </c>
      <c r="H630" t="str">
        <f>"Aguirre, Anthony (Anthony Nicholas)"</f>
        <v>Aguirre, Anthony (Anthony Nicholas)</v>
      </c>
      <c r="I630">
        <v>2</v>
      </c>
      <c r="J630" s="2">
        <v>43671</v>
      </c>
      <c r="K630" s="1">
        <v>33</v>
      </c>
    </row>
    <row r="631" spans="1:11" ht="16" x14ac:dyDescent="0.2">
      <c r="A631">
        <v>355263</v>
      </c>
      <c r="B631" t="str">
        <f>"NEW 551.4 MAC"</f>
        <v>NEW 551.4 MAC</v>
      </c>
      <c r="C631" t="s">
        <v>3541</v>
      </c>
      <c r="D631" t="s">
        <v>3542</v>
      </c>
      <c r="E631">
        <v>5050447</v>
      </c>
      <c r="F631" s="3" t="str">
        <f>"2019-11-26  - Due: 10-31-2019. Notified: 11-7-2019, 11-14-2019, 11-22-2019, 12-31-2019"</f>
        <v>2019-11-26  - Due: 10-31-2019. Notified: 11-7-2019, 11-14-2019, 11-22-2019, 12-31-2019</v>
      </c>
      <c r="G631" s="3" t="str">
        <f>"Underland: a deep time journey"</f>
        <v>Underland: a deep time journey</v>
      </c>
      <c r="H631" t="str">
        <f>"Macfarlane, Robert, (1976-)"</f>
        <v>Macfarlane, Robert, (1976-)</v>
      </c>
      <c r="I631">
        <v>8</v>
      </c>
      <c r="J631" s="2">
        <v>43755</v>
      </c>
      <c r="K631" s="1">
        <v>33</v>
      </c>
    </row>
    <row r="632" spans="1:11" ht="16" x14ac:dyDescent="0.2">
      <c r="A632">
        <v>355291</v>
      </c>
      <c r="B632" t="str">
        <f>"951.93 LEE"</f>
        <v>951.93 LEE</v>
      </c>
      <c r="C632" t="s">
        <v>3541</v>
      </c>
      <c r="D632" t="s">
        <v>3542</v>
      </c>
      <c r="E632" t="s">
        <v>3544</v>
      </c>
      <c r="F632" s="3" t="str">
        <f>"2020-01-25  - kl - searched 3 times"</f>
        <v>2020-01-25  - kl - searched 3 times</v>
      </c>
      <c r="G632" s="3" t="str">
        <f>"The girl with seven names: a North Korean defector's story"</f>
        <v>The girl with seven names: a North Korean defector's story</v>
      </c>
      <c r="H632" t="str">
        <f>"Lee, Hyeonseo"</f>
        <v>Lee, Hyeonseo</v>
      </c>
      <c r="I632">
        <v>1</v>
      </c>
      <c r="J632" s="2">
        <v>43647</v>
      </c>
      <c r="K632" s="1">
        <v>21</v>
      </c>
    </row>
    <row r="633" spans="1:11" ht="16" x14ac:dyDescent="0.2">
      <c r="A633">
        <v>355382</v>
      </c>
      <c r="B633" t="str">
        <f>"NEW F JALAL"</f>
        <v>NEW F JALAL</v>
      </c>
      <c r="C633" t="s">
        <v>3541</v>
      </c>
      <c r="D633" t="s">
        <v>3542</v>
      </c>
      <c r="E633" t="s">
        <v>3544</v>
      </c>
      <c r="F633" s="3" t="str">
        <f>"2019-12-04  - mbw - can't find item at wb"</f>
        <v>2019-12-04  - mbw - can't find item at wb</v>
      </c>
      <c r="G633" s="3" t="str">
        <f>"Ayesha at last"</f>
        <v>Ayesha at last</v>
      </c>
      <c r="H633" t="str">
        <f>"Jalaluddin, Uzma"</f>
        <v>Jalaluddin, Uzma</v>
      </c>
      <c r="I633">
        <v>4</v>
      </c>
      <c r="J633" s="2">
        <v>43718</v>
      </c>
      <c r="K633" s="1">
        <v>21</v>
      </c>
    </row>
    <row r="634" spans="1:11" ht="32" x14ac:dyDescent="0.2">
      <c r="A634">
        <v>355416</v>
      </c>
      <c r="B634" t="str">
        <f>"NEW 158.2 SAF"</f>
        <v>NEW 158.2 SAF</v>
      </c>
      <c r="C634" t="s">
        <v>3541</v>
      </c>
      <c r="D634" t="s">
        <v>3542</v>
      </c>
      <c r="E634" t="s">
        <v>3544</v>
      </c>
      <c r="F634" s="3" t="str">
        <f>"2019-10-04  - Inventory - "</f>
        <v xml:space="preserve">2019-10-04  - Inventory - </v>
      </c>
      <c r="G634" s="3" t="str">
        <f>"I love you, but I hate your politics: how to protect your intimate relationships in a poisonous partisan world"</f>
        <v>I love you, but I hate your politics: how to protect your intimate relationships in a poisonous partisan world</v>
      </c>
      <c r="H634" t="str">
        <f>"Safer, Jeanne"</f>
        <v>Safer, Jeanne</v>
      </c>
      <c r="I634">
        <v>3</v>
      </c>
      <c r="J634" s="2">
        <v>43727</v>
      </c>
      <c r="K634" s="1">
        <v>33</v>
      </c>
    </row>
    <row r="635" spans="1:11" ht="16" x14ac:dyDescent="0.2">
      <c r="A635">
        <v>355452</v>
      </c>
      <c r="B635" t="str">
        <f>"NEW 921 TAY"</f>
        <v>NEW 921 TAY</v>
      </c>
      <c r="C635" t="s">
        <v>3541</v>
      </c>
      <c r="D635" t="s">
        <v>3542</v>
      </c>
      <c r="E635">
        <v>5145619</v>
      </c>
      <c r="F635" s="3" t="str">
        <f>"2019-10-13  - Due: 9-17-2019. Notified: 9-24-2019, 10-1-2019, 10-9-2019, 11-19-2019"</f>
        <v>2019-10-13  - Due: 9-17-2019. Notified: 9-24-2019, 10-1-2019, 10-9-2019, 11-19-2019</v>
      </c>
      <c r="G635" s="3" t="str">
        <f>"The Queen: the forgotten life behind an American myth"</f>
        <v>The Queen: the forgotten life behind an American myth</v>
      </c>
      <c r="H635" t="str">
        <f>"Levin, Josh"</f>
        <v>Levin, Josh</v>
      </c>
      <c r="I635">
        <v>1</v>
      </c>
      <c r="J635" s="2">
        <v>43687</v>
      </c>
      <c r="K635" s="1">
        <v>34</v>
      </c>
    </row>
    <row r="636" spans="1:11" ht="32" x14ac:dyDescent="0.2">
      <c r="A636">
        <v>355525</v>
      </c>
      <c r="B636" t="str">
        <f>"NEW 921 KUR"</f>
        <v>NEW 921 KUR</v>
      </c>
      <c r="C636" t="s">
        <v>3541</v>
      </c>
      <c r="D636" t="s">
        <v>3542</v>
      </c>
      <c r="E636" t="s">
        <v>3544</v>
      </c>
      <c r="F636" s="3" t="str">
        <f>"2019-10-04  - Inventory - "</f>
        <v xml:space="preserve">2019-10-04  - Inventory - </v>
      </c>
      <c r="G636" s="3" t="str">
        <f>"The boy on the beach: my family's escape from Syria and our hope for a new home"</f>
        <v>The boy on the beach: my family's escape from Syria and our hope for a new home</v>
      </c>
      <c r="H636" t="str">
        <f>"Kurdi, Tima."</f>
        <v>Kurdi, Tima.</v>
      </c>
      <c r="I636">
        <v>1</v>
      </c>
      <c r="J636" s="2">
        <v>43671</v>
      </c>
      <c r="K636" s="1">
        <v>22</v>
      </c>
    </row>
    <row r="637" spans="1:11" ht="16" x14ac:dyDescent="0.2">
      <c r="A637">
        <v>355595</v>
      </c>
      <c r="B637" t="str">
        <f>"NEW 362.1 GAL"</f>
        <v>NEW 362.1 GAL</v>
      </c>
      <c r="C637" t="s">
        <v>3541</v>
      </c>
      <c r="D637" t="s">
        <v>3542</v>
      </c>
      <c r="E637" t="s">
        <v>3544</v>
      </c>
      <c r="F637" s="3" t="str">
        <f>"2019-12-13  - mbw - not on the shelf at LL"</f>
        <v>2019-12-13  - mbw - not on the shelf at LL</v>
      </c>
      <c r="G637" s="3" t="str">
        <f>"Well: what we need to talk about when we talk about health"</f>
        <v>Well: what we need to talk about when we talk about health</v>
      </c>
      <c r="H637" t="str">
        <f>"Galea, Sandro"</f>
        <v>Galea, Sandro</v>
      </c>
      <c r="I637">
        <v>5</v>
      </c>
      <c r="J637" s="2">
        <v>43751</v>
      </c>
      <c r="K637" s="1">
        <v>30</v>
      </c>
    </row>
    <row r="638" spans="1:11" ht="16" x14ac:dyDescent="0.2">
      <c r="A638">
        <v>355675</v>
      </c>
      <c r="B638" t="str">
        <f>"J RUSSE"</f>
        <v>J RUSSE</v>
      </c>
      <c r="C638" t="s">
        <v>3541</v>
      </c>
      <c r="D638" t="s">
        <v>3542</v>
      </c>
      <c r="E638">
        <v>5122360</v>
      </c>
      <c r="F638" s="3" t="str">
        <f>"2020-01-17  - Due: 12-18-2019. Notified: 12-27-2019, 1-2-2020, 1-8-2020"</f>
        <v>2020-01-17  - Due: 12-18-2019. Notified: 12-27-2019, 1-2-2020, 1-8-2020</v>
      </c>
      <c r="G638" s="3" t="str">
        <f>"Masters of mischief"</f>
        <v>Masters of mischief</v>
      </c>
      <c r="H638" t="str">
        <f>"Russell, Rachel Renee."</f>
        <v>Russell, Rachel Renee.</v>
      </c>
      <c r="I638">
        <v>5</v>
      </c>
      <c r="J638" s="2">
        <v>43803</v>
      </c>
      <c r="K638" s="1">
        <v>19</v>
      </c>
    </row>
    <row r="639" spans="1:11" ht="16" x14ac:dyDescent="0.2">
      <c r="A639">
        <v>355691</v>
      </c>
      <c r="B639" t="str">
        <f>"J FLINT"</f>
        <v>J FLINT</v>
      </c>
      <c r="C639" t="s">
        <v>3545</v>
      </c>
      <c r="D639" t="str">
        <f>"Tech Serv"</f>
        <v>Tech Serv</v>
      </c>
      <c r="E639" t="s">
        <v>3544</v>
      </c>
      <c r="F639" s="3" t="str">
        <f>"2020-01-11  - cc - Check In - LL - loose page"</f>
        <v>2020-01-11  - cc - Check In - LL - loose page</v>
      </c>
      <c r="G639" s="3" t="str">
        <f>"Robo-Rabbit Boy, go!"</f>
        <v>Robo-Rabbit Boy, go!</v>
      </c>
      <c r="H639" t="str">
        <f>"Flintham, Thomas"</f>
        <v>Flintham, Thomas</v>
      </c>
      <c r="I639">
        <v>1</v>
      </c>
      <c r="J639" s="2">
        <v>43694</v>
      </c>
      <c r="K639" s="1">
        <v>10</v>
      </c>
    </row>
    <row r="640" spans="1:11" ht="16" x14ac:dyDescent="0.2">
      <c r="A640">
        <v>355801</v>
      </c>
      <c r="B640" t="str">
        <f>"NEW 921 BUR"</f>
        <v>NEW 921 BUR</v>
      </c>
      <c r="C640" t="s">
        <v>3541</v>
      </c>
      <c r="D640" t="s">
        <v>3542</v>
      </c>
      <c r="E640">
        <v>5031134</v>
      </c>
      <c r="F640" s="3" t="str">
        <f>"2020-01-14  - Due: 12-15-2019. Notified: 12-22-2019, 12-29-2019, 1-6-2020"</f>
        <v>2020-01-14  - Due: 12-15-2019. Notified: 12-22-2019, 12-29-2019, 1-6-2020</v>
      </c>
      <c r="G640" s="3" t="str">
        <f>"William S. Burroughs &amp; the cult of rock 'n' roll"</f>
        <v>William S. Burroughs &amp; the cult of rock 'n' roll</v>
      </c>
      <c r="H640" t="str">
        <f>"Rae, Casey"</f>
        <v>Rae, Casey</v>
      </c>
      <c r="I640">
        <v>7</v>
      </c>
      <c r="J640" s="2">
        <v>43767</v>
      </c>
      <c r="K640" s="1">
        <v>33</v>
      </c>
    </row>
    <row r="641" spans="1:11" ht="16" x14ac:dyDescent="0.2">
      <c r="A641">
        <v>355813</v>
      </c>
      <c r="B641" t="str">
        <f>"NEW F STEEL"</f>
        <v>NEW F STEEL</v>
      </c>
      <c r="C641" t="s">
        <v>3541</v>
      </c>
      <c r="D641" t="s">
        <v>3542</v>
      </c>
      <c r="E641" t="s">
        <v>3544</v>
      </c>
      <c r="F641" s="3" t="str">
        <f>"2020-01-02  - mbw - not on shelf at WB"</f>
        <v>2020-01-02  - mbw - not on shelf at WB</v>
      </c>
      <c r="G641" s="3" t="str">
        <f>"Lost and found: a novel"</f>
        <v>Lost and found: a novel</v>
      </c>
      <c r="H641" t="str">
        <f>"Steel, Danielle"</f>
        <v>Steel, Danielle</v>
      </c>
      <c r="I641">
        <v>13</v>
      </c>
      <c r="J641" s="2">
        <v>43820</v>
      </c>
      <c r="K641" s="1">
        <v>34</v>
      </c>
    </row>
    <row r="642" spans="1:11" ht="16" x14ac:dyDescent="0.2">
      <c r="A642">
        <v>355907</v>
      </c>
      <c r="B642" t="str">
        <f>"378.1 ACT"</f>
        <v>378.1 ACT</v>
      </c>
      <c r="C642" t="s">
        <v>3541</v>
      </c>
      <c r="D642" t="s">
        <v>3542</v>
      </c>
      <c r="E642">
        <v>5169189</v>
      </c>
      <c r="F642" s="3" t="str">
        <f>"2019-11-26  - Due: 10-31-2019. Notified: 11-7-2019, 11-14-2019, 11-22-2019, 12-31-2019"</f>
        <v>2019-11-26  - Due: 10-31-2019. Notified: 11-7-2019, 11-14-2019, 11-22-2019, 12-31-2019</v>
      </c>
      <c r="G642" s="3" t="str">
        <f>"ACT prep 2020"</f>
        <v>ACT prep 2020</v>
      </c>
      <c r="I642">
        <v>2</v>
      </c>
      <c r="J642" s="2">
        <v>43755</v>
      </c>
      <c r="K642" s="1">
        <v>25</v>
      </c>
    </row>
    <row r="643" spans="1:11" ht="16" x14ac:dyDescent="0.2">
      <c r="A643">
        <v>356000</v>
      </c>
      <c r="B643" t="str">
        <f>"E KANG"</f>
        <v>E KANG</v>
      </c>
      <c r="C643" t="s">
        <v>3545</v>
      </c>
      <c r="D643" t="str">
        <f>"Tech Serv"</f>
        <v>Tech Serv</v>
      </c>
      <c r="E643" t="s">
        <v>3544</v>
      </c>
      <c r="F643" s="3" t="str">
        <f>"2020-01-30  - TL - Check In - LL - Torn page."</f>
        <v>2020-01-30  - TL - Check In - LL - Torn page.</v>
      </c>
      <c r="G643" s="3" t="str">
        <f>"Can I tell you a secret?"</f>
        <v>Can I tell you a secret?</v>
      </c>
      <c r="H643" t="str">
        <f>"Kang, Anna,"</f>
        <v>Kang, Anna,</v>
      </c>
      <c r="I643">
        <v>4</v>
      </c>
      <c r="J643" s="2">
        <v>43845</v>
      </c>
      <c r="K643" s="1">
        <v>23</v>
      </c>
    </row>
    <row r="644" spans="1:11" ht="32" x14ac:dyDescent="0.2">
      <c r="A644">
        <v>356083</v>
      </c>
      <c r="B644" t="str">
        <f>"NEW 920 GUI"</f>
        <v>NEW 920 GUI</v>
      </c>
      <c r="C644" t="s">
        <v>3541</v>
      </c>
      <c r="D644" t="s">
        <v>3542</v>
      </c>
      <c r="E644">
        <v>34294</v>
      </c>
      <c r="F644" s="3" t="str">
        <f>"2019-11-22  - BD - WB - member is very sure this was returned    11-22-2019  - Due: 12-5-2019."</f>
        <v>2019-11-22  - BD - WB - member is very sure this was returned    11-22-2019  - Due: 12-5-2019.</v>
      </c>
      <c r="G644" s="3" t="str">
        <f>"The vagabonds: the story of Henry Ford and Thomas Edison's ten-year road trip"</f>
        <v>The vagabonds: the story of Henry Ford and Thomas Edison's ten-year road trip</v>
      </c>
      <c r="H644" t="str">
        <f>"Guinn, Jeff"</f>
        <v>Guinn, Jeff</v>
      </c>
      <c r="I644">
        <v>7</v>
      </c>
      <c r="J644" s="2">
        <v>43752</v>
      </c>
      <c r="K644" s="1">
        <v>33</v>
      </c>
    </row>
    <row r="645" spans="1:11" ht="32" x14ac:dyDescent="0.2">
      <c r="A645">
        <v>356106</v>
      </c>
      <c r="B645" t="str">
        <f>"NEW F ATKIN"</f>
        <v>NEW F ATKIN</v>
      </c>
      <c r="C645" t="s">
        <v>3541</v>
      </c>
      <c r="D645" t="s">
        <v>3542</v>
      </c>
      <c r="E645">
        <v>5090511</v>
      </c>
      <c r="F645" s="3" t="str">
        <f>"2019-09-12  - BD - WB - Not charging; member is certain she returned this and 4 other New F books, but none of them are on the shelf. She'll look again at home.    9-12-2019  - Due: 9-12-2019."</f>
        <v>2019-09-12  - BD - WB - Not charging; member is certain she returned this and 4 other New F books, but none of them are on the shelf. She'll look again at home.    9-12-2019  - Due: 9-12-2019.</v>
      </c>
      <c r="G645" s="3" t="str">
        <f>"Big sky"</f>
        <v>Big sky</v>
      </c>
      <c r="H645" t="str">
        <f>"Atkinson, Kate"</f>
        <v>Atkinson, Kate</v>
      </c>
      <c r="I645">
        <v>2</v>
      </c>
      <c r="J645" s="2">
        <v>43692</v>
      </c>
      <c r="K645" s="1">
        <v>33</v>
      </c>
    </row>
    <row r="646" spans="1:11" ht="32" x14ac:dyDescent="0.2">
      <c r="A646">
        <v>356253</v>
      </c>
      <c r="B646" t="str">
        <f>"NEW 641.51 HOL"</f>
        <v>NEW 641.51 HOL</v>
      </c>
      <c r="C646" t="s">
        <v>3541</v>
      </c>
      <c r="D646" t="s">
        <v>3542</v>
      </c>
      <c r="E646">
        <v>5140631</v>
      </c>
      <c r="F646" s="3" t="str">
        <f>"2020-01-29  - Due: 1-2-2020. Notified: 1-9-2020, 1-16-2020, 1-24-2020"</f>
        <v>2020-01-29  - Due: 1-2-2020. Notified: 1-9-2020, 1-16-2020, 1-24-2020</v>
      </c>
      <c r="G646" s="3" t="str">
        <f>"Dairy free Keto cooking: a nutritional approach to restoring health and wellness"</f>
        <v>Dairy free Keto cooking: a nutritional approach to restoring health and wellness</v>
      </c>
      <c r="H646" t="str">
        <f>"Holley, Kyndra."</f>
        <v>Holley, Kyndra.</v>
      </c>
      <c r="I646">
        <v>5</v>
      </c>
      <c r="J646" s="2">
        <v>43816</v>
      </c>
      <c r="K646" s="1">
        <v>40</v>
      </c>
    </row>
    <row r="647" spans="1:11" ht="32" x14ac:dyDescent="0.2">
      <c r="A647">
        <v>356293</v>
      </c>
      <c r="B647" t="str">
        <f>"NEW 796.357 SEL"</f>
        <v>NEW 796.357 SEL</v>
      </c>
      <c r="C647" t="s">
        <v>3541</v>
      </c>
      <c r="D647" t="s">
        <v>3542</v>
      </c>
      <c r="E647" t="s">
        <v>3544</v>
      </c>
      <c r="F647" s="3" t="str">
        <f>"2020-01-02  - mbw - not on shelf at WB"</f>
        <v>2020-01-02  - mbw - not on shelf at WB</v>
      </c>
      <c r="G647" s="3" t="str">
        <f>"For the good of the game: the inside story of the surprising and dramatic transformation of major league baseball"</f>
        <v>For the good of the game: the inside story of the surprising and dramatic transformation of major league baseball</v>
      </c>
      <c r="H647" t="str">
        <f>"Selig, Bud."</f>
        <v>Selig, Bud.</v>
      </c>
      <c r="I647">
        <v>5</v>
      </c>
      <c r="J647" s="2">
        <v>43805</v>
      </c>
      <c r="K647" s="1">
        <v>34</v>
      </c>
    </row>
    <row r="648" spans="1:11" ht="16" x14ac:dyDescent="0.2">
      <c r="A648">
        <v>356296</v>
      </c>
      <c r="B648" t="str">
        <f>"NEW F MIRAN"</f>
        <v>NEW F MIRAN</v>
      </c>
      <c r="C648" t="s">
        <v>3541</v>
      </c>
      <c r="D648" t="s">
        <v>3542</v>
      </c>
      <c r="E648">
        <v>4810</v>
      </c>
      <c r="F648" s="3" t="str">
        <f>"2020-01-01  - Due: 12-3-2019. Notified: 12-10-2019, 12-17-2019, 12-27-2019"</f>
        <v>2020-01-01  - Due: 12-3-2019. Notified: 12-10-2019, 12-17-2019, 12-27-2019</v>
      </c>
      <c r="G648" s="3" t="str">
        <f>"The last house guest: a novel"</f>
        <v>The last house guest: a novel</v>
      </c>
      <c r="H648" t="str">
        <f>"Miranda, Megan."</f>
        <v>Miranda, Megan.</v>
      </c>
      <c r="I648">
        <v>5</v>
      </c>
      <c r="J648" s="2">
        <v>43774</v>
      </c>
      <c r="K648" s="1">
        <v>32</v>
      </c>
    </row>
    <row r="649" spans="1:11" ht="32" x14ac:dyDescent="0.2">
      <c r="A649">
        <v>356375</v>
      </c>
      <c r="B649" t="str">
        <f>"153.3 ZOM"</f>
        <v>153.3 ZOM</v>
      </c>
      <c r="C649" t="s">
        <v>3541</v>
      </c>
      <c r="D649" t="s">
        <v>3542</v>
      </c>
      <c r="E649">
        <v>5010144</v>
      </c>
      <c r="F649" s="3" t="str">
        <f>"2019-12-29  - Due: 11-30-2019. Notified: 12-7-2019, 12-14-2019, 12-23-2019"</f>
        <v>2019-12-29  - Due: 11-30-2019. Notified: 12-7-2019, 12-14-2019, 12-23-2019</v>
      </c>
      <c r="G649" s="3" t="str">
        <f>"Bored and brilliant: how spacing out can unlock your most productive and creative self"</f>
        <v>Bored and brilliant: how spacing out can unlock your most productive and creative self</v>
      </c>
      <c r="H649" t="str">
        <f>"Zomorodi, Manoush"</f>
        <v>Zomorodi, Manoush</v>
      </c>
      <c r="I649">
        <v>1</v>
      </c>
      <c r="J649" s="2">
        <v>43756</v>
      </c>
      <c r="K649" s="1">
        <v>32</v>
      </c>
    </row>
    <row r="650" spans="1:11" ht="16" x14ac:dyDescent="0.2">
      <c r="A650">
        <v>356554</v>
      </c>
      <c r="B650" t="str">
        <f>"NEW F PATTE"</f>
        <v>NEW F PATTE</v>
      </c>
      <c r="C650" t="s">
        <v>3541</v>
      </c>
      <c r="D650" t="s">
        <v>3542</v>
      </c>
      <c r="E650">
        <v>88516</v>
      </c>
      <c r="F650" s="3" t="str">
        <f>"2019-11-22  - ss - WB - member admitted losing and paid with card    11-22-2019  - Due: 11-24-2019."</f>
        <v>2019-11-22  - ss - WB - member admitted losing and paid with card    11-22-2019  - Due: 11-24-2019.</v>
      </c>
      <c r="G650" s="3" t="str">
        <f>"The Inn"</f>
        <v>The Inn</v>
      </c>
      <c r="H650" t="str">
        <f>"Patterson, James (1947-)"</f>
        <v>Patterson, James (1947-)</v>
      </c>
      <c r="I650">
        <v>6</v>
      </c>
      <c r="J650" s="2">
        <v>43764</v>
      </c>
      <c r="K650" s="1">
        <v>33</v>
      </c>
    </row>
    <row r="651" spans="1:11" ht="32" x14ac:dyDescent="0.2">
      <c r="A651">
        <v>356582</v>
      </c>
      <c r="B651" t="str">
        <f>"J 550 JEN"</f>
        <v>J 550 JEN</v>
      </c>
      <c r="C651" t="s">
        <v>3541</v>
      </c>
      <c r="D651" t="s">
        <v>3542</v>
      </c>
      <c r="E651">
        <v>5165374</v>
      </c>
      <c r="F651" s="3" t="str">
        <f>"2020-01-14  - mbw - WB - paid    1-14-2020  - mbw - member paid $20 on 1/14/20    1-14-2020  - Due: 1-10-2020. Notified: 12-3-2019, 12-10-2019, 12-18-2019"</f>
        <v>2020-01-14  - mbw - WB - paid    1-14-2020  - mbw - member paid $20 on 1/14/20    1-14-2020  - Due: 1-10-2020. Notified: 12-3-2019, 12-10-2019, 12-18-2019</v>
      </c>
      <c r="G651" s="3" t="str">
        <f>"Earth by the numbers"</f>
        <v>Earth by the numbers</v>
      </c>
      <c r="H651" t="str">
        <f>"Jenkins, Steve (1952-)"</f>
        <v>Jenkins, Steve (1952-)</v>
      </c>
      <c r="I651">
        <v>1</v>
      </c>
      <c r="J651" s="2">
        <v>43752</v>
      </c>
      <c r="K651" s="1">
        <v>20</v>
      </c>
    </row>
    <row r="652" spans="1:11" ht="16" x14ac:dyDescent="0.2">
      <c r="A652">
        <v>356781</v>
      </c>
      <c r="B652" t="str">
        <f>"J 629.4 GIF"</f>
        <v>J 629.4 GIF</v>
      </c>
      <c r="C652" t="s">
        <v>3541</v>
      </c>
      <c r="D652" t="s">
        <v>3542</v>
      </c>
      <c r="E652">
        <v>5054417</v>
      </c>
      <c r="F652" s="3" t="str">
        <f>"2020-01-06  - Due: 12-7-2019. Notified: 12-14-2019, 12-21-2019, 12-30-2019"</f>
        <v>2020-01-06  - Due: 12-7-2019. Notified: 12-14-2019, 12-21-2019, 12-30-2019</v>
      </c>
      <c r="G652" s="3" t="str">
        <f>"The race to space"</f>
        <v>The race to space</v>
      </c>
      <c r="H652" t="str">
        <f>"Gifford, Clive"</f>
        <v>Gifford, Clive</v>
      </c>
      <c r="I652">
        <v>1</v>
      </c>
      <c r="J652" s="2">
        <v>43756</v>
      </c>
      <c r="K652" s="1">
        <v>25</v>
      </c>
    </row>
    <row r="653" spans="1:11" ht="16" x14ac:dyDescent="0.2">
      <c r="A653">
        <v>356881</v>
      </c>
      <c r="B653" t="str">
        <f>"YA MCNEI"</f>
        <v>YA MCNEI</v>
      </c>
      <c r="C653" t="s">
        <v>3541</v>
      </c>
      <c r="D653" t="s">
        <v>3542</v>
      </c>
      <c r="E653">
        <v>5172476</v>
      </c>
      <c r="F653" s="3" t="str">
        <f>"2020-01-16  - Due: 12-17-2019. Notified: 12-27-2019, 12-31-2019, 1-8-2020"</f>
        <v>2020-01-16  - Due: 12-17-2019. Notified: 12-27-2019, 12-31-2019, 1-8-2020</v>
      </c>
      <c r="G653" s="3" t="s">
        <v>3611</v>
      </c>
      <c r="H653" t="str">
        <f>"McNeil, Gretchen,"</f>
        <v>McNeil, Gretchen,</v>
      </c>
      <c r="I653">
        <v>3</v>
      </c>
      <c r="J653" s="2">
        <v>43802</v>
      </c>
      <c r="K653" s="1">
        <v>23</v>
      </c>
    </row>
    <row r="654" spans="1:11" ht="16" x14ac:dyDescent="0.2">
      <c r="A654">
        <v>356929</v>
      </c>
      <c r="B654" t="str">
        <f>"J SPIRI"</f>
        <v>J SPIRI</v>
      </c>
      <c r="C654" t="s">
        <v>3541</v>
      </c>
      <c r="D654" t="s">
        <v>3542</v>
      </c>
      <c r="E654" t="s">
        <v>3544</v>
      </c>
      <c r="F654" s="3" t="str">
        <f>"2019-09-28  - kl - ok    9-28-2019  - kt - Circulation - Missing Button - 3 reserve searches finished."</f>
        <v>2019-09-28  - kl - ok    9-28-2019  - kt - Circulation - Missing Button - 3 reserve searches finished.</v>
      </c>
      <c r="G654" s="3" t="str">
        <f>"Blood ties"</f>
        <v>Blood ties</v>
      </c>
      <c r="H654" t="str">
        <f>"Nix, Garth"</f>
        <v>Nix, Garth</v>
      </c>
      <c r="I654">
        <v>0</v>
      </c>
      <c r="K654" s="1">
        <v>18</v>
      </c>
    </row>
    <row r="655" spans="1:11" ht="16" x14ac:dyDescent="0.2">
      <c r="A655">
        <v>357164</v>
      </c>
      <c r="B655" t="str">
        <f>"NEW F KAVA"</f>
        <v>NEW F KAVA</v>
      </c>
      <c r="C655" t="s">
        <v>3545</v>
      </c>
      <c r="D655" t="str">
        <f>"Tech Serv"</f>
        <v>Tech Serv</v>
      </c>
      <c r="E655" t="s">
        <v>3544</v>
      </c>
      <c r="F655" s="3" t="str">
        <f>"2020-01-25  - BD - Check In - LL - pages falling out"</f>
        <v>2020-01-25  - BD - Check In - LL - pages falling out</v>
      </c>
      <c r="G655" s="3" t="str">
        <f>"Desperate creed"</f>
        <v>Desperate creed</v>
      </c>
      <c r="H655" t="str">
        <f>"Kava, Alex"</f>
        <v>Kava, Alex</v>
      </c>
      <c r="I655">
        <v>3</v>
      </c>
      <c r="J655" s="2">
        <v>43807</v>
      </c>
      <c r="K655" s="1">
        <v>33</v>
      </c>
    </row>
    <row r="656" spans="1:11" ht="16" x14ac:dyDescent="0.2">
      <c r="A656">
        <v>357211</v>
      </c>
      <c r="B656" t="str">
        <f>"J MESSE"</f>
        <v>J MESSE</v>
      </c>
      <c r="C656" t="s">
        <v>3541</v>
      </c>
      <c r="D656" t="s">
        <v>3542</v>
      </c>
      <c r="E656">
        <v>5213914</v>
      </c>
      <c r="F656" s="3" t="str">
        <f>"2019-11-23  - Due: 10-28-2019. Notified: 11-4-2019, 11-11-2019, 11-18-2019, 12-31-2019"</f>
        <v>2019-11-23  - Due: 10-28-2019. Notified: 11-4-2019, 11-11-2019, 11-18-2019, 12-31-2019</v>
      </c>
      <c r="G656" s="3" t="s">
        <v>3604</v>
      </c>
      <c r="H656" t="str">
        <f>"Messenger, Shannon."</f>
        <v>Messenger, Shannon.</v>
      </c>
      <c r="I656">
        <v>1</v>
      </c>
      <c r="J656" s="2">
        <v>43752</v>
      </c>
      <c r="K656" s="1">
        <v>15</v>
      </c>
    </row>
    <row r="657" spans="1:11" ht="32" x14ac:dyDescent="0.2">
      <c r="A657">
        <v>357839</v>
      </c>
      <c r="B657" t="str">
        <f>"NEW 658.4 IGE"</f>
        <v>NEW 658.4 IGE</v>
      </c>
      <c r="C657" t="s">
        <v>3541</v>
      </c>
      <c r="D657" t="s">
        <v>3542</v>
      </c>
      <c r="E657" t="s">
        <v>3544</v>
      </c>
      <c r="F657" s="3" t="str">
        <f>"2020-01-05  - cab - on reserve list 3 days"</f>
        <v>2020-01-05  - cab - on reserve list 3 days</v>
      </c>
      <c r="G657" s="3" t="str">
        <f>"The ride of a lifetime: lessons learned from 15 years as CEO of the Walt Disney Company"</f>
        <v>The ride of a lifetime: lessons learned from 15 years as CEO of the Walt Disney Company</v>
      </c>
      <c r="H657" t="str">
        <f>"Iger, Robert."</f>
        <v>Iger, Robert.</v>
      </c>
      <c r="I657">
        <v>3</v>
      </c>
      <c r="J657" s="2">
        <v>43806</v>
      </c>
      <c r="K657" s="1">
        <v>33</v>
      </c>
    </row>
    <row r="658" spans="1:11" ht="32" x14ac:dyDescent="0.2">
      <c r="A658">
        <v>357992</v>
      </c>
      <c r="B658" t="str">
        <f>"J GN PEARS"</f>
        <v>J GN PEARS</v>
      </c>
      <c r="C658" t="s">
        <v>3541</v>
      </c>
      <c r="D658" t="s">
        <v>3542</v>
      </c>
      <c r="E658">
        <v>15578</v>
      </c>
      <c r="F658" s="3" t="str">
        <f>"2020-01-08  - Tess - WB - She did not check out childrens books and was shocked to see them on her account. I am marking them as missing.    1-8-2020  - Due: 1-22-2020."</f>
        <v>2020-01-08  - Tess - WB - She did not check out childrens books and was shocked to see them on her account. I am marking them as missing.    1-8-2020  - Due: 1-22-2020.</v>
      </c>
      <c r="G658" s="3" t="str">
        <f>"Hilda and the mountain king"</f>
        <v>Hilda and the mountain king</v>
      </c>
      <c r="H658" t="str">
        <f>"Pearson, Luke."</f>
        <v>Pearson, Luke.</v>
      </c>
      <c r="I658">
        <v>2</v>
      </c>
      <c r="J658" s="2">
        <v>43838</v>
      </c>
      <c r="K658" s="1">
        <v>25</v>
      </c>
    </row>
    <row r="659" spans="1:11" ht="16" x14ac:dyDescent="0.2">
      <c r="A659">
        <v>358131</v>
      </c>
      <c r="B659" t="str">
        <f>"NEW 921 SPI"</f>
        <v>NEW 921 SPI</v>
      </c>
      <c r="C659" t="s">
        <v>3545</v>
      </c>
      <c r="D659" t="str">
        <f>"Tech Serv"</f>
        <v>Tech Serv</v>
      </c>
      <c r="E659" t="s">
        <v>3544</v>
      </c>
      <c r="F659" s="3" t="str">
        <f>"2020-01-25  - kl - Check In - WB - broken binding"</f>
        <v>2020-01-25  - kl - Check In - WB - broken binding</v>
      </c>
      <c r="G659" s="3" t="str">
        <f>"Renia's diary: a Holocaust journal"</f>
        <v>Renia's diary: a Holocaust journal</v>
      </c>
      <c r="H659" t="str">
        <f>"Spiegel, Renia"</f>
        <v>Spiegel, Renia</v>
      </c>
      <c r="I659">
        <v>3</v>
      </c>
      <c r="J659" s="2">
        <v>43847</v>
      </c>
      <c r="K659" s="1">
        <v>33</v>
      </c>
    </row>
    <row r="660" spans="1:11" ht="16" x14ac:dyDescent="0.2">
      <c r="A660">
        <v>358280</v>
      </c>
      <c r="B660" t="str">
        <f>"J GN ASTER"</f>
        <v>J GN ASTER</v>
      </c>
      <c r="C660" t="s">
        <v>3545</v>
      </c>
      <c r="D660" t="str">
        <f>"Tech Serv"</f>
        <v>Tech Serv</v>
      </c>
      <c r="E660" t="s">
        <v>3544</v>
      </c>
      <c r="F660" s="3" t="str">
        <f>"2020-01-22  - TL - Check In - LL - Spine is mislabeled, should be ""J GN ASTER"""</f>
        <v>2020-01-22  - TL - Check In - LL - Spine is mislabeled, should be "J GN ASTER"</v>
      </c>
      <c r="G660" s="3" t="str">
        <f>"Asterix in Britain"</f>
        <v>Asterix in Britain</v>
      </c>
      <c r="H660" t="s">
        <v>3612</v>
      </c>
      <c r="I660">
        <v>2</v>
      </c>
      <c r="J660" s="2">
        <v>43799</v>
      </c>
      <c r="K660" s="1">
        <v>18</v>
      </c>
    </row>
    <row r="661" spans="1:11" ht="16" x14ac:dyDescent="0.2">
      <c r="A661">
        <v>358512</v>
      </c>
      <c r="B661" t="str">
        <f>"917.286 EYE"</f>
        <v>917.286 EYE</v>
      </c>
      <c r="C661" t="s">
        <v>3541</v>
      </c>
      <c r="D661" t="s">
        <v>3542</v>
      </c>
      <c r="E661" t="s">
        <v>3544</v>
      </c>
      <c r="F661" s="3" t="str">
        <f>"2020-01-10  - BD - 3 searches completed at WB"</f>
        <v>2020-01-10  - BD - 3 searches completed at WB</v>
      </c>
      <c r="G661" s="3" t="str">
        <f>"Costa Rica 2019"</f>
        <v>Costa Rica 2019</v>
      </c>
      <c r="I661">
        <v>0</v>
      </c>
      <c r="K661" s="1">
        <v>30</v>
      </c>
    </row>
    <row r="662" spans="1:11" ht="16" x14ac:dyDescent="0.2">
      <c r="A662">
        <v>358955</v>
      </c>
      <c r="B662" t="str">
        <f>"E PEPPA"</f>
        <v>E PEPPA</v>
      </c>
      <c r="C662" t="s">
        <v>3560</v>
      </c>
      <c r="D662" t="s">
        <v>3542</v>
      </c>
      <c r="E662">
        <v>5077787</v>
      </c>
      <c r="F662" s="3" t="str">
        <f>"2019-12-13  - KT - missing as of 12/13    12-13-2019  - Due: 12-3-2019. Notified: 12-10-2019"</f>
        <v>2019-12-13  - KT - missing as of 12/13    12-13-2019  - Due: 12-3-2019. Notified: 12-10-2019</v>
      </c>
      <c r="G662" s="3" t="str">
        <f>"Merry Christmas, Peppa!"</f>
        <v>Merry Christmas, Peppa!</v>
      </c>
      <c r="H662" t="str">
        <f>"McFadyen, Melanie"</f>
        <v>McFadyen, Melanie</v>
      </c>
      <c r="I662">
        <v>1</v>
      </c>
      <c r="J662" s="2">
        <v>43788</v>
      </c>
      <c r="K662" s="1">
        <v>10</v>
      </c>
    </row>
    <row r="663" spans="1:11" ht="32" x14ac:dyDescent="0.2">
      <c r="A663">
        <v>359018</v>
      </c>
      <c r="B663" t="str">
        <f>"NEW F JEWEL"</f>
        <v>NEW F JEWEL</v>
      </c>
      <c r="C663" t="s">
        <v>3541</v>
      </c>
      <c r="D663" t="s">
        <v>3542</v>
      </c>
      <c r="E663">
        <v>20192</v>
      </c>
      <c r="F663" s="3" t="str">
        <f>"2020-01-24  - PayPal - Paid    1-21-2020  - Tess - WB - Patron called. She can not find the book.    1-21-2020  - Due: 1-21-2020."</f>
        <v>2020-01-24  - PayPal - Paid    1-21-2020  - Tess - WB - Patron called. She can not find the book.    1-21-2020  - Due: 1-21-2020.</v>
      </c>
      <c r="G663" s="3" t="str">
        <f>"The family upstairs"</f>
        <v>The family upstairs</v>
      </c>
      <c r="H663" t="str">
        <f>"Jewell, Lisa."</f>
        <v>Jewell, Lisa.</v>
      </c>
      <c r="I663">
        <v>2</v>
      </c>
      <c r="J663" s="2">
        <v>43799</v>
      </c>
      <c r="K663" s="1">
        <v>32</v>
      </c>
    </row>
    <row r="664" spans="1:11" ht="16" x14ac:dyDescent="0.2">
      <c r="A664">
        <v>359408</v>
      </c>
      <c r="B664" t="str">
        <f>"E BEREN"</f>
        <v>E BEREN</v>
      </c>
      <c r="C664" t="s">
        <v>3545</v>
      </c>
      <c r="D664" t="s">
        <v>3542</v>
      </c>
      <c r="E664">
        <v>5162033</v>
      </c>
      <c r="F664" s="3" t="e">
        <v>#N/A</v>
      </c>
      <c r="G664" s="3" t="str">
        <f>"The Berenstain Bears get in a fight"</f>
        <v>The Berenstain Bears get in a fight</v>
      </c>
      <c r="H664" t="str">
        <f>"Berenstain, Stan (1923-)"</f>
        <v>Berenstain, Stan (1923-)</v>
      </c>
      <c r="I664">
        <v>3</v>
      </c>
      <c r="J664" s="2">
        <v>43815</v>
      </c>
      <c r="K664" s="1">
        <v>10</v>
      </c>
    </row>
    <row r="665" spans="1:11" ht="16" x14ac:dyDescent="0.2">
      <c r="A665">
        <v>359909</v>
      </c>
      <c r="B665" t="str">
        <f>"808 VON"</f>
        <v>808 VON</v>
      </c>
      <c r="C665" t="s">
        <v>3541</v>
      </c>
      <c r="D665" t="s">
        <v>3542</v>
      </c>
      <c r="E665" t="s">
        <v>3544</v>
      </c>
      <c r="F665" s="3" t="str">
        <f>"2020-01-06  - mm - Searched 3 times"</f>
        <v>2020-01-06  - mm - Searched 3 times</v>
      </c>
      <c r="G665" s="3" t="str">
        <f>"Pity the reader: on writing with style"</f>
        <v>Pity the reader: on writing with style</v>
      </c>
      <c r="H665" t="str">
        <f>"Vonnegut, Kurt"</f>
        <v>Vonnegut, Kurt</v>
      </c>
      <c r="I665">
        <v>0</v>
      </c>
      <c r="K665" s="1">
        <v>38</v>
      </c>
    </row>
    <row r="666" spans="1:11" ht="16" x14ac:dyDescent="0.2">
      <c r="A666">
        <v>360349</v>
      </c>
      <c r="B666" t="str">
        <f>"B DRISC"</f>
        <v>B DRISC</v>
      </c>
      <c r="C666" t="s">
        <v>3541</v>
      </c>
      <c r="D666" t="s">
        <v>3542</v>
      </c>
      <c r="E666" t="s">
        <v>3544</v>
      </c>
      <c r="F666" s="3" t="str">
        <f>"2020-01-25  - kl - searched 3 times"</f>
        <v>2020-01-25  - kl - searched 3 times</v>
      </c>
      <c r="G666" s="3" t="str">
        <f>"I want to be a pilot"</f>
        <v>I want to be a pilot</v>
      </c>
      <c r="H666" t="str">
        <f>"Driscoll, Laura"</f>
        <v>Driscoll, Laura</v>
      </c>
      <c r="I666">
        <v>0</v>
      </c>
      <c r="K666" s="1">
        <v>10</v>
      </c>
    </row>
    <row r="667" spans="1:11" ht="16" x14ac:dyDescent="0.2">
      <c r="A667">
        <v>400049</v>
      </c>
      <c r="B667" t="str">
        <f>"VIDEO DVD LADYB"</f>
        <v>VIDEO DVD LADYB</v>
      </c>
      <c r="C667" t="s">
        <v>3541</v>
      </c>
      <c r="D667" t="s">
        <v>3542</v>
      </c>
      <c r="E667" t="s">
        <v>3544</v>
      </c>
      <c r="F667" s="3" t="str">
        <f>"2020-01-31  - Inventory - "</f>
        <v xml:space="preserve">2020-01-31  - Inventory - </v>
      </c>
      <c r="G667" s="3" t="str">
        <f>"Lady bird"</f>
        <v>Lady bird</v>
      </c>
      <c r="H667" t="str">
        <f>"Gerwig, Greta."</f>
        <v>Gerwig, Greta.</v>
      </c>
      <c r="I667">
        <v>31</v>
      </c>
      <c r="J667" s="2">
        <v>43547</v>
      </c>
      <c r="K667" s="1">
        <v>26</v>
      </c>
    </row>
    <row r="668" spans="1:11" ht="16" x14ac:dyDescent="0.2">
      <c r="A668">
        <v>400083</v>
      </c>
      <c r="B668" t="str">
        <f>"E REIDY"</f>
        <v>E REIDY</v>
      </c>
      <c r="C668" t="s">
        <v>3541</v>
      </c>
      <c r="D668" t="s">
        <v>3542</v>
      </c>
      <c r="E668" t="s">
        <v>3544</v>
      </c>
      <c r="F668" s="3" t="str">
        <f>"2019-06-14  - Inventory - "</f>
        <v xml:space="preserve">2019-06-14  - Inventory - </v>
      </c>
      <c r="G668" s="3" t="str">
        <f>"Busy builders, busy week!"</f>
        <v>Busy builders, busy week!</v>
      </c>
      <c r="H668" t="str">
        <f>"Reidy, Jean."</f>
        <v>Reidy, Jean.</v>
      </c>
      <c r="I668">
        <v>8</v>
      </c>
      <c r="J668" s="2">
        <v>43388</v>
      </c>
      <c r="K668" s="1">
        <v>22</v>
      </c>
    </row>
    <row r="669" spans="1:11" ht="16" x14ac:dyDescent="0.2">
      <c r="A669">
        <v>400340</v>
      </c>
      <c r="B669" t="str">
        <f>"J 468.6 MUR"</f>
        <v>J 468.6 MUR</v>
      </c>
      <c r="C669" t="s">
        <v>3541</v>
      </c>
      <c r="D669" t="s">
        <v>3542</v>
      </c>
      <c r="E669">
        <v>5076874</v>
      </c>
      <c r="F669" s="3" t="str">
        <f>"2019-12-06  - Due: 11-7-2019. Notified: 11-14-2019, 11-21-2019, 12-2-2019, 1-21-2020"</f>
        <v>2019-12-06  - Due: 11-7-2019. Notified: 11-14-2019, 11-21-2019, 12-2-2019, 1-21-2020</v>
      </c>
      <c r="G669" s="3" t="str">
        <f>"Cachorros de perros"</f>
        <v>Cachorros de perros</v>
      </c>
      <c r="H669" t="str">
        <f>"Murray, Julie (1969-)"</f>
        <v>Murray, Julie (1969-)</v>
      </c>
      <c r="I669">
        <v>11</v>
      </c>
      <c r="J669" s="2">
        <v>43703</v>
      </c>
      <c r="K669" s="1">
        <v>32</v>
      </c>
    </row>
    <row r="670" spans="1:11" ht="32" x14ac:dyDescent="0.2">
      <c r="A670">
        <v>400565</v>
      </c>
      <c r="B670" t="str">
        <f>"VIDEO J DVD PAWPA"</f>
        <v>VIDEO J DVD PAWPA</v>
      </c>
      <c r="C670" t="s">
        <v>3560</v>
      </c>
      <c r="D670" t="str">
        <f>"Tech Serv"</f>
        <v>Tech Serv</v>
      </c>
      <c r="E670">
        <v>5147684</v>
      </c>
      <c r="F670" s="3" t="str">
        <f>"2019-09-16  - PayPal - Paid    9-13-2019  - BD - WB - reminder sent 8/29; adding fine and sending to TS    7-31-2019  - LW - Check In - WB - no disc"</f>
        <v>2019-09-16  - PayPal - Paid    9-13-2019  - BD - WB - reminder sent 8/29; adding fine and sending to TS    7-31-2019  - LW - Check In - WB - no disc</v>
      </c>
      <c r="G670" s="3" t="str">
        <f>"Paw patrol: sea patrol"</f>
        <v>Paw patrol: sea patrol</v>
      </c>
      <c r="I670">
        <v>30</v>
      </c>
      <c r="J670" s="2">
        <v>43655</v>
      </c>
      <c r="K670" s="1">
        <v>13</v>
      </c>
    </row>
    <row r="671" spans="1:11" ht="16" x14ac:dyDescent="0.2">
      <c r="A671">
        <v>400573</v>
      </c>
      <c r="B671" t="str">
        <f>"VIDEO DVD GREAT"</f>
        <v>VIDEO DVD GREAT</v>
      </c>
      <c r="C671" t="s">
        <v>3541</v>
      </c>
      <c r="D671" t="s">
        <v>3542</v>
      </c>
      <c r="E671" t="s">
        <v>3544</v>
      </c>
      <c r="F671" s="3" t="str">
        <f>"2020-01-17  - Inventory - "</f>
        <v xml:space="preserve">2020-01-17  - Inventory - </v>
      </c>
      <c r="G671" s="3" t="str">
        <f>"The Greatest Showman"</f>
        <v>The Greatest Showman</v>
      </c>
      <c r="H671" t="str">
        <f>"Gracey, Michael"</f>
        <v>Gracey, Michael</v>
      </c>
      <c r="I671">
        <v>45</v>
      </c>
      <c r="J671" s="2">
        <v>43664</v>
      </c>
      <c r="K671" s="1">
        <v>29.99</v>
      </c>
    </row>
    <row r="672" spans="1:11" ht="16" x14ac:dyDescent="0.2">
      <c r="A672">
        <v>400743</v>
      </c>
      <c r="B672" t="str">
        <f>"J HUNTE"</f>
        <v>J HUNTE</v>
      </c>
      <c r="C672" t="s">
        <v>3541</v>
      </c>
      <c r="D672" t="s">
        <v>3542</v>
      </c>
      <c r="E672" t="s">
        <v>3544</v>
      </c>
      <c r="F672" s="3" t="str">
        <f>"2019-12-29  - cab - on reserve list 3 days"</f>
        <v>2019-12-29  - cab - on reserve list 3 days</v>
      </c>
      <c r="G672" s="3" t="str">
        <f>"Rising storm"</f>
        <v>Rising storm</v>
      </c>
      <c r="H672" t="str">
        <f>"Hunter, Erin"</f>
        <v>Hunter, Erin</v>
      </c>
      <c r="I672">
        <v>15</v>
      </c>
      <c r="J672" s="2">
        <v>43761</v>
      </c>
      <c r="K672" s="1">
        <v>12</v>
      </c>
    </row>
    <row r="673" spans="1:11" ht="32" x14ac:dyDescent="0.2">
      <c r="A673">
        <v>400804</v>
      </c>
      <c r="B673" t="str">
        <f>"AUDIO J GRISH"</f>
        <v>AUDIO J GRISH</v>
      </c>
      <c r="C673" t="s">
        <v>3545</v>
      </c>
      <c r="D673" t="str">
        <f>"Tech Serv"</f>
        <v>Tech Serv</v>
      </c>
      <c r="E673" t="s">
        <v>3544</v>
      </c>
      <c r="F673" s="3" t="str">
        <f>"2019-09-29  - mm - Check In - LL - Disc #4 missing. This audio came thru the transfer bin to LL. This item last circulated in May 2018. Sending to TS."</f>
        <v>2019-09-29  - mm - Check In - LL - Disc #4 missing. This audio came thru the transfer bin to LL. This item last circulated in May 2018. Sending to TS.</v>
      </c>
      <c r="G673" s="3" t="str">
        <f>"Theodore Boone: the scandal"</f>
        <v>Theodore Boone: the scandal</v>
      </c>
      <c r="H673" t="str">
        <f>"Grisham, John"</f>
        <v>Grisham, John</v>
      </c>
      <c r="I673">
        <v>1</v>
      </c>
      <c r="J673" s="2">
        <v>43234</v>
      </c>
      <c r="K673" s="1">
        <v>40</v>
      </c>
    </row>
    <row r="674" spans="1:11" ht="16" x14ac:dyDescent="0.2">
      <c r="A674">
        <v>401238</v>
      </c>
      <c r="B674" t="str">
        <f>"J 468.6 RAM"</f>
        <v>J 468.6 RAM</v>
      </c>
      <c r="C674" t="s">
        <v>3541</v>
      </c>
      <c r="D674" t="s">
        <v>3542</v>
      </c>
      <c r="E674" t="s">
        <v>3544</v>
      </c>
      <c r="F674" s="3" t="str">
        <f>"2019-11-08  - Inventory - "</f>
        <v xml:space="preserve">2019-11-08  - Inventory - </v>
      </c>
      <c r="G674" s="3" t="str">
        <f>"Qu� es ese sonido?"</f>
        <v>Qu� es ese sonido?</v>
      </c>
      <c r="I674">
        <v>0</v>
      </c>
      <c r="K674" s="1">
        <v>11</v>
      </c>
    </row>
    <row r="675" spans="1:11" ht="16" x14ac:dyDescent="0.2">
      <c r="A675">
        <v>401279</v>
      </c>
      <c r="B675" t="str">
        <f>"438.5 SAI"</f>
        <v>438.5 SAI</v>
      </c>
      <c r="C675" t="s">
        <v>3541</v>
      </c>
      <c r="D675" t="s">
        <v>3542</v>
      </c>
      <c r="E675">
        <v>5216417</v>
      </c>
      <c r="F675" s="3" t="str">
        <f>"2019-09-22  - Due: 8-25-2019. Notified: 9-3-2019, 9-8-2019, 9-16-2019, 10-29-2019"</f>
        <v>2019-09-22  - Due: 8-25-2019. Notified: 9-3-2019, 9-8-2019, 9-16-2019, 10-29-2019</v>
      </c>
      <c r="G675" s="3" t="str">
        <f>"Der kleine Prinz"</f>
        <v>Der kleine Prinz</v>
      </c>
      <c r="H675" t="str">
        <f>"Saint-Exup�ry, Antoine de (1900-1944.)"</f>
        <v>Saint-Exup�ry, Antoine de (1900-1944.)</v>
      </c>
      <c r="I675">
        <v>1</v>
      </c>
      <c r="J675" s="2">
        <v>43688</v>
      </c>
      <c r="K675" s="1">
        <v>17</v>
      </c>
    </row>
    <row r="676" spans="1:11" ht="64" x14ac:dyDescent="0.2">
      <c r="A676">
        <v>401305</v>
      </c>
      <c r="B676" t="str">
        <f>"J 540.7 HAR"</f>
        <v>J 540.7 HAR</v>
      </c>
      <c r="C676" t="s">
        <v>3545</v>
      </c>
      <c r="D676" t="s">
        <v>3542</v>
      </c>
      <c r="E676">
        <v>5159408</v>
      </c>
      <c r="F676" s="3" t="s">
        <v>3613</v>
      </c>
      <c r="G676" s="3" t="str">
        <f>"Chemical reactions"</f>
        <v>Chemical reactions</v>
      </c>
      <c r="H676" t="str">
        <f>"Hartman, Eve"</f>
        <v>Hartman, Eve</v>
      </c>
      <c r="I676">
        <v>3</v>
      </c>
      <c r="J676" s="2">
        <v>43641</v>
      </c>
      <c r="K676" s="1">
        <v>15</v>
      </c>
    </row>
    <row r="677" spans="1:11" ht="16" x14ac:dyDescent="0.2">
      <c r="A677">
        <v>401387</v>
      </c>
      <c r="B677" t="str">
        <f>"J 612.6 IBR"</f>
        <v>J 612.6 IBR</v>
      </c>
      <c r="C677" t="s">
        <v>3541</v>
      </c>
      <c r="D677" t="s">
        <v>3542</v>
      </c>
      <c r="E677">
        <v>5216756</v>
      </c>
      <c r="F677" s="3" t="str">
        <f>"2019-09-22  - Due: 8-25-2019. Notified: 9-3-2019, 9-8-2019, 9-16-2019, 10-29-2019"</f>
        <v>2019-09-22  - Due: 8-25-2019. Notified: 9-3-2019, 9-8-2019, 9-16-2019, 10-29-2019</v>
      </c>
      <c r="G677" s="3" t="str">
        <f>"The girl guide: 50 ways to learn to love your changing body"</f>
        <v>The girl guide: 50 ways to learn to love your changing body</v>
      </c>
      <c r="H677" t="str">
        <f>"Ibrahim, Marawa"</f>
        <v>Ibrahim, Marawa</v>
      </c>
      <c r="I677">
        <v>4</v>
      </c>
      <c r="J677" s="2">
        <v>43688</v>
      </c>
      <c r="K677" s="1">
        <v>20</v>
      </c>
    </row>
    <row r="678" spans="1:11" ht="80" x14ac:dyDescent="0.2">
      <c r="A678">
        <v>401410</v>
      </c>
      <c r="B678" t="str">
        <f>"J WILLI"</f>
        <v>J WILLI</v>
      </c>
      <c r="C678" t="s">
        <v>3545</v>
      </c>
      <c r="D678" t="s">
        <v>3542</v>
      </c>
      <c r="E678">
        <v>5122066</v>
      </c>
      <c r="F678" s="3" t="s">
        <v>3614</v>
      </c>
      <c r="G678" s="3" t="str">
        <f>"Way of the warrior kid: from wimpy to warrior the Navy SEAL way"</f>
        <v>Way of the warrior kid: from wimpy to warrior the Navy SEAL way</v>
      </c>
      <c r="H678" t="str">
        <f>"Willink, Jocko"</f>
        <v>Willink, Jocko</v>
      </c>
      <c r="I678">
        <v>5</v>
      </c>
      <c r="J678" s="2">
        <v>43713</v>
      </c>
      <c r="K678" s="1">
        <v>13</v>
      </c>
    </row>
    <row r="679" spans="1:11" ht="48" x14ac:dyDescent="0.2">
      <c r="A679">
        <v>401999</v>
      </c>
      <c r="B679" t="str">
        <f>"378.1 HES"</f>
        <v>378.1 HES</v>
      </c>
      <c r="C679" t="s">
        <v>3541</v>
      </c>
      <c r="D679" t="s">
        <v>3542</v>
      </c>
      <c r="E679">
        <v>5216987</v>
      </c>
      <c r="F679" s="3" t="str">
        <f>"2020-01-06  - Due: 12-7-2019. Notified: 12-14-2019, 12-21-2019, 12-30-2019"</f>
        <v>2020-01-06  - Due: 12-7-2019. Notified: 12-14-2019, 12-21-2019, 12-30-2019</v>
      </c>
      <c r="G679" s="3" t="str">
        <f>"HESI A2 test study guide 2018-2019: HESI admission assessment exam review book and practice test questions for the HESI A2 exam"</f>
        <v>HESI A2 test study guide 2018-2019: HESI admission assessment exam review book and practice test questions for the HESI A2 exam</v>
      </c>
      <c r="H679" t="str">
        <f>"Trivium Test Prep"</f>
        <v>Trivium Test Prep</v>
      </c>
      <c r="I679">
        <v>4</v>
      </c>
      <c r="J679" s="2">
        <v>43733</v>
      </c>
      <c r="K679" s="1">
        <v>45</v>
      </c>
    </row>
    <row r="680" spans="1:11" ht="32" x14ac:dyDescent="0.2">
      <c r="A680">
        <v>402063</v>
      </c>
      <c r="B680" t="str">
        <f>"YA ROWEL"</f>
        <v>YA ROWEL</v>
      </c>
      <c r="C680" t="s">
        <v>3541</v>
      </c>
      <c r="D680" t="s">
        <v>3542</v>
      </c>
      <c r="E680">
        <v>5088970</v>
      </c>
      <c r="F680" s="3" t="str">
        <f>"2019-12-22  - BD - WB - paid by cc    12-1-2019  - Due: 11-2-2019. Notified: 11-9-2019, 11-16-2019, 11-25-2019"</f>
        <v>2019-12-22  - BD - WB - paid by cc    12-1-2019  - Due: 11-2-2019. Notified: 11-9-2019, 11-16-2019, 11-25-2019</v>
      </c>
      <c r="G680" s="3" t="str">
        <f>"Eleanor &amp; Park"</f>
        <v>Eleanor &amp; Park</v>
      </c>
      <c r="H680" t="str">
        <f>"Rowell, Rainbow."</f>
        <v>Rowell, Rainbow.</v>
      </c>
      <c r="I680">
        <v>6</v>
      </c>
      <c r="J680" s="2">
        <v>43736</v>
      </c>
      <c r="K680" s="1">
        <v>14</v>
      </c>
    </row>
    <row r="681" spans="1:11" ht="32" x14ac:dyDescent="0.2">
      <c r="A681">
        <v>402073</v>
      </c>
      <c r="B681" t="str">
        <f>"AUDIO GREER"</f>
        <v>AUDIO GREER</v>
      </c>
      <c r="C681" t="s">
        <v>3560</v>
      </c>
      <c r="D681" t="str">
        <f>"Tech Serv"</f>
        <v>Tech Serv</v>
      </c>
      <c r="E681">
        <v>5082674</v>
      </c>
      <c r="F681" s="3" t="str">
        <f>"2019-09-15  - rm - LL - Edit to send to tech serv    9-15-2019  - rm - LL - Member has paid $25 by cc for missing disc.    9-5-2019  - ms - Check In - LL - Missing Disk 5"</f>
        <v>2019-09-15  - rm - LL - Edit to send to tech serv    9-15-2019  - rm - LL - Member has paid $25 by cc for missing disc.    9-5-2019  - ms - Check In - LL - Missing Disk 5</v>
      </c>
      <c r="G681" s="3" t="str">
        <f>"Less: a novel"</f>
        <v>Less: a novel</v>
      </c>
      <c r="H681" t="str">
        <f>"Greer, Andrew Sean"</f>
        <v>Greer, Andrew Sean</v>
      </c>
      <c r="I681">
        <v>14</v>
      </c>
      <c r="J681" s="2">
        <v>43639</v>
      </c>
      <c r="K681" s="1">
        <v>25</v>
      </c>
    </row>
    <row r="682" spans="1:11" ht="16" x14ac:dyDescent="0.2">
      <c r="A682">
        <v>402155</v>
      </c>
      <c r="B682" t="str">
        <f>"VIDEO DVD RAINM"</f>
        <v>VIDEO DVD RAINM</v>
      </c>
      <c r="C682" t="s">
        <v>3541</v>
      </c>
      <c r="D682" t="s">
        <v>3542</v>
      </c>
      <c r="E682" t="s">
        <v>3544</v>
      </c>
      <c r="F682" s="3" t="str">
        <f>"2020-01-31  - Inventory - "</f>
        <v xml:space="preserve">2020-01-31  - Inventory - </v>
      </c>
      <c r="G682" s="3" t="str">
        <f>"Rain man"</f>
        <v>Rain man</v>
      </c>
      <c r="I682">
        <v>8</v>
      </c>
      <c r="J682" s="2">
        <v>43827</v>
      </c>
      <c r="K682" s="1">
        <v>14</v>
      </c>
    </row>
    <row r="683" spans="1:11" ht="48" x14ac:dyDescent="0.2">
      <c r="A683">
        <v>402159</v>
      </c>
      <c r="B683" t="str">
        <f>"VIDEO DVD STARW"</f>
        <v>VIDEO DVD STARW</v>
      </c>
      <c r="C683" t="s">
        <v>3560</v>
      </c>
      <c r="D683" t="str">
        <f>"Tech Serv"</f>
        <v>Tech Serv</v>
      </c>
      <c r="E683">
        <v>1433</v>
      </c>
      <c r="F683" s="3" t="str">
        <f>"2019-10-11  - kh - LL - Found on the shelf with no disc inside on 10/8. Emailed previous member 520591 (Dominguez) to see if they had it. Today member stopped by to say they searched at their house and do not have the disc. Sending to tech services."</f>
        <v>2019-10-11  - kh - LL - Found on the shelf with no disc inside on 10/8. Emailed previous member 520591 (Dominguez) to see if they had it. Today member stopped by to say they searched at their house and do not have the disc. Sending to tech services.</v>
      </c>
      <c r="G683" s="3" t="str">
        <f>"Star Wars, episode V: the empire strikes back"</f>
        <v>Star Wars, episode V: the empire strikes back</v>
      </c>
      <c r="I683">
        <v>10</v>
      </c>
      <c r="J683" s="2">
        <v>43746</v>
      </c>
      <c r="K683" s="1">
        <v>45</v>
      </c>
    </row>
    <row r="684" spans="1:11" ht="16" x14ac:dyDescent="0.2">
      <c r="A684">
        <v>402522</v>
      </c>
      <c r="B684" t="str">
        <f>"J 468.6 NUM"</f>
        <v>J 468.6 NUM</v>
      </c>
      <c r="C684" t="s">
        <v>3541</v>
      </c>
      <c r="D684" t="s">
        <v>3542</v>
      </c>
      <c r="E684">
        <v>5151024</v>
      </c>
      <c r="F684" s="3" t="str">
        <f>"2019-12-24  - Due: 11-25-2019. Notified: 12-2-2019, 12-9-2019, 12-16-2019"</f>
        <v>2019-12-24  - Due: 11-25-2019. Notified: 12-2-2019, 12-9-2019, 12-16-2019</v>
      </c>
      <c r="G684" s="3" t="str">
        <f>"Si de las un pastelito a un gato"</f>
        <v>Si de las un pastelito a un gato</v>
      </c>
      <c r="H684" t="str">
        <f>"Numeroff, Laura Joffe"</f>
        <v>Numeroff, Laura Joffe</v>
      </c>
      <c r="I684">
        <v>1</v>
      </c>
      <c r="J684" s="2">
        <v>43696</v>
      </c>
      <c r="K684" s="1">
        <v>17</v>
      </c>
    </row>
    <row r="685" spans="1:11" ht="16" x14ac:dyDescent="0.2">
      <c r="A685">
        <v>402938</v>
      </c>
      <c r="B685" t="str">
        <f>"AUDIO ROBER"</f>
        <v>AUDIO ROBER</v>
      </c>
      <c r="C685" t="s">
        <v>3545</v>
      </c>
      <c r="D685" t="str">
        <f>"Tech Serv"</f>
        <v>Tech Serv</v>
      </c>
      <c r="E685" t="s">
        <v>3544</v>
      </c>
      <c r="F685" s="3" t="str">
        <f>"2020-01-10  - ss - Check In - WB - member says last disc was not in item"</f>
        <v>2020-01-10  - ss - Check In - WB - member says last disc was not in item</v>
      </c>
      <c r="G685" s="3" t="str">
        <f>"Shelter in place"</f>
        <v>Shelter in place</v>
      </c>
      <c r="H685" t="str">
        <f>"Roberts, Nora"</f>
        <v>Roberts, Nora</v>
      </c>
      <c r="I685">
        <v>10</v>
      </c>
      <c r="J685" s="2">
        <v>43790</v>
      </c>
      <c r="K685" s="1">
        <v>55</v>
      </c>
    </row>
    <row r="686" spans="1:11" ht="16" x14ac:dyDescent="0.2">
      <c r="A686">
        <v>402952</v>
      </c>
      <c r="B686" t="str">
        <f>"VIDEO DVD AVENG"</f>
        <v>VIDEO DVD AVENG</v>
      </c>
      <c r="C686" t="s">
        <v>3541</v>
      </c>
      <c r="D686" t="s">
        <v>3542</v>
      </c>
      <c r="E686" t="s">
        <v>3544</v>
      </c>
      <c r="F686" s="3" t="str">
        <f>"2019-10-16  - TL - Is on reserve. Checked 3 times, couldn't find it."</f>
        <v>2019-10-16  - TL - Is on reserve. Checked 3 times, couldn't find it.</v>
      </c>
      <c r="G686" s="3" t="str">
        <f>"Avengers: infinity war"</f>
        <v>Avengers: infinity war</v>
      </c>
      <c r="H686" t="str">
        <f>"Russo, Anthony"</f>
        <v>Russo, Anthony</v>
      </c>
      <c r="I686">
        <v>27</v>
      </c>
      <c r="J686" s="2">
        <v>43622</v>
      </c>
      <c r="K686" s="1">
        <v>26</v>
      </c>
    </row>
    <row r="687" spans="1:11" ht="16" x14ac:dyDescent="0.2">
      <c r="A687">
        <v>402973</v>
      </c>
      <c r="B687" t="str">
        <f>"E KEATS"</f>
        <v>E KEATS</v>
      </c>
      <c r="C687" t="s">
        <v>3541</v>
      </c>
      <c r="D687" t="s">
        <v>3542</v>
      </c>
      <c r="E687" t="s">
        <v>3544</v>
      </c>
      <c r="F687" s="3" t="str">
        <f>"2019-06-14  - Inventory - "</f>
        <v xml:space="preserve">2019-06-14  - Inventory - </v>
      </c>
      <c r="G687" s="3" t="str">
        <f>"The snowy day"</f>
        <v>The snowy day</v>
      </c>
      <c r="H687" t="str">
        <f>"Keats, Ezra Jack"</f>
        <v>Keats, Ezra Jack</v>
      </c>
      <c r="I687">
        <v>2</v>
      </c>
      <c r="J687" s="2">
        <v>43428</v>
      </c>
      <c r="K687" s="1">
        <v>12</v>
      </c>
    </row>
    <row r="688" spans="1:11" ht="16" x14ac:dyDescent="0.2">
      <c r="A688">
        <v>402980</v>
      </c>
      <c r="B688" t="str">
        <f>"B INCRED"</f>
        <v>B INCRED</v>
      </c>
      <c r="C688" t="s">
        <v>3545</v>
      </c>
      <c r="D688" t="str">
        <f>"Circ Prob Box"</f>
        <v>Circ Prob Box</v>
      </c>
      <c r="E688">
        <v>5211184</v>
      </c>
      <c r="F688" s="3" t="str">
        <f>"2019-10-23  - mbw - paid $10 on 10/23/19    10-23-2019  - kt - Check In - WB - Pages ripped"</f>
        <v>2019-10-23  - mbw - paid $10 on 10/23/19    10-23-2019  - kt - Check In - WB - Pages ripped</v>
      </c>
      <c r="G688" s="3" t="str">
        <f>"The Incredible Dash"</f>
        <v>The Incredible Dash</v>
      </c>
      <c r="H688" t="str">
        <f>"Shealy, Dennis R."</f>
        <v>Shealy, Dennis R.</v>
      </c>
      <c r="I688">
        <v>11</v>
      </c>
      <c r="J688" s="2">
        <v>43716</v>
      </c>
      <c r="K688" s="1">
        <v>10</v>
      </c>
    </row>
    <row r="689" spans="1:11" ht="16" x14ac:dyDescent="0.2">
      <c r="A689">
        <v>403147</v>
      </c>
      <c r="B689" t="str">
        <f>"921 WES LARGE PRINT"</f>
        <v>921 WES LARGE PRINT</v>
      </c>
      <c r="C689" t="s">
        <v>3541</v>
      </c>
      <c r="D689" t="s">
        <v>3542</v>
      </c>
      <c r="E689" t="s">
        <v>3544</v>
      </c>
      <c r="F689" s="3" t="str">
        <f>"2020-01-25  - kl - searched 3 times"</f>
        <v>2020-01-25  - kl - searched 3 times</v>
      </c>
      <c r="G689" s="3" t="str">
        <f>"Educated: a memoir"</f>
        <v>Educated: a memoir</v>
      </c>
      <c r="H689" t="str">
        <f>"Westover, Tara"</f>
        <v>Westover, Tara</v>
      </c>
      <c r="I689">
        <v>26</v>
      </c>
      <c r="J689" s="2">
        <v>43838</v>
      </c>
      <c r="K689" s="1">
        <v>35</v>
      </c>
    </row>
    <row r="690" spans="1:11" ht="16" x14ac:dyDescent="0.2">
      <c r="A690">
        <v>403193</v>
      </c>
      <c r="B690" t="str">
        <f>"VIDEO DVD INSPE v.5"</f>
        <v>VIDEO DVD INSPE v.5</v>
      </c>
      <c r="C690" t="s">
        <v>3541</v>
      </c>
      <c r="D690" t="s">
        <v>3542</v>
      </c>
      <c r="E690" t="s">
        <v>3544</v>
      </c>
      <c r="F690" s="3" t="str">
        <f>"2020-01-17  - Inventory - "</f>
        <v xml:space="preserve">2020-01-17  - Inventory - </v>
      </c>
      <c r="G690" s="3" t="str">
        <f>"The complete Inspector Lewis, v.5"</f>
        <v>The complete Inspector Lewis, v.5</v>
      </c>
      <c r="I690">
        <v>2</v>
      </c>
      <c r="J690" s="2">
        <v>43651</v>
      </c>
      <c r="K690" s="1">
        <v>20</v>
      </c>
    </row>
    <row r="691" spans="1:11" ht="16" x14ac:dyDescent="0.2">
      <c r="A691">
        <v>403246</v>
      </c>
      <c r="B691" t="str">
        <f>"J 791.43 REV"</f>
        <v>J 791.43 REV</v>
      </c>
      <c r="C691" t="s">
        <v>3541</v>
      </c>
      <c r="D691" t="s">
        <v>3542</v>
      </c>
      <c r="E691">
        <v>5209090</v>
      </c>
      <c r="F691" s="3" t="str">
        <f>"2019-08-24  - Due: 7-29-2019. Notified: 8-5-2019, 8-12-2019, 8-19-2019, 10-29-2019"</f>
        <v>2019-08-24  - Due: 7-29-2019. Notified: 8-5-2019, 8-12-2019, 8-19-2019, 10-29-2019</v>
      </c>
      <c r="G691" s="3" t="str">
        <f>"Harry Potter: the character vault"</f>
        <v>Harry Potter: the character vault</v>
      </c>
      <c r="H691" t="str">
        <f>"Revenson, Jody,"</f>
        <v>Revenson, Jody,</v>
      </c>
      <c r="I691">
        <v>6</v>
      </c>
      <c r="J691" s="2">
        <v>43661</v>
      </c>
      <c r="K691" s="1">
        <v>50</v>
      </c>
    </row>
    <row r="692" spans="1:11" ht="16" x14ac:dyDescent="0.2">
      <c r="A692">
        <v>403468</v>
      </c>
      <c r="B692" t="str">
        <f>"VIDEO J DVD CHARL"</f>
        <v>VIDEO J DVD CHARL</v>
      </c>
      <c r="C692" t="s">
        <v>3541</v>
      </c>
      <c r="D692" t="s">
        <v>3542</v>
      </c>
      <c r="E692" t="s">
        <v>3544</v>
      </c>
      <c r="F692" s="3" t="str">
        <f>"2019-10-22  - Tess -     10-22-2019  - Tess - Checked the shelves, its not in either library."</f>
        <v>2019-10-22  - Tess -     10-22-2019  - Tess - Checked the shelves, its not in either library.</v>
      </c>
      <c r="G692" s="3" t="str">
        <f>"It's the Great Pumpkin, Charlie Brown"</f>
        <v>It's the Great Pumpkin, Charlie Brown</v>
      </c>
      <c r="I692">
        <v>5</v>
      </c>
      <c r="J692" s="2">
        <v>43604</v>
      </c>
      <c r="K692" s="1">
        <v>15</v>
      </c>
    </row>
    <row r="693" spans="1:11" ht="16" x14ac:dyDescent="0.2">
      <c r="A693">
        <v>403518</v>
      </c>
      <c r="B693" t="str">
        <f>"F RIDPA"</f>
        <v>F RIDPA</v>
      </c>
      <c r="C693" t="s">
        <v>3545</v>
      </c>
      <c r="D693" t="str">
        <f>"Tech Serv"</f>
        <v>Tech Serv</v>
      </c>
      <c r="E693" t="s">
        <v>3544</v>
      </c>
      <c r="F693" s="3" t="str">
        <f>"2019-05-31  - rs - Check In - WB"</f>
        <v>2019-05-31  - rs - Check In - WB</v>
      </c>
      <c r="G693" s="3" t="str">
        <f>"The Wanderer"</f>
        <v>The Wanderer</v>
      </c>
      <c r="H693" t="str">
        <f>"Ridpath, Michael."</f>
        <v>Ridpath, Michael.</v>
      </c>
      <c r="I693">
        <v>10</v>
      </c>
      <c r="J693" s="2">
        <v>43577</v>
      </c>
      <c r="K693" s="1">
        <v>25</v>
      </c>
    </row>
    <row r="694" spans="1:11" ht="16" x14ac:dyDescent="0.2">
      <c r="A694">
        <v>403536</v>
      </c>
      <c r="B694" t="str">
        <f>"J 917.98 NEW"</f>
        <v>J 917.98 NEW</v>
      </c>
      <c r="C694" t="s">
        <v>3541</v>
      </c>
      <c r="D694" t="s">
        <v>3542</v>
      </c>
      <c r="E694">
        <v>5204846</v>
      </c>
      <c r="F694" s="3" t="str">
        <f>"2019-04-25  - Due: 3-29-2019. Notified: 4-5-2019, 4-12-2019, 4-19-2019, 6-18-2019"</f>
        <v>2019-04-25  - Due: 3-29-2019. Notified: 4-5-2019, 4-12-2019, 4-19-2019, 6-18-2019</v>
      </c>
      <c r="G694" s="3" t="str">
        <f>"My United States: Alaska"</f>
        <v>My United States: Alaska</v>
      </c>
      <c r="H694" t="str">
        <f>"Newman, Lauren"</f>
        <v>Newman, Lauren</v>
      </c>
      <c r="I694">
        <v>1</v>
      </c>
      <c r="J694" s="2">
        <v>43539</v>
      </c>
      <c r="K694" s="1">
        <v>27</v>
      </c>
    </row>
    <row r="695" spans="1:11" ht="32" x14ac:dyDescent="0.2">
      <c r="A695">
        <v>403734</v>
      </c>
      <c r="B695" t="str">
        <f>"MAG 11/2018"</f>
        <v>MAG 11/2018</v>
      </c>
      <c r="C695" t="s">
        <v>3560</v>
      </c>
      <c r="D695" t="s">
        <v>3542</v>
      </c>
      <c r="E695">
        <v>5160765</v>
      </c>
      <c r="F695" s="3" t="str">
        <f>"2019-08-07  - mew - LL - paid $5 on 8/7/19    8-7-2019  - mew - member can't find this item    8-7-2019  - Due: 8-5-2019."</f>
        <v>2019-08-07  - mew - LL - paid $5 on 8/7/19    8-7-2019  - mew - member can't find this item    8-7-2019  - Due: 8-5-2019.</v>
      </c>
      <c r="G695" s="3" t="str">
        <f>"Fortune 2018"</f>
        <v>Fortune 2018</v>
      </c>
      <c r="I695">
        <v>4</v>
      </c>
      <c r="J695" s="2">
        <v>43631</v>
      </c>
      <c r="K695" s="1">
        <v>5</v>
      </c>
    </row>
    <row r="696" spans="1:11" ht="16" x14ac:dyDescent="0.2">
      <c r="A696">
        <v>404345</v>
      </c>
      <c r="B696" t="str">
        <f>"MAG 1&amp;2/2019"</f>
        <v>MAG 1&amp;2/2019</v>
      </c>
      <c r="C696" t="s">
        <v>3541</v>
      </c>
      <c r="D696" t="s">
        <v>3542</v>
      </c>
      <c r="E696">
        <v>5175247</v>
      </c>
      <c r="F696" s="3" t="str">
        <f>"2019-11-08  - Due: 10-13-2019. Notified: 10-20-2019, 10-27-2019, 11-4-2019, 12-31-2019"</f>
        <v>2019-11-08  - Due: 10-13-2019. Notified: 10-20-2019, 10-27-2019, 11-4-2019, 12-31-2019</v>
      </c>
      <c r="G696" s="3" t="str">
        <f>"Entrepreneur 2019"</f>
        <v>Entrepreneur 2019</v>
      </c>
      <c r="I696">
        <v>3</v>
      </c>
      <c r="J696" s="2">
        <v>43737</v>
      </c>
      <c r="K696" s="1">
        <v>5</v>
      </c>
    </row>
    <row r="697" spans="1:11" ht="16" x14ac:dyDescent="0.2">
      <c r="A697">
        <v>404468</v>
      </c>
      <c r="B697" t="str">
        <f>"J GRATZ"</f>
        <v>J GRATZ</v>
      </c>
      <c r="C697" t="s">
        <v>3541</v>
      </c>
      <c r="D697" t="s">
        <v>3542</v>
      </c>
      <c r="E697">
        <v>5170797</v>
      </c>
      <c r="F697" s="3" t="str">
        <f>"2019-08-27  - Due: 8-1-2019. Notified: 8-9-2019, 8-15-2019, 8-23-2019, 10-29-2019"</f>
        <v>2019-08-27  - Due: 8-1-2019. Notified: 8-9-2019, 8-15-2019, 8-23-2019, 10-29-2019</v>
      </c>
      <c r="G697" s="3" t="s">
        <v>3615</v>
      </c>
      <c r="H697" t="str">
        <f>"Gratz, Alan, (1972-)"</f>
        <v>Gratz, Alan, (1972-)</v>
      </c>
      <c r="I697">
        <v>8</v>
      </c>
      <c r="J697" s="2">
        <v>43664</v>
      </c>
      <c r="K697" s="1">
        <v>23</v>
      </c>
    </row>
    <row r="698" spans="1:11" ht="16" x14ac:dyDescent="0.2">
      <c r="A698">
        <v>404692</v>
      </c>
      <c r="B698" t="str">
        <f>"MAG 3/2019"</f>
        <v>MAG 3/2019</v>
      </c>
      <c r="C698" t="s">
        <v>3541</v>
      </c>
      <c r="D698" t="s">
        <v>3542</v>
      </c>
      <c r="E698">
        <v>5146004</v>
      </c>
      <c r="F698" s="3" t="str">
        <f>"2019-10-13  - Due: 9-17-2019. Notified: 9-24-2019, 10-1-2019, 10-9-2019, 11-19-2019"</f>
        <v>2019-10-13  - Due: 9-17-2019. Notified: 9-24-2019, 10-1-2019, 10-9-2019, 11-19-2019</v>
      </c>
      <c r="G698" s="3" t="str">
        <f>"Money 2019"</f>
        <v>Money 2019</v>
      </c>
      <c r="I698">
        <v>2</v>
      </c>
      <c r="J698" s="2">
        <v>43687</v>
      </c>
      <c r="K698" s="1">
        <v>5</v>
      </c>
    </row>
    <row r="699" spans="1:11" ht="16" x14ac:dyDescent="0.2">
      <c r="A699">
        <v>404713</v>
      </c>
      <c r="B699" t="str">
        <f>"MAG Spring 2019"</f>
        <v>MAG Spring 2019</v>
      </c>
      <c r="C699" t="s">
        <v>3541</v>
      </c>
      <c r="D699" t="s">
        <v>3542</v>
      </c>
      <c r="E699">
        <v>5067291</v>
      </c>
      <c r="F699" s="3" t="str">
        <f>"2019-12-18  - Due: 11-19-2019. Notified: 11-26-2019, 12-3-2019, 12-11-2019, 1-21-2020"</f>
        <v>2019-12-18  - Due: 11-19-2019. Notified: 11-26-2019, 12-3-2019, 12-11-2019, 1-21-2020</v>
      </c>
      <c r="G699" s="3" t="str">
        <f>"Austin Home 2019"</f>
        <v>Austin Home 2019</v>
      </c>
      <c r="I699">
        <v>8</v>
      </c>
      <c r="J699" s="2">
        <v>43774</v>
      </c>
      <c r="K699" s="1">
        <v>5</v>
      </c>
    </row>
    <row r="700" spans="1:11" ht="32" x14ac:dyDescent="0.2">
      <c r="A700">
        <v>404927</v>
      </c>
      <c r="B700" t="str">
        <f>"J GN PEIRC"</f>
        <v>J GN PEIRC</v>
      </c>
      <c r="C700" t="s">
        <v>3541</v>
      </c>
      <c r="D700" t="s">
        <v>3542</v>
      </c>
      <c r="E700">
        <v>5162452</v>
      </c>
      <c r="F700" s="3" t="str">
        <f>"2020-01-02  - TL - LL - Member paid $15.00 in cash on 1/2/2020.    12-29-2019  - mbw - Member has lost the item.    12-29-2019  - Due: 12-22-2019. Notified: 12-29-2019"</f>
        <v>2020-01-02  - TL - LL - Member paid $15.00 in cash on 1/2/2020.    12-29-2019  - mbw - Member has lost the item.    12-29-2019  - Due: 12-22-2019. Notified: 12-29-2019</v>
      </c>
      <c r="G700" s="3" t="str">
        <f>"Big Nate: a good old-fashioned wedgie"</f>
        <v>Big Nate: a good old-fashioned wedgie</v>
      </c>
      <c r="H700" t="str">
        <f>"Peirce, Lincoln."</f>
        <v>Peirce, Lincoln.</v>
      </c>
      <c r="I700">
        <v>8</v>
      </c>
      <c r="J700" s="2">
        <v>43788</v>
      </c>
      <c r="K700" s="1">
        <v>15</v>
      </c>
    </row>
    <row r="701" spans="1:11" ht="16" x14ac:dyDescent="0.2">
      <c r="A701">
        <v>405080</v>
      </c>
      <c r="B701" t="str">
        <f>"917.97 EYE"</f>
        <v>917.97 EYE</v>
      </c>
      <c r="C701" t="s">
        <v>3541</v>
      </c>
      <c r="D701" t="s">
        <v>3542</v>
      </c>
      <c r="E701">
        <v>5162917</v>
      </c>
      <c r="F701" s="3" t="str">
        <f>"2019-12-18  - Due: 11-19-2019. Notified: 11-26-2019, 12-3-2019, 12-11-2019, 1-21-2020"</f>
        <v>2019-12-18  - Due: 11-19-2019. Notified: 11-26-2019, 12-3-2019, 12-11-2019, 1-21-2020</v>
      </c>
      <c r="G701" s="3" t="str">
        <f>"Top 10 Seattle"</f>
        <v>Top 10 Seattle</v>
      </c>
      <c r="H701" t="str">
        <f>"Amrine, Eric"</f>
        <v>Amrine, Eric</v>
      </c>
      <c r="I701">
        <v>7</v>
      </c>
      <c r="J701" s="2">
        <v>43752</v>
      </c>
      <c r="K701" s="1">
        <v>19</v>
      </c>
    </row>
    <row r="702" spans="1:11" ht="16" x14ac:dyDescent="0.2">
      <c r="A702">
        <v>405137</v>
      </c>
      <c r="B702" t="str">
        <f>"VIDEO DVD FAVOU"</f>
        <v>VIDEO DVD FAVOU</v>
      </c>
      <c r="C702" t="s">
        <v>3541</v>
      </c>
      <c r="D702" t="s">
        <v>3542</v>
      </c>
      <c r="E702" t="s">
        <v>3544</v>
      </c>
      <c r="F702" s="3" t="str">
        <f>"2020-01-17  - Inventory - "</f>
        <v xml:space="preserve">2020-01-17  - Inventory - </v>
      </c>
      <c r="G702" s="3" t="str">
        <f>"The favourite"</f>
        <v>The favourite</v>
      </c>
      <c r="H702" t="str">
        <f>"Lanthimos, Yorgos, (1973-)"</f>
        <v>Lanthimos, Yorgos, (1973-)</v>
      </c>
      <c r="I702">
        <v>9</v>
      </c>
      <c r="J702" s="2">
        <v>43598</v>
      </c>
      <c r="K702" s="1">
        <v>26</v>
      </c>
    </row>
    <row r="703" spans="1:11" ht="16" x14ac:dyDescent="0.2">
      <c r="A703">
        <v>405231</v>
      </c>
      <c r="B703" t="str">
        <f>"MAG 4/2019"</f>
        <v>MAG 4/2019</v>
      </c>
      <c r="C703" t="s">
        <v>3541</v>
      </c>
      <c r="D703" t="s">
        <v>3542</v>
      </c>
      <c r="E703">
        <v>5175479</v>
      </c>
      <c r="F703" s="3" t="str">
        <f>"2019-11-08  - Due: 10-13-2019. Notified: 10-20-2019, 10-27-2019, 11-4-2019, 12-31-2019"</f>
        <v>2019-11-08  - Due: 10-13-2019. Notified: 10-20-2019, 10-27-2019, 11-4-2019, 12-31-2019</v>
      </c>
      <c r="G703" s="3" t="str">
        <f>"Money 2019"</f>
        <v>Money 2019</v>
      </c>
      <c r="I703">
        <v>6</v>
      </c>
      <c r="J703" s="2">
        <v>43737</v>
      </c>
      <c r="K703" s="1">
        <v>5</v>
      </c>
    </row>
    <row r="704" spans="1:11" ht="16" x14ac:dyDescent="0.2">
      <c r="A704">
        <v>405325</v>
      </c>
      <c r="B704" t="str">
        <f>"MAG 4&amp;5/2019"</f>
        <v>MAG 4&amp;5/2019</v>
      </c>
      <c r="C704" t="s">
        <v>3541</v>
      </c>
      <c r="D704" t="s">
        <v>3542</v>
      </c>
      <c r="E704">
        <v>5175455</v>
      </c>
      <c r="F704" s="3" t="str">
        <f>"2019-11-08  - Due: 10-13-2019. Notified: 10-20-2019, 10-27-2019, 11-4-2019, 12-31-2019"</f>
        <v>2019-11-08  - Due: 10-13-2019. Notified: 10-20-2019, 10-27-2019, 11-4-2019, 12-31-2019</v>
      </c>
      <c r="G704" s="3" t="str">
        <f>"Entrepreneur 2019"</f>
        <v>Entrepreneur 2019</v>
      </c>
      <c r="I704">
        <v>5</v>
      </c>
      <c r="J704" s="2">
        <v>43737</v>
      </c>
      <c r="K704" s="1">
        <v>5</v>
      </c>
    </row>
    <row r="705" spans="1:11" ht="48" x14ac:dyDescent="0.2">
      <c r="A705">
        <v>405419</v>
      </c>
      <c r="B705" t="str">
        <f>"F IGGUL"</f>
        <v>F IGGUL</v>
      </c>
      <c r="C705" t="s">
        <v>3545</v>
      </c>
      <c r="D705" t="s">
        <v>3542</v>
      </c>
      <c r="E705">
        <v>5120916</v>
      </c>
      <c r="F705" s="3" t="s">
        <v>3616</v>
      </c>
      <c r="G705" s="3" t="str">
        <f>"Genghis: bones of the hills"</f>
        <v>Genghis: bones of the hills</v>
      </c>
      <c r="H705" t="str">
        <f>"Iggulden, Conn"</f>
        <v>Iggulden, Conn</v>
      </c>
      <c r="I705">
        <v>2</v>
      </c>
      <c r="J705" s="2">
        <v>43707</v>
      </c>
      <c r="K705" s="1">
        <v>13</v>
      </c>
    </row>
    <row r="706" spans="1:11" ht="16" x14ac:dyDescent="0.2">
      <c r="A706">
        <v>405449</v>
      </c>
      <c r="B706" t="str">
        <f>"VIDEO DVD RALPH"</f>
        <v>VIDEO DVD RALPH</v>
      </c>
      <c r="C706" t="s">
        <v>3541</v>
      </c>
      <c r="D706" t="s">
        <v>3542</v>
      </c>
      <c r="E706" t="s">
        <v>3544</v>
      </c>
      <c r="F706" s="3" t="str">
        <f>"2019-11-03  - cab - lost in transit"</f>
        <v>2019-11-03  - cab - lost in transit</v>
      </c>
      <c r="G706" s="3" t="str">
        <f>"Ralph breaks the internet"</f>
        <v>Ralph breaks the internet</v>
      </c>
      <c r="H706" t="str">
        <f>"Johnston, Philip, (1971-)"</f>
        <v>Johnston, Philip, (1971-)</v>
      </c>
      <c r="I706">
        <v>8</v>
      </c>
      <c r="J706" s="2">
        <v>43743</v>
      </c>
      <c r="K706" s="1">
        <v>25</v>
      </c>
    </row>
    <row r="707" spans="1:11" ht="16" x14ac:dyDescent="0.2">
      <c r="A707">
        <v>405481</v>
      </c>
      <c r="B707" t="str">
        <f>"VIDEO DVD BOHEM"</f>
        <v>VIDEO DVD BOHEM</v>
      </c>
      <c r="C707" t="s">
        <v>3541</v>
      </c>
      <c r="D707" t="s">
        <v>3542</v>
      </c>
      <c r="E707" t="s">
        <v>3544</v>
      </c>
      <c r="F707" s="3" t="str">
        <f>"2020-01-17  - Inventory - "</f>
        <v xml:space="preserve">2020-01-17  - Inventory - </v>
      </c>
      <c r="G707" s="3" t="str">
        <f>"Bohemian Rhapsody"</f>
        <v>Bohemian Rhapsody</v>
      </c>
      <c r="H707" t="str">
        <f>"Singer, Bryan"</f>
        <v>Singer, Bryan</v>
      </c>
      <c r="I707">
        <v>11</v>
      </c>
      <c r="J707" s="2">
        <v>43651</v>
      </c>
      <c r="K707" s="1">
        <v>24</v>
      </c>
    </row>
    <row r="708" spans="1:11" ht="32" x14ac:dyDescent="0.2">
      <c r="A708">
        <v>405696</v>
      </c>
      <c r="B708" t="str">
        <f>"MAG 5/2019"</f>
        <v>MAG 5/2019</v>
      </c>
      <c r="C708" t="s">
        <v>3541</v>
      </c>
      <c r="D708" t="s">
        <v>3542</v>
      </c>
      <c r="E708">
        <v>92140</v>
      </c>
      <c r="F708" s="3" t="str">
        <f>"2019-08-04  - CMJ - WB - Member Paid.    8-4-2019  - CMJ - WB - Member can't find magazine.    8-4-2019  - Due: 8-4-2019."</f>
        <v>2019-08-04  - CMJ - WB - Member Paid.    8-4-2019  - CMJ - WB - Member can't find magazine.    8-4-2019  - Due: 8-4-2019.</v>
      </c>
      <c r="G708" s="3" t="str">
        <f>"Southern Living 2019"</f>
        <v>Southern Living 2019</v>
      </c>
      <c r="I708">
        <v>4</v>
      </c>
      <c r="J708" s="2">
        <v>43640</v>
      </c>
      <c r="K708" s="1">
        <v>5</v>
      </c>
    </row>
    <row r="709" spans="1:11" ht="16" x14ac:dyDescent="0.2">
      <c r="A709">
        <v>405819</v>
      </c>
      <c r="B709" t="str">
        <f>"MAG Summer 2019"</f>
        <v>MAG Summer 2019</v>
      </c>
      <c r="C709" t="s">
        <v>3541</v>
      </c>
      <c r="D709" t="s">
        <v>3542</v>
      </c>
      <c r="E709">
        <v>5067612</v>
      </c>
      <c r="F709" s="3" t="str">
        <f>"2019-12-18  - Due: 11-19-2019. Notified: 11-26-2019, 12-3-2019, 12-11-2019, 1-21-2020"</f>
        <v>2019-12-18  - Due: 11-19-2019. Notified: 11-26-2019, 12-3-2019, 12-11-2019, 1-21-2020</v>
      </c>
      <c r="G709" s="3" t="str">
        <f>"Austin Home 2019"</f>
        <v>Austin Home 2019</v>
      </c>
      <c r="I709">
        <v>4</v>
      </c>
      <c r="J709" s="2">
        <v>43774</v>
      </c>
      <c r="K709" s="1">
        <v>5</v>
      </c>
    </row>
    <row r="710" spans="1:11" ht="32" x14ac:dyDescent="0.2">
      <c r="A710">
        <v>406017</v>
      </c>
      <c r="B710" t="str">
        <f>"MAG 7&amp;8/2019"</f>
        <v>MAG 7&amp;8/2019</v>
      </c>
      <c r="C710" t="s">
        <v>3541</v>
      </c>
      <c r="D710" t="s">
        <v>3542</v>
      </c>
      <c r="E710">
        <v>5148634</v>
      </c>
      <c r="F710" s="3" t="str">
        <f>"2019-12-18  - ss - marking as paid    10-23-2019  - cab -     10-23-2019  - Due: 10-16-2019. Notified: 10-23-2019"</f>
        <v>2019-12-18  - ss - marking as paid    10-23-2019  - cab -     10-23-2019  - Due: 10-16-2019. Notified: 10-23-2019</v>
      </c>
      <c r="G710" s="3" t="str">
        <f>"Conde Nast Traveler 2019"</f>
        <v>Conde Nast Traveler 2019</v>
      </c>
      <c r="I710">
        <v>2</v>
      </c>
      <c r="J710" s="2">
        <v>43712</v>
      </c>
      <c r="K710" s="1">
        <v>5</v>
      </c>
    </row>
    <row r="711" spans="1:11" ht="32" x14ac:dyDescent="0.2">
      <c r="A711">
        <v>406275</v>
      </c>
      <c r="B711" t="str">
        <f>"MAG 9/2019"</f>
        <v>MAG 9/2019</v>
      </c>
      <c r="C711" t="s">
        <v>3541</v>
      </c>
      <c r="D711" t="s">
        <v>3542</v>
      </c>
      <c r="E711">
        <v>5095263</v>
      </c>
      <c r="F711" s="3" t="str">
        <f>"2020-01-14  - mm - LL - Member paid $5.00    12-7-2019  - Due: 11-8-2019. Notified: 11-15-2019, 11-23-2019, 12-2-2019"</f>
        <v>2020-01-14  - mm - LL - Member paid $5.00    12-7-2019  - Due: 11-8-2019. Notified: 11-15-2019, 11-23-2019, 12-2-2019</v>
      </c>
      <c r="G711" s="3" t="str">
        <f>"Sports Illustrated for Kids 2019"</f>
        <v>Sports Illustrated for Kids 2019</v>
      </c>
      <c r="I711">
        <v>1</v>
      </c>
      <c r="J711" s="2">
        <v>43763</v>
      </c>
      <c r="K711" s="1">
        <v>5</v>
      </c>
    </row>
    <row r="712" spans="1:11" ht="16" x14ac:dyDescent="0.2">
      <c r="A712">
        <v>406302</v>
      </c>
      <c r="B712" t="str">
        <f>"MAG 9/2019"</f>
        <v>MAG 9/2019</v>
      </c>
      <c r="C712" t="s">
        <v>3541</v>
      </c>
      <c r="D712" t="s">
        <v>3542</v>
      </c>
      <c r="E712">
        <v>5092514</v>
      </c>
      <c r="F712" s="3" t="str">
        <f>"2019-11-18  - PayPal - Paid    11-11-2019  - cab - LL -    11-11-2019  - Due: 11-14-2019."</f>
        <v>2019-11-18  - PayPal - Paid    11-11-2019  - cab - LL -    11-11-2019  - Due: 11-14-2019.</v>
      </c>
      <c r="G712" s="3" t="str">
        <f>"Rolling Stone 2019"</f>
        <v>Rolling Stone 2019</v>
      </c>
      <c r="I712">
        <v>2</v>
      </c>
      <c r="J712" s="2">
        <v>43746</v>
      </c>
      <c r="K712" s="1">
        <v>5</v>
      </c>
    </row>
    <row r="713" spans="1:11" ht="32" x14ac:dyDescent="0.2">
      <c r="A713">
        <v>406419</v>
      </c>
      <c r="B713" t="str">
        <f>"248.4 KUR"</f>
        <v>248.4 KUR</v>
      </c>
      <c r="C713" t="s">
        <v>3541</v>
      </c>
      <c r="D713" t="s">
        <v>3542</v>
      </c>
      <c r="E713">
        <v>5211425</v>
      </c>
      <c r="F713" s="3" t="str">
        <f>"2019-11-02  - Due: 10-7-2019. Notified: 10-14-2019, 10-21-2019, 10-28-2019, 12-10-2019"</f>
        <v>2019-11-02  - Due: 10-7-2019. Notified: 10-14-2019, 10-21-2019, 10-28-2019, 12-10-2019</v>
      </c>
      <c r="G713" s="3" t="str">
        <f>"The spirituality of imperfection: storytelling and the journey to wholeness"</f>
        <v>The spirituality of imperfection: storytelling and the journey to wholeness</v>
      </c>
      <c r="H713" t="str">
        <f>"Kurtz, Ernest."</f>
        <v>Kurtz, Ernest.</v>
      </c>
      <c r="I713">
        <v>2</v>
      </c>
      <c r="J713" s="2">
        <v>43665</v>
      </c>
      <c r="K713" s="1">
        <v>17</v>
      </c>
    </row>
    <row r="714" spans="1:11" ht="16" x14ac:dyDescent="0.2">
      <c r="A714">
        <v>406438</v>
      </c>
      <c r="B714" t="str">
        <f>"B BEREN"</f>
        <v>B BEREN</v>
      </c>
      <c r="C714" t="s">
        <v>3541</v>
      </c>
      <c r="D714" t="s">
        <v>3542</v>
      </c>
      <c r="E714">
        <v>5094562</v>
      </c>
      <c r="F714" s="3" t="str">
        <f>"2019-12-27  - BD - WB - paid    12-20-2019  - Due: 1-10-2020."</f>
        <v>2019-12-27  - BD - WB - paid    12-20-2019  - Due: 1-10-2020.</v>
      </c>
      <c r="G714" s="3" t="str">
        <f>"The Berenstain Bears ride the thunderbolt"</f>
        <v>The Berenstain Bears ride the thunderbolt</v>
      </c>
      <c r="H714" t="str">
        <f>"Berenstain, Stan (1923-)"</f>
        <v>Berenstain, Stan (1923-)</v>
      </c>
      <c r="I714">
        <v>9</v>
      </c>
      <c r="J714" s="2">
        <v>43776</v>
      </c>
      <c r="K714" s="1">
        <v>9</v>
      </c>
    </row>
    <row r="715" spans="1:11" ht="16" x14ac:dyDescent="0.2">
      <c r="A715">
        <v>406474</v>
      </c>
      <c r="B715" t="str">
        <f>"AUDIO OWENS"</f>
        <v>AUDIO OWENS</v>
      </c>
      <c r="C715" t="s">
        <v>3545</v>
      </c>
      <c r="D715" t="str">
        <f>"Tech Serv"</f>
        <v>Tech Serv</v>
      </c>
      <c r="E715" t="s">
        <v>3544</v>
      </c>
      <c r="F715" s="3" t="str">
        <f>"2020-01-26  - cab - Check In - WB - disc # 1 is unable to understand. This is on reserve!"</f>
        <v>2020-01-26  - cab - Check In - WB - disc # 1 is unable to understand. This is on reserve!</v>
      </c>
      <c r="G715" s="3" t="str">
        <f>"Where the crawdads sing"</f>
        <v>Where the crawdads sing</v>
      </c>
      <c r="H715" t="str">
        <f>"Owens, Delia"</f>
        <v>Owens, Delia</v>
      </c>
      <c r="I715">
        <v>12</v>
      </c>
      <c r="J715" s="2">
        <v>43815</v>
      </c>
      <c r="K715" s="1">
        <v>30</v>
      </c>
    </row>
    <row r="716" spans="1:11" ht="16" x14ac:dyDescent="0.2">
      <c r="A716">
        <v>406947</v>
      </c>
      <c r="B716" t="str">
        <f>"VIDEO DVD HIGHL"</f>
        <v>VIDEO DVD HIGHL</v>
      </c>
      <c r="C716" t="s">
        <v>3541</v>
      </c>
      <c r="D716" t="s">
        <v>3542</v>
      </c>
      <c r="E716" t="s">
        <v>3544</v>
      </c>
      <c r="F716" s="3" t="str">
        <f>"2020-01-17  - Inventory - "</f>
        <v xml:space="preserve">2020-01-17  - Inventory - </v>
      </c>
      <c r="G716" s="3" t="str">
        <f>"High life"</f>
        <v>High life</v>
      </c>
      <c r="H716" t="str">
        <f>"Denis, Claire"</f>
        <v>Denis, Claire</v>
      </c>
      <c r="I716">
        <v>3</v>
      </c>
      <c r="J716" s="2">
        <v>43686</v>
      </c>
      <c r="K716" s="1">
        <v>26</v>
      </c>
    </row>
    <row r="717" spans="1:11" ht="16" x14ac:dyDescent="0.2">
      <c r="A717">
        <v>407080</v>
      </c>
      <c r="B717" t="str">
        <f>"AUDIO WILLI"</f>
        <v>AUDIO WILLI</v>
      </c>
      <c r="C717" t="s">
        <v>3541</v>
      </c>
      <c r="D717" t="s">
        <v>3542</v>
      </c>
      <c r="E717" t="s">
        <v>3544</v>
      </c>
      <c r="F717" s="3" t="str">
        <f>"2019-11-18  - mbw - lost in transit"</f>
        <v>2019-11-18  - mbw - lost in transit</v>
      </c>
      <c r="G717" s="3" t="str">
        <f>"The golden hour: a novel"</f>
        <v>The golden hour: a novel</v>
      </c>
      <c r="H717" t="str">
        <f>"Williams, Beatriz."</f>
        <v>Williams, Beatriz.</v>
      </c>
      <c r="I717">
        <v>0</v>
      </c>
      <c r="K717" s="1">
        <v>61</v>
      </c>
    </row>
    <row r="718" spans="1:11" ht="16" x14ac:dyDescent="0.2">
      <c r="A718">
        <v>407149</v>
      </c>
      <c r="B718" t="str">
        <f>"_SUO DAVIS"</f>
        <v>_SUO DAVIS</v>
      </c>
      <c r="C718" t="s">
        <v>3541</v>
      </c>
      <c r="D718" t="s">
        <v>3542</v>
      </c>
      <c r="E718">
        <v>5151369</v>
      </c>
      <c r="F718" s="3" t="str">
        <f>"2019-12-24  - Due: 11-25-2019. Notified: 12-2-2019, 12-9-2019, 12-16-2019"</f>
        <v>2019-12-24  - Due: 11-25-2019. Notified: 12-2-2019, 12-9-2019, 12-16-2019</v>
      </c>
      <c r="G718" s="3" t="str">
        <f>"Who hops? = Qui�n salta?"</f>
        <v>Who hops? = Qui�n salta?</v>
      </c>
      <c r="H718" t="str">
        <f>"Davis, Katie (Katie I.)"</f>
        <v>Davis, Katie (Katie I.)</v>
      </c>
      <c r="I718">
        <v>1</v>
      </c>
      <c r="J718" s="2">
        <v>43696</v>
      </c>
      <c r="K718" s="1">
        <v>15</v>
      </c>
    </row>
    <row r="719" spans="1:11" ht="16" x14ac:dyDescent="0.2">
      <c r="A719">
        <v>407161</v>
      </c>
      <c r="B719" t="str">
        <f>"VIDEO DVD WHITE"</f>
        <v>VIDEO DVD WHITE</v>
      </c>
      <c r="C719" t="s">
        <v>3545</v>
      </c>
      <c r="D719" t="str">
        <f>"Tech Serv"</f>
        <v>Tech Serv</v>
      </c>
      <c r="E719" t="s">
        <v>3544</v>
      </c>
      <c r="F719" s="3" t="str">
        <f>"2020-01-31  - jmg - Check In - WB - disc problem...see note inside case"</f>
        <v>2020-01-31  - jmg - Check In - WB - disc problem...see note inside case</v>
      </c>
      <c r="G719" s="3" t="str">
        <f>"The White Crow"</f>
        <v>The White Crow</v>
      </c>
      <c r="H719" t="str">
        <f>"Fiennes, Ralph"</f>
        <v>Fiennes, Ralph</v>
      </c>
      <c r="I719">
        <v>14</v>
      </c>
      <c r="J719" s="2">
        <v>43859</v>
      </c>
      <c r="K719" s="1">
        <v>21</v>
      </c>
    </row>
    <row r="720" spans="1:11" ht="32" x14ac:dyDescent="0.2">
      <c r="A720">
        <v>407176</v>
      </c>
      <c r="B720" t="str">
        <f>"VIDEO DVD POKEM"</f>
        <v>VIDEO DVD POKEM</v>
      </c>
      <c r="C720" t="s">
        <v>3545</v>
      </c>
      <c r="D720" t="str">
        <f>"Tech Serv"</f>
        <v>Tech Serv</v>
      </c>
      <c r="E720" t="s">
        <v>3544</v>
      </c>
      <c r="F720" s="3" t="str">
        <f>"2020-01-05  - gp - Check In - WB - member 516397, returned DVD and informed us that when they took it home both disc were not in the case"</f>
        <v>2020-01-05  - gp - Check In - WB - member 516397, returned DVD and informed us that when they took it home both disc were not in the case</v>
      </c>
      <c r="G720" s="3" t="str">
        <f>"Pokemon Detective Pikachu"</f>
        <v>Pokemon Detective Pikachu</v>
      </c>
      <c r="H720" t="str">
        <f>"Letterman, Rob."</f>
        <v>Letterman, Rob.</v>
      </c>
      <c r="I720">
        <v>8</v>
      </c>
      <c r="J720" s="2">
        <v>43822</v>
      </c>
      <c r="K720" s="1">
        <v>26</v>
      </c>
    </row>
    <row r="721" spans="1:11" ht="16" x14ac:dyDescent="0.2">
      <c r="A721">
        <v>407467</v>
      </c>
      <c r="B721" t="str">
        <f>"VIDEO DVD WILDR"</f>
        <v>VIDEO DVD WILDR</v>
      </c>
      <c r="C721" t="s">
        <v>3541</v>
      </c>
      <c r="D721" t="s">
        <v>3542</v>
      </c>
      <c r="E721" t="s">
        <v>3544</v>
      </c>
      <c r="F721" s="3" t="str">
        <f>"2020-01-22  - TL - Is on reserve. Checked 3 times, couldn't find it."</f>
        <v>2020-01-22  - TL - Is on reserve. Checked 3 times, couldn't find it.</v>
      </c>
      <c r="G721" s="3" t="str">
        <f>"Wild Rose"</f>
        <v>Wild Rose</v>
      </c>
      <c r="H721" t="str">
        <f>"Harper, Tom"</f>
        <v>Harper, Tom</v>
      </c>
      <c r="I721">
        <v>10</v>
      </c>
      <c r="J721" s="2">
        <v>43818</v>
      </c>
      <c r="K721" s="1">
        <v>22</v>
      </c>
    </row>
    <row r="722" spans="1:11" ht="16" x14ac:dyDescent="0.2">
      <c r="A722">
        <v>407473</v>
      </c>
      <c r="B722" t="str">
        <f>"VIDEO DVD ECHOI"</f>
        <v>VIDEO DVD ECHOI</v>
      </c>
      <c r="C722" t="s">
        <v>3541</v>
      </c>
      <c r="D722" t="s">
        <v>3542</v>
      </c>
      <c r="E722">
        <v>4909</v>
      </c>
      <c r="F722" s="3" t="str">
        <f>"2019-12-29  - Due: 11-30-2019. Notified: 12-7-2019, 12-14-2019, 12-23-2019"</f>
        <v>2019-12-29  - Due: 11-30-2019. Notified: 12-7-2019, 12-14-2019, 12-23-2019</v>
      </c>
      <c r="G722" s="3" t="str">
        <f>"Echo in the canyon"</f>
        <v>Echo in the canyon</v>
      </c>
      <c r="H722" t="str">
        <f>"Slater, Andrew"</f>
        <v>Slater, Andrew</v>
      </c>
      <c r="I722">
        <v>7</v>
      </c>
      <c r="J722" s="2">
        <v>43785</v>
      </c>
      <c r="K722" s="1">
        <v>18</v>
      </c>
    </row>
    <row r="723" spans="1:11" ht="32" x14ac:dyDescent="0.2">
      <c r="A723">
        <v>408387</v>
      </c>
      <c r="B723" t="str">
        <f>"VIDEO DVD PEANU"</f>
        <v>VIDEO DVD PEANU</v>
      </c>
      <c r="C723" t="s">
        <v>3541</v>
      </c>
      <c r="D723" t="s">
        <v>3542</v>
      </c>
      <c r="E723">
        <v>5078145</v>
      </c>
      <c r="F723" s="3" t="str">
        <f>"2019-12-27  - PayPal - Paid    12-22-2019  - Due: 11-23-2019. Notified: 11-30-2019, 12-7-2019, 12-16-2019"</f>
        <v>2019-12-27  - PayPal - Paid    12-22-2019  - Due: 11-23-2019. Notified: 11-30-2019, 12-7-2019, 12-16-2019</v>
      </c>
      <c r="G723" s="3" t="str">
        <f>"The peanut butter falcon"</f>
        <v>The peanut butter falcon</v>
      </c>
      <c r="H723" t="str">
        <f>"Nilson, Tyler"</f>
        <v>Nilson, Tyler</v>
      </c>
      <c r="I723">
        <v>1</v>
      </c>
      <c r="J723" s="2">
        <v>43785</v>
      </c>
      <c r="K723" s="1">
        <v>20</v>
      </c>
    </row>
    <row r="724" spans="1:11" ht="16" x14ac:dyDescent="0.2">
      <c r="A724">
        <v>408486</v>
      </c>
      <c r="B724" t="str">
        <f>"VIDEO DVD FROZE"</f>
        <v>VIDEO DVD FROZE</v>
      </c>
      <c r="C724" t="s">
        <v>3541</v>
      </c>
      <c r="D724" t="s">
        <v>3542</v>
      </c>
      <c r="E724" t="s">
        <v>3544</v>
      </c>
      <c r="F724" s="3" t="str">
        <f>"2020-01-29  - cab - lost in transit"</f>
        <v>2020-01-29  - cab - lost in transit</v>
      </c>
      <c r="G724" s="3" t="s">
        <v>3617</v>
      </c>
      <c r="I724">
        <v>2</v>
      </c>
      <c r="J724" s="2">
        <v>43840</v>
      </c>
      <c r="K724" s="1">
        <v>30</v>
      </c>
    </row>
    <row r="725" spans="1:11" ht="112" x14ac:dyDescent="0.2">
      <c r="A725">
        <v>1006588</v>
      </c>
      <c r="B725" t="s">
        <v>3618</v>
      </c>
      <c r="C725" t="s">
        <v>3541</v>
      </c>
      <c r="D725" t="s">
        <v>3542</v>
      </c>
      <c r="E725">
        <v>5182418</v>
      </c>
      <c r="F725" s="3" t="s">
        <v>3619</v>
      </c>
      <c r="G725" s="3" t="str">
        <f>"TRACTION : GET A GRIP ON YOUR BUSINESS"</f>
        <v>TRACTION : GET A GRIP ON YOUR BUSINESS</v>
      </c>
      <c r="I725">
        <v>1</v>
      </c>
      <c r="J725" s="2">
        <v>43754</v>
      </c>
      <c r="K725" s="1">
        <v>0</v>
      </c>
    </row>
    <row r="726" spans="1:11" x14ac:dyDescent="0.2">
      <c r="K726" s="1">
        <v>14279.59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7DEA5-64B0-431E-9E22-520B9FF6EF79}">
  <sheetPr>
    <tabColor theme="8" tint="0.39997558519241921"/>
  </sheetPr>
  <dimension ref="A1"/>
  <sheetViews>
    <sheetView workbookViewId="0">
      <selection activeCell="G1" sqref="G1"/>
    </sheetView>
  </sheetViews>
  <sheetFormatPr baseColWidth="10" defaultColWidth="8.83203125" defaultRowHeight="15" x14ac:dyDescent="0.2"/>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8F04-A620-4C89-B55F-A21377EF5D37}">
  <sheetPr>
    <tabColor theme="8" tint="0.39997558519241921"/>
  </sheetPr>
  <dimension ref="A1:N75"/>
  <sheetViews>
    <sheetView workbookViewId="0"/>
  </sheetViews>
  <sheetFormatPr baseColWidth="10" defaultColWidth="8.83203125" defaultRowHeight="15" x14ac:dyDescent="0.2"/>
  <cols>
    <col min="1" max="1" width="51.1640625" customWidth="1"/>
    <col min="2" max="10" width="7" customWidth="1"/>
    <col min="11" max="13" width="8" customWidth="1"/>
    <col min="14" max="14" width="10.83203125" customWidth="1"/>
  </cols>
  <sheetData>
    <row r="1" spans="1:14" x14ac:dyDescent="0.2">
      <c r="A1" t="s">
        <v>3620</v>
      </c>
    </row>
    <row r="2" spans="1:14" x14ac:dyDescent="0.2">
      <c r="A2" t="s">
        <v>3621</v>
      </c>
    </row>
    <row r="3" spans="1:14" x14ac:dyDescent="0.2">
      <c r="A3" t="s">
        <v>3622</v>
      </c>
    </row>
    <row r="4" spans="1:14" x14ac:dyDescent="0.2">
      <c r="A4" t="s">
        <v>3623</v>
      </c>
    </row>
    <row r="5" spans="1:14" x14ac:dyDescent="0.2">
      <c r="A5" t="s">
        <v>3624</v>
      </c>
    </row>
    <row r="6" spans="1:14" x14ac:dyDescent="0.2">
      <c r="A6" t="s">
        <v>3625</v>
      </c>
    </row>
    <row r="7" spans="1:14" x14ac:dyDescent="0.2">
      <c r="A7" t="s">
        <v>3626</v>
      </c>
    </row>
    <row r="9" spans="1:14" x14ac:dyDescent="0.2">
      <c r="B9" t="s">
        <v>3627</v>
      </c>
      <c r="C9" t="s">
        <v>3628</v>
      </c>
      <c r="D9" t="s">
        <v>3629</v>
      </c>
      <c r="E9" t="s">
        <v>3630</v>
      </c>
      <c r="F9" t="s">
        <v>3631</v>
      </c>
      <c r="G9" t="s">
        <v>3632</v>
      </c>
      <c r="H9" t="s">
        <v>3633</v>
      </c>
      <c r="I9" t="s">
        <v>3634</v>
      </c>
      <c r="J9" t="s">
        <v>3635</v>
      </c>
      <c r="K9" t="s">
        <v>3636</v>
      </c>
      <c r="L9" t="s">
        <v>3637</v>
      </c>
      <c r="M9" t="s">
        <v>3638</v>
      </c>
      <c r="N9" t="s">
        <v>3639</v>
      </c>
    </row>
    <row r="10" spans="1:14" x14ac:dyDescent="0.2">
      <c r="A10" t="str">
        <f>"1 - Default"</f>
        <v>1 - Default</v>
      </c>
      <c r="B10">
        <v>0</v>
      </c>
      <c r="C10">
        <v>0</v>
      </c>
      <c r="D10">
        <v>0</v>
      </c>
      <c r="E10">
        <v>0</v>
      </c>
      <c r="F10">
        <v>0</v>
      </c>
      <c r="G10">
        <v>0</v>
      </c>
      <c r="H10">
        <v>0</v>
      </c>
      <c r="I10">
        <v>0</v>
      </c>
      <c r="J10">
        <v>0</v>
      </c>
      <c r="K10">
        <v>0</v>
      </c>
      <c r="L10">
        <v>0</v>
      </c>
      <c r="M10">
        <v>0</v>
      </c>
      <c r="N10">
        <v>0</v>
      </c>
    </row>
    <row r="11" spans="1:14" x14ac:dyDescent="0.2">
      <c r="A11" t="str">
        <f>"2 - Fiction"</f>
        <v>2 - Fiction</v>
      </c>
      <c r="B11">
        <v>4252</v>
      </c>
      <c r="C11">
        <v>3833</v>
      </c>
      <c r="D11">
        <v>4279</v>
      </c>
      <c r="E11">
        <v>4202</v>
      </c>
      <c r="F11">
        <v>4459</v>
      </c>
      <c r="G11">
        <v>4679</v>
      </c>
      <c r="H11">
        <v>4819</v>
      </c>
      <c r="I11">
        <v>4492</v>
      </c>
      <c r="J11">
        <v>4010</v>
      </c>
      <c r="K11">
        <v>4350</v>
      </c>
      <c r="L11">
        <v>3784</v>
      </c>
      <c r="M11">
        <v>4063</v>
      </c>
      <c r="N11">
        <v>51222</v>
      </c>
    </row>
    <row r="12" spans="1:14" x14ac:dyDescent="0.2">
      <c r="A12" t="str">
        <f>"3 - Reference"</f>
        <v>3 - Reference</v>
      </c>
      <c r="B12">
        <v>1</v>
      </c>
      <c r="C12">
        <v>0</v>
      </c>
      <c r="D12">
        <v>0</v>
      </c>
      <c r="E12">
        <v>2</v>
      </c>
      <c r="F12">
        <v>0</v>
      </c>
      <c r="G12">
        <v>0</v>
      </c>
      <c r="H12">
        <v>0</v>
      </c>
      <c r="I12">
        <v>3</v>
      </c>
      <c r="J12">
        <v>0</v>
      </c>
      <c r="K12">
        <v>0</v>
      </c>
      <c r="L12">
        <v>0</v>
      </c>
      <c r="M12">
        <v>0</v>
      </c>
      <c r="N12">
        <v>6</v>
      </c>
    </row>
    <row r="13" spans="1:14" x14ac:dyDescent="0.2">
      <c r="A13" t="str">
        <f>"4 - Juvy Fiction"</f>
        <v>4 - Juvy Fiction</v>
      </c>
      <c r="B13">
        <v>3549</v>
      </c>
      <c r="C13">
        <v>3402</v>
      </c>
      <c r="D13">
        <v>3899</v>
      </c>
      <c r="E13">
        <v>3442</v>
      </c>
      <c r="F13">
        <v>3795</v>
      </c>
      <c r="G13">
        <v>5613</v>
      </c>
      <c r="H13">
        <v>5589</v>
      </c>
      <c r="I13">
        <v>4709</v>
      </c>
      <c r="J13">
        <v>3568</v>
      </c>
      <c r="K13">
        <v>3267</v>
      </c>
      <c r="L13">
        <v>3196</v>
      </c>
      <c r="M13">
        <v>2991</v>
      </c>
      <c r="N13">
        <v>47020</v>
      </c>
    </row>
    <row r="14" spans="1:14" x14ac:dyDescent="0.2">
      <c r="A14" t="str">
        <f>"5 - Easy"</f>
        <v>5 - Easy</v>
      </c>
      <c r="B14">
        <v>4484</v>
      </c>
      <c r="C14">
        <v>4142</v>
      </c>
      <c r="D14">
        <v>4374</v>
      </c>
      <c r="E14">
        <v>3980</v>
      </c>
      <c r="F14">
        <v>4399</v>
      </c>
      <c r="G14">
        <v>5157</v>
      </c>
      <c r="H14">
        <v>5162</v>
      </c>
      <c r="I14">
        <v>4776</v>
      </c>
      <c r="J14">
        <v>4386</v>
      </c>
      <c r="K14">
        <v>4227</v>
      </c>
      <c r="L14">
        <v>3509</v>
      </c>
      <c r="M14">
        <v>2882</v>
      </c>
      <c r="N14">
        <v>51478</v>
      </c>
    </row>
    <row r="15" spans="1:14" x14ac:dyDescent="0.2">
      <c r="A15" t="str">
        <f>"6 - Magazine"</f>
        <v>6 - Magazine</v>
      </c>
      <c r="B15">
        <v>689</v>
      </c>
      <c r="C15">
        <v>782</v>
      </c>
      <c r="D15">
        <v>670</v>
      </c>
      <c r="E15">
        <v>681</v>
      </c>
      <c r="F15">
        <v>707</v>
      </c>
      <c r="G15">
        <v>676</v>
      </c>
      <c r="H15">
        <v>663</v>
      </c>
      <c r="I15">
        <v>637</v>
      </c>
      <c r="J15">
        <v>608</v>
      </c>
      <c r="K15">
        <v>696</v>
      </c>
      <c r="L15">
        <v>693</v>
      </c>
      <c r="M15">
        <v>621</v>
      </c>
      <c r="N15">
        <v>8123</v>
      </c>
    </row>
    <row r="16" spans="1:14" x14ac:dyDescent="0.2">
      <c r="A16" t="str">
        <f>"7 - 000 - 199"</f>
        <v>7 - 000 - 199</v>
      </c>
      <c r="B16">
        <v>382</v>
      </c>
      <c r="C16">
        <v>339</v>
      </c>
      <c r="D16">
        <v>414</v>
      </c>
      <c r="E16">
        <v>375</v>
      </c>
      <c r="F16">
        <v>349</v>
      </c>
      <c r="G16">
        <v>406</v>
      </c>
      <c r="H16">
        <v>394</v>
      </c>
      <c r="I16">
        <v>343</v>
      </c>
      <c r="J16">
        <v>326</v>
      </c>
      <c r="K16">
        <v>336</v>
      </c>
      <c r="L16">
        <v>283</v>
      </c>
      <c r="M16">
        <v>282</v>
      </c>
      <c r="N16">
        <v>4229</v>
      </c>
    </row>
    <row r="17" spans="1:14" x14ac:dyDescent="0.2">
      <c r="A17" t="str">
        <f>"8 - 200 - 299"</f>
        <v>8 - 200 - 299</v>
      </c>
      <c r="B17">
        <v>141</v>
      </c>
      <c r="C17">
        <v>138</v>
      </c>
      <c r="D17">
        <v>141</v>
      </c>
      <c r="E17">
        <v>161</v>
      </c>
      <c r="F17">
        <v>208</v>
      </c>
      <c r="G17">
        <v>148</v>
      </c>
      <c r="H17">
        <v>148</v>
      </c>
      <c r="I17">
        <v>160</v>
      </c>
      <c r="J17">
        <v>122</v>
      </c>
      <c r="K17">
        <v>129</v>
      </c>
      <c r="L17">
        <v>118</v>
      </c>
      <c r="M17">
        <v>133</v>
      </c>
      <c r="N17">
        <v>1747</v>
      </c>
    </row>
    <row r="18" spans="1:14" x14ac:dyDescent="0.2">
      <c r="A18" t="str">
        <f>"9 - 300 - 399"</f>
        <v>9 - 300 - 399</v>
      </c>
      <c r="B18">
        <v>687</v>
      </c>
      <c r="C18">
        <v>648</v>
      </c>
      <c r="D18">
        <v>637</v>
      </c>
      <c r="E18">
        <v>673</v>
      </c>
      <c r="F18">
        <v>710</v>
      </c>
      <c r="G18">
        <v>788</v>
      </c>
      <c r="H18">
        <v>794</v>
      </c>
      <c r="I18">
        <v>780</v>
      </c>
      <c r="J18">
        <v>670</v>
      </c>
      <c r="K18">
        <v>698</v>
      </c>
      <c r="L18">
        <v>519</v>
      </c>
      <c r="M18">
        <v>617</v>
      </c>
      <c r="N18">
        <v>8221</v>
      </c>
    </row>
    <row r="19" spans="1:14" x14ac:dyDescent="0.2">
      <c r="A19" t="str">
        <f>"10 - 400 - 499"</f>
        <v>10 - 400 - 499</v>
      </c>
      <c r="B19">
        <v>40</v>
      </c>
      <c r="C19">
        <v>54</v>
      </c>
      <c r="D19">
        <v>55</v>
      </c>
      <c r="E19">
        <v>72</v>
      </c>
      <c r="F19">
        <v>64</v>
      </c>
      <c r="G19">
        <v>68</v>
      </c>
      <c r="H19">
        <v>70</v>
      </c>
      <c r="I19">
        <v>44</v>
      </c>
      <c r="J19">
        <v>32</v>
      </c>
      <c r="K19">
        <v>34</v>
      </c>
      <c r="L19">
        <v>56</v>
      </c>
      <c r="M19">
        <v>52</v>
      </c>
      <c r="N19">
        <v>641</v>
      </c>
    </row>
    <row r="20" spans="1:14" x14ac:dyDescent="0.2">
      <c r="A20" t="str">
        <f>"11 - 500 - 599"</f>
        <v>11 - 500 - 599</v>
      </c>
      <c r="B20">
        <v>149</v>
      </c>
      <c r="C20">
        <v>124</v>
      </c>
      <c r="D20">
        <v>169</v>
      </c>
      <c r="E20">
        <v>180</v>
      </c>
      <c r="F20">
        <v>180</v>
      </c>
      <c r="G20">
        <v>210</v>
      </c>
      <c r="H20">
        <v>184</v>
      </c>
      <c r="I20">
        <v>189</v>
      </c>
      <c r="J20">
        <v>167</v>
      </c>
      <c r="K20">
        <v>144</v>
      </c>
      <c r="L20">
        <v>120</v>
      </c>
      <c r="M20">
        <v>135</v>
      </c>
      <c r="N20">
        <v>1951</v>
      </c>
    </row>
    <row r="21" spans="1:14" x14ac:dyDescent="0.2">
      <c r="A21" t="str">
        <f>"12 - 600 - 699"</f>
        <v>12 - 600 - 699</v>
      </c>
      <c r="B21">
        <v>1277</v>
      </c>
      <c r="C21">
        <v>1158</v>
      </c>
      <c r="D21">
        <v>1169</v>
      </c>
      <c r="E21">
        <v>1123</v>
      </c>
      <c r="F21">
        <v>1174</v>
      </c>
      <c r="G21">
        <v>1282</v>
      </c>
      <c r="H21">
        <v>1210</v>
      </c>
      <c r="I21">
        <v>1147</v>
      </c>
      <c r="J21">
        <v>1175</v>
      </c>
      <c r="K21">
        <v>1175</v>
      </c>
      <c r="L21">
        <v>938</v>
      </c>
      <c r="M21">
        <v>986</v>
      </c>
      <c r="N21">
        <v>13814</v>
      </c>
    </row>
    <row r="22" spans="1:14" x14ac:dyDescent="0.2">
      <c r="A22" t="str">
        <f>"13 - 700 - 799"</f>
        <v>13 - 700 - 799</v>
      </c>
      <c r="B22">
        <v>345</v>
      </c>
      <c r="C22">
        <v>297</v>
      </c>
      <c r="D22">
        <v>265</v>
      </c>
      <c r="E22">
        <v>289</v>
      </c>
      <c r="F22">
        <v>277</v>
      </c>
      <c r="G22">
        <v>412</v>
      </c>
      <c r="H22">
        <v>298</v>
      </c>
      <c r="I22">
        <v>313</v>
      </c>
      <c r="J22">
        <v>359</v>
      </c>
      <c r="K22">
        <v>368</v>
      </c>
      <c r="L22">
        <v>330</v>
      </c>
      <c r="M22">
        <v>305</v>
      </c>
      <c r="N22">
        <v>3858</v>
      </c>
    </row>
    <row r="23" spans="1:14" x14ac:dyDescent="0.2">
      <c r="A23" t="str">
        <f>"14 - 800 - 899"</f>
        <v>14 - 800 - 899</v>
      </c>
      <c r="B23">
        <v>189</v>
      </c>
      <c r="C23">
        <v>191</v>
      </c>
      <c r="D23">
        <v>160</v>
      </c>
      <c r="E23">
        <v>141</v>
      </c>
      <c r="F23">
        <v>145</v>
      </c>
      <c r="G23">
        <v>165</v>
      </c>
      <c r="H23">
        <v>182</v>
      </c>
      <c r="I23">
        <v>158</v>
      </c>
      <c r="J23">
        <v>104</v>
      </c>
      <c r="K23">
        <v>111</v>
      </c>
      <c r="L23">
        <v>114</v>
      </c>
      <c r="M23">
        <v>125</v>
      </c>
      <c r="N23">
        <v>1785</v>
      </c>
    </row>
    <row r="24" spans="1:14" x14ac:dyDescent="0.2">
      <c r="A24" t="str">
        <f>"15 - 900 - 919"</f>
        <v>15 - 900 - 919</v>
      </c>
      <c r="B24">
        <v>520</v>
      </c>
      <c r="C24">
        <v>563</v>
      </c>
      <c r="D24">
        <v>695</v>
      </c>
      <c r="E24">
        <v>569</v>
      </c>
      <c r="F24">
        <v>749</v>
      </c>
      <c r="G24">
        <v>761</v>
      </c>
      <c r="H24">
        <v>646</v>
      </c>
      <c r="I24">
        <v>620</v>
      </c>
      <c r="J24">
        <v>454</v>
      </c>
      <c r="K24">
        <v>461</v>
      </c>
      <c r="L24">
        <v>475</v>
      </c>
      <c r="M24">
        <v>471</v>
      </c>
      <c r="N24">
        <v>6984</v>
      </c>
    </row>
    <row r="25" spans="1:14" x14ac:dyDescent="0.2">
      <c r="A25" t="str">
        <f>"16 - 920 - 929"</f>
        <v>16 - 920 - 929</v>
      </c>
      <c r="B25">
        <v>572</v>
      </c>
      <c r="C25">
        <v>499</v>
      </c>
      <c r="D25">
        <v>561</v>
      </c>
      <c r="E25">
        <v>584</v>
      </c>
      <c r="F25">
        <v>595</v>
      </c>
      <c r="G25">
        <v>614</v>
      </c>
      <c r="H25">
        <v>626</v>
      </c>
      <c r="I25">
        <v>533</v>
      </c>
      <c r="J25">
        <v>505</v>
      </c>
      <c r="K25">
        <v>554</v>
      </c>
      <c r="L25">
        <v>484</v>
      </c>
      <c r="M25">
        <v>471</v>
      </c>
      <c r="N25">
        <v>6598</v>
      </c>
    </row>
    <row r="26" spans="1:14" x14ac:dyDescent="0.2">
      <c r="A26" t="str">
        <f>"17 - 930 - 999"</f>
        <v>17 - 930 - 999</v>
      </c>
      <c r="B26">
        <v>265</v>
      </c>
      <c r="C26">
        <v>232</v>
      </c>
      <c r="D26">
        <v>358</v>
      </c>
      <c r="E26">
        <v>249</v>
      </c>
      <c r="F26">
        <v>237</v>
      </c>
      <c r="G26">
        <v>329</v>
      </c>
      <c r="H26">
        <v>285</v>
      </c>
      <c r="I26">
        <v>227</v>
      </c>
      <c r="J26">
        <v>213</v>
      </c>
      <c r="K26">
        <v>235</v>
      </c>
      <c r="L26">
        <v>193</v>
      </c>
      <c r="M26">
        <v>211</v>
      </c>
      <c r="N26">
        <v>3034</v>
      </c>
    </row>
    <row r="27" spans="1:14" x14ac:dyDescent="0.2">
      <c r="A27" t="str">
        <f>"18 - Audio E Songs"</f>
        <v>18 - Audio E Songs</v>
      </c>
      <c r="B27">
        <v>0</v>
      </c>
      <c r="C27">
        <v>0</v>
      </c>
      <c r="D27">
        <v>0</v>
      </c>
      <c r="E27">
        <v>0</v>
      </c>
      <c r="F27">
        <v>0</v>
      </c>
      <c r="G27">
        <v>0</v>
      </c>
      <c r="H27">
        <v>0</v>
      </c>
      <c r="I27">
        <v>0</v>
      </c>
      <c r="J27">
        <v>0</v>
      </c>
      <c r="K27">
        <v>0</v>
      </c>
      <c r="L27">
        <v>0</v>
      </c>
      <c r="M27">
        <v>0</v>
      </c>
      <c r="N27">
        <v>0</v>
      </c>
    </row>
    <row r="28" spans="1:14" x14ac:dyDescent="0.2">
      <c r="A28" t="str">
        <f>"19 - Movies, Children"</f>
        <v>19 - Movies, Children</v>
      </c>
      <c r="B28">
        <v>819</v>
      </c>
      <c r="C28">
        <v>692</v>
      </c>
      <c r="D28">
        <v>840</v>
      </c>
      <c r="E28">
        <v>655</v>
      </c>
      <c r="F28">
        <v>714</v>
      </c>
      <c r="G28">
        <v>1040</v>
      </c>
      <c r="H28">
        <v>1037</v>
      </c>
      <c r="I28">
        <v>904</v>
      </c>
      <c r="J28">
        <v>604</v>
      </c>
      <c r="K28">
        <v>588</v>
      </c>
      <c r="L28">
        <v>480</v>
      </c>
      <c r="M28">
        <v>527</v>
      </c>
      <c r="N28">
        <v>8900</v>
      </c>
    </row>
    <row r="29" spans="1:14" x14ac:dyDescent="0.2">
      <c r="A29" t="str">
        <f>"20 - Children's Graphic Novels"</f>
        <v>20 - Children's Graphic Novels</v>
      </c>
      <c r="B29">
        <v>580</v>
      </c>
      <c r="C29">
        <v>605</v>
      </c>
      <c r="D29">
        <v>693</v>
      </c>
      <c r="E29">
        <v>693</v>
      </c>
      <c r="F29">
        <v>854</v>
      </c>
      <c r="G29">
        <v>1155</v>
      </c>
      <c r="H29">
        <v>1168</v>
      </c>
      <c r="I29">
        <v>1066</v>
      </c>
      <c r="J29">
        <v>906</v>
      </c>
      <c r="K29">
        <v>884</v>
      </c>
      <c r="L29">
        <v>826</v>
      </c>
      <c r="M29">
        <v>710</v>
      </c>
      <c r="N29">
        <v>10140</v>
      </c>
    </row>
    <row r="30" spans="1:14" x14ac:dyDescent="0.2">
      <c r="A30" t="str">
        <f>"21 - J 000 - J 199"</f>
        <v>21 - J 000 - J 199</v>
      </c>
      <c r="B30">
        <v>138</v>
      </c>
      <c r="C30">
        <v>100</v>
      </c>
      <c r="D30">
        <v>105</v>
      </c>
      <c r="E30">
        <v>110</v>
      </c>
      <c r="F30">
        <v>77</v>
      </c>
      <c r="G30">
        <v>132</v>
      </c>
      <c r="H30">
        <v>129</v>
      </c>
      <c r="I30">
        <v>125</v>
      </c>
      <c r="J30">
        <v>117</v>
      </c>
      <c r="K30">
        <v>108</v>
      </c>
      <c r="L30">
        <v>173</v>
      </c>
      <c r="M30">
        <v>99</v>
      </c>
      <c r="N30">
        <v>1413</v>
      </c>
    </row>
    <row r="31" spans="1:14" x14ac:dyDescent="0.2">
      <c r="A31" t="str">
        <f>"22 - J 200 - J 299"</f>
        <v>22 - J 200 - J 299</v>
      </c>
      <c r="B31">
        <v>33</v>
      </c>
      <c r="C31">
        <v>55</v>
      </c>
      <c r="D31">
        <v>28</v>
      </c>
      <c r="E31">
        <v>48</v>
      </c>
      <c r="F31">
        <v>24</v>
      </c>
      <c r="G31">
        <v>57</v>
      </c>
      <c r="H31">
        <v>26</v>
      </c>
      <c r="I31">
        <v>23</v>
      </c>
      <c r="J31">
        <v>35</v>
      </c>
      <c r="K31">
        <v>34</v>
      </c>
      <c r="L31">
        <v>31</v>
      </c>
      <c r="M31">
        <v>23</v>
      </c>
      <c r="N31">
        <v>417</v>
      </c>
    </row>
    <row r="32" spans="1:14" x14ac:dyDescent="0.2">
      <c r="A32" t="str">
        <f>"23 - J 300 - J 399"</f>
        <v>23 - J 300 - J 399</v>
      </c>
      <c r="B32">
        <v>386</v>
      </c>
      <c r="C32">
        <v>274</v>
      </c>
      <c r="D32">
        <v>254</v>
      </c>
      <c r="E32">
        <v>171</v>
      </c>
      <c r="F32">
        <v>167</v>
      </c>
      <c r="G32">
        <v>256</v>
      </c>
      <c r="H32">
        <v>305</v>
      </c>
      <c r="I32">
        <v>279</v>
      </c>
      <c r="J32">
        <v>374</v>
      </c>
      <c r="K32">
        <v>679</v>
      </c>
      <c r="L32">
        <v>649</v>
      </c>
      <c r="M32">
        <v>986</v>
      </c>
      <c r="N32">
        <v>4780</v>
      </c>
    </row>
    <row r="33" spans="1:14" x14ac:dyDescent="0.2">
      <c r="A33" t="str">
        <f>"24 - J 400 - J 499"</f>
        <v>24 - J 400 - J 499</v>
      </c>
      <c r="B33">
        <v>243</v>
      </c>
      <c r="C33">
        <v>213</v>
      </c>
      <c r="D33">
        <v>202</v>
      </c>
      <c r="E33">
        <v>177</v>
      </c>
      <c r="F33">
        <v>179</v>
      </c>
      <c r="G33">
        <v>255</v>
      </c>
      <c r="H33">
        <v>239</v>
      </c>
      <c r="I33">
        <v>208</v>
      </c>
      <c r="J33">
        <v>233</v>
      </c>
      <c r="K33">
        <v>186</v>
      </c>
      <c r="L33">
        <v>203</v>
      </c>
      <c r="M33">
        <v>154</v>
      </c>
      <c r="N33">
        <v>2492</v>
      </c>
    </row>
    <row r="34" spans="1:14" x14ac:dyDescent="0.2">
      <c r="A34" t="str">
        <f>"25 - J 500 - J 599"</f>
        <v>25 - J 500 - J 599</v>
      </c>
      <c r="B34">
        <v>623</v>
      </c>
      <c r="C34">
        <v>712</v>
      </c>
      <c r="D34">
        <v>710</v>
      </c>
      <c r="E34">
        <v>738</v>
      </c>
      <c r="F34">
        <v>778</v>
      </c>
      <c r="G34">
        <v>813</v>
      </c>
      <c r="H34">
        <v>806</v>
      </c>
      <c r="I34">
        <v>651</v>
      </c>
      <c r="J34">
        <v>646</v>
      </c>
      <c r="K34">
        <v>642</v>
      </c>
      <c r="L34">
        <v>495</v>
      </c>
      <c r="M34">
        <v>422</v>
      </c>
      <c r="N34">
        <v>8036</v>
      </c>
    </row>
    <row r="35" spans="1:14" x14ac:dyDescent="0.2">
      <c r="A35" t="str">
        <f>"26 - J 600 - J 699"</f>
        <v>26 - J 600 - J 699</v>
      </c>
      <c r="B35">
        <v>323</v>
      </c>
      <c r="C35">
        <v>290</v>
      </c>
      <c r="D35">
        <v>373</v>
      </c>
      <c r="E35">
        <v>315</v>
      </c>
      <c r="F35">
        <v>296</v>
      </c>
      <c r="G35">
        <v>455</v>
      </c>
      <c r="H35">
        <v>432</v>
      </c>
      <c r="I35">
        <v>442</v>
      </c>
      <c r="J35">
        <v>336</v>
      </c>
      <c r="K35">
        <v>297</v>
      </c>
      <c r="L35">
        <v>327</v>
      </c>
      <c r="M35">
        <v>222</v>
      </c>
      <c r="N35">
        <v>4108</v>
      </c>
    </row>
    <row r="36" spans="1:14" x14ac:dyDescent="0.2">
      <c r="A36" t="str">
        <f>"27 - J 700 - J 799"</f>
        <v>27 - J 700 - J 799</v>
      </c>
      <c r="B36">
        <v>466</v>
      </c>
      <c r="C36">
        <v>480</v>
      </c>
      <c r="D36">
        <v>543</v>
      </c>
      <c r="E36">
        <v>467</v>
      </c>
      <c r="F36">
        <v>560</v>
      </c>
      <c r="G36">
        <v>698</v>
      </c>
      <c r="H36">
        <v>659</v>
      </c>
      <c r="I36">
        <v>593</v>
      </c>
      <c r="J36">
        <v>571</v>
      </c>
      <c r="K36">
        <v>531</v>
      </c>
      <c r="L36">
        <v>538</v>
      </c>
      <c r="M36">
        <v>449</v>
      </c>
      <c r="N36">
        <v>6555</v>
      </c>
    </row>
    <row r="37" spans="1:14" x14ac:dyDescent="0.2">
      <c r="A37" t="str">
        <f>"28 - J 800 - J 899"</f>
        <v>28 - J 800 - J 899</v>
      </c>
      <c r="B37">
        <v>56</v>
      </c>
      <c r="C37">
        <v>53</v>
      </c>
      <c r="D37">
        <v>80</v>
      </c>
      <c r="E37">
        <v>81</v>
      </c>
      <c r="F37">
        <v>58</v>
      </c>
      <c r="G37">
        <v>52</v>
      </c>
      <c r="H37">
        <v>59</v>
      </c>
      <c r="I37">
        <v>56</v>
      </c>
      <c r="J37">
        <v>51</v>
      </c>
      <c r="K37">
        <v>61</v>
      </c>
      <c r="L37">
        <v>42</v>
      </c>
      <c r="M37">
        <v>36</v>
      </c>
      <c r="N37">
        <v>685</v>
      </c>
    </row>
    <row r="38" spans="1:14" x14ac:dyDescent="0.2">
      <c r="A38" t="str">
        <f>"29 - J 900 - J 919"</f>
        <v>29 - J 900 - J 919</v>
      </c>
      <c r="B38">
        <v>50</v>
      </c>
      <c r="C38">
        <v>70</v>
      </c>
      <c r="D38">
        <v>111</v>
      </c>
      <c r="E38">
        <v>57</v>
      </c>
      <c r="F38">
        <v>76</v>
      </c>
      <c r="G38">
        <v>65</v>
      </c>
      <c r="H38">
        <v>79</v>
      </c>
      <c r="I38">
        <v>77</v>
      </c>
      <c r="J38">
        <v>61</v>
      </c>
      <c r="K38">
        <v>35</v>
      </c>
      <c r="L38">
        <v>61</v>
      </c>
      <c r="M38">
        <v>48</v>
      </c>
      <c r="N38">
        <v>790</v>
      </c>
    </row>
    <row r="39" spans="1:14" x14ac:dyDescent="0.2">
      <c r="A39" t="str">
        <f>"30 - J 920 - J 929"</f>
        <v>30 - J 920 - J 929</v>
      </c>
      <c r="B39">
        <v>302</v>
      </c>
      <c r="C39">
        <v>287</v>
      </c>
      <c r="D39">
        <v>248</v>
      </c>
      <c r="E39">
        <v>308</v>
      </c>
      <c r="F39">
        <v>258</v>
      </c>
      <c r="G39">
        <v>280</v>
      </c>
      <c r="H39">
        <v>228</v>
      </c>
      <c r="I39">
        <v>275</v>
      </c>
      <c r="J39">
        <v>298</v>
      </c>
      <c r="K39">
        <v>249</v>
      </c>
      <c r="L39">
        <v>266</v>
      </c>
      <c r="M39">
        <v>209</v>
      </c>
      <c r="N39">
        <v>3208</v>
      </c>
    </row>
    <row r="40" spans="1:14" x14ac:dyDescent="0.2">
      <c r="A40" t="str">
        <f>"31 - J 930 - J 999"</f>
        <v>31 - J 930 - J 999</v>
      </c>
      <c r="B40">
        <v>227</v>
      </c>
      <c r="C40">
        <v>232</v>
      </c>
      <c r="D40">
        <v>280</v>
      </c>
      <c r="E40">
        <v>237</v>
      </c>
      <c r="F40">
        <v>197</v>
      </c>
      <c r="G40">
        <v>240</v>
      </c>
      <c r="H40">
        <v>261</v>
      </c>
      <c r="I40">
        <v>202</v>
      </c>
      <c r="J40">
        <v>170</v>
      </c>
      <c r="K40">
        <v>199</v>
      </c>
      <c r="L40">
        <v>206</v>
      </c>
      <c r="M40">
        <v>157</v>
      </c>
      <c r="N40">
        <v>2608</v>
      </c>
    </row>
    <row r="41" spans="1:14" x14ac:dyDescent="0.2">
      <c r="A41" t="str">
        <f>"32 - Young Adult"</f>
        <v>32 - Young Adult</v>
      </c>
      <c r="B41">
        <v>691</v>
      </c>
      <c r="C41">
        <v>523</v>
      </c>
      <c r="D41">
        <v>753</v>
      </c>
      <c r="E41">
        <v>647</v>
      </c>
      <c r="F41">
        <v>760</v>
      </c>
      <c r="G41">
        <v>1280</v>
      </c>
      <c r="H41">
        <v>1174</v>
      </c>
      <c r="I41">
        <v>973</v>
      </c>
      <c r="J41">
        <v>589</v>
      </c>
      <c r="K41">
        <v>520</v>
      </c>
      <c r="L41">
        <v>489</v>
      </c>
      <c r="M41">
        <v>560</v>
      </c>
      <c r="N41">
        <v>8959</v>
      </c>
    </row>
    <row r="42" spans="1:14" x14ac:dyDescent="0.2">
      <c r="A42" t="str">
        <f>"33 - Large Print"</f>
        <v>33 - Large Print</v>
      </c>
      <c r="B42">
        <v>154</v>
      </c>
      <c r="C42">
        <v>165</v>
      </c>
      <c r="D42">
        <v>156</v>
      </c>
      <c r="E42">
        <v>137</v>
      </c>
      <c r="F42">
        <v>162</v>
      </c>
      <c r="G42">
        <v>155</v>
      </c>
      <c r="H42">
        <v>216</v>
      </c>
      <c r="I42">
        <v>200</v>
      </c>
      <c r="J42">
        <v>193</v>
      </c>
      <c r="K42">
        <v>224</v>
      </c>
      <c r="L42">
        <v>198</v>
      </c>
      <c r="M42">
        <v>196</v>
      </c>
      <c r="N42">
        <v>2156</v>
      </c>
    </row>
    <row r="43" spans="1:14" x14ac:dyDescent="0.2">
      <c r="A43" t="str">
        <f>"37 - Lone Star"</f>
        <v>37 - Lone Star</v>
      </c>
      <c r="B43">
        <v>83</v>
      </c>
      <c r="C43">
        <v>62</v>
      </c>
      <c r="D43">
        <v>110</v>
      </c>
      <c r="E43">
        <v>103</v>
      </c>
      <c r="F43">
        <v>199</v>
      </c>
      <c r="G43">
        <v>247</v>
      </c>
      <c r="H43">
        <v>252</v>
      </c>
      <c r="I43">
        <v>204</v>
      </c>
      <c r="J43">
        <v>143</v>
      </c>
      <c r="K43">
        <v>132</v>
      </c>
      <c r="L43">
        <v>92</v>
      </c>
      <c r="M43">
        <v>85</v>
      </c>
      <c r="N43">
        <v>1712</v>
      </c>
    </row>
    <row r="44" spans="1:14" x14ac:dyDescent="0.2">
      <c r="A44" t="str">
        <f>"38 - Bluebonnet"</f>
        <v>38 - Bluebonnet</v>
      </c>
      <c r="B44">
        <v>76</v>
      </c>
      <c r="C44">
        <v>61</v>
      </c>
      <c r="D44">
        <v>116</v>
      </c>
      <c r="E44">
        <v>81</v>
      </c>
      <c r="F44">
        <v>151</v>
      </c>
      <c r="G44">
        <v>204</v>
      </c>
      <c r="H44">
        <v>166</v>
      </c>
      <c r="I44">
        <v>156</v>
      </c>
      <c r="J44">
        <v>192</v>
      </c>
      <c r="K44">
        <v>152</v>
      </c>
      <c r="L44">
        <v>106</v>
      </c>
      <c r="M44">
        <v>82</v>
      </c>
      <c r="N44">
        <v>1543</v>
      </c>
    </row>
    <row r="45" spans="1:14" x14ac:dyDescent="0.2">
      <c r="A45" t="str">
        <f>"39 - Flashdrive"</f>
        <v>39 - Flashdrive</v>
      </c>
      <c r="B45">
        <v>0</v>
      </c>
      <c r="C45">
        <v>0</v>
      </c>
      <c r="D45">
        <v>0</v>
      </c>
      <c r="E45">
        <v>0</v>
      </c>
      <c r="F45">
        <v>0</v>
      </c>
      <c r="G45">
        <v>0</v>
      </c>
      <c r="H45">
        <v>0</v>
      </c>
      <c r="I45">
        <v>0</v>
      </c>
      <c r="J45">
        <v>0</v>
      </c>
      <c r="K45">
        <v>0</v>
      </c>
      <c r="L45">
        <v>0</v>
      </c>
      <c r="M45">
        <v>0</v>
      </c>
      <c r="N45">
        <v>0</v>
      </c>
    </row>
    <row r="46" spans="1:14" x14ac:dyDescent="0.2">
      <c r="A46" t="str">
        <f>"40 - Oversize Nonfiction"</f>
        <v>40 - Oversize Nonfiction</v>
      </c>
      <c r="B46">
        <v>7</v>
      </c>
      <c r="C46">
        <v>12</v>
      </c>
      <c r="D46">
        <v>13</v>
      </c>
      <c r="E46">
        <v>15</v>
      </c>
      <c r="F46">
        <v>7</v>
      </c>
      <c r="G46">
        <v>10</v>
      </c>
      <c r="H46">
        <v>4</v>
      </c>
      <c r="I46">
        <v>6</v>
      </c>
      <c r="J46">
        <v>6</v>
      </c>
      <c r="K46">
        <v>17</v>
      </c>
      <c r="L46">
        <v>19</v>
      </c>
      <c r="M46">
        <v>7</v>
      </c>
      <c r="N46">
        <v>123</v>
      </c>
    </row>
    <row r="47" spans="1:14" x14ac:dyDescent="0.2">
      <c r="A47" t="str">
        <f>"41 - Beginning Reader"</f>
        <v>41 - Beginning Reader</v>
      </c>
      <c r="B47">
        <v>1373</v>
      </c>
      <c r="C47">
        <v>1414</v>
      </c>
      <c r="D47">
        <v>1456</v>
      </c>
      <c r="E47">
        <v>1580</v>
      </c>
      <c r="F47">
        <v>1638</v>
      </c>
      <c r="G47">
        <v>1821</v>
      </c>
      <c r="H47">
        <v>1843</v>
      </c>
      <c r="I47">
        <v>1998</v>
      </c>
      <c r="J47">
        <v>1830</v>
      </c>
      <c r="K47">
        <v>1810</v>
      </c>
      <c r="L47">
        <v>1463</v>
      </c>
      <c r="M47">
        <v>1217</v>
      </c>
      <c r="N47">
        <v>19443</v>
      </c>
    </row>
    <row r="48" spans="1:14" x14ac:dyDescent="0.2">
      <c r="A48" t="str">
        <f>"42 - Laptop Computer"</f>
        <v>42 - Laptop Computer</v>
      </c>
      <c r="B48">
        <v>0</v>
      </c>
      <c r="C48">
        <v>0</v>
      </c>
      <c r="D48">
        <v>0</v>
      </c>
      <c r="E48">
        <v>0</v>
      </c>
      <c r="F48">
        <v>0</v>
      </c>
      <c r="G48">
        <v>0</v>
      </c>
      <c r="H48">
        <v>0</v>
      </c>
      <c r="I48">
        <v>0</v>
      </c>
      <c r="J48">
        <v>0</v>
      </c>
      <c r="K48">
        <v>0</v>
      </c>
      <c r="L48">
        <v>0</v>
      </c>
      <c r="M48">
        <v>0</v>
      </c>
      <c r="N48">
        <v>0</v>
      </c>
    </row>
    <row r="49" spans="1:14" x14ac:dyDescent="0.2">
      <c r="A49" t="str">
        <f>"43 - Board Books"</f>
        <v>43 - Board Books</v>
      </c>
      <c r="B49">
        <v>571</v>
      </c>
      <c r="C49">
        <v>445</v>
      </c>
      <c r="D49">
        <v>534</v>
      </c>
      <c r="E49">
        <v>484</v>
      </c>
      <c r="F49">
        <v>550</v>
      </c>
      <c r="G49">
        <v>603</v>
      </c>
      <c r="H49">
        <v>629</v>
      </c>
      <c r="I49">
        <v>628</v>
      </c>
      <c r="J49">
        <v>598</v>
      </c>
      <c r="K49">
        <v>557</v>
      </c>
      <c r="L49">
        <v>491</v>
      </c>
      <c r="M49">
        <v>421</v>
      </c>
      <c r="N49">
        <v>6511</v>
      </c>
    </row>
    <row r="50" spans="1:14" x14ac:dyDescent="0.2">
      <c r="A50" t="str">
        <f>"44 - Audio Books"</f>
        <v>44 - Audio Books</v>
      </c>
      <c r="B50">
        <v>616</v>
      </c>
      <c r="C50">
        <v>616</v>
      </c>
      <c r="D50">
        <v>632</v>
      </c>
      <c r="E50">
        <v>637</v>
      </c>
      <c r="F50">
        <v>714</v>
      </c>
      <c r="G50">
        <v>745</v>
      </c>
      <c r="H50">
        <v>632</v>
      </c>
      <c r="I50">
        <v>642</v>
      </c>
      <c r="J50">
        <v>540</v>
      </c>
      <c r="K50">
        <v>582</v>
      </c>
      <c r="L50">
        <v>434</v>
      </c>
      <c r="M50">
        <v>487</v>
      </c>
      <c r="N50">
        <v>7277</v>
      </c>
    </row>
    <row r="51" spans="1:14" x14ac:dyDescent="0.2">
      <c r="A51" t="str">
        <f>"45 - Audio Nonfiction"</f>
        <v>45 - Audio Nonfiction</v>
      </c>
      <c r="B51">
        <v>373</v>
      </c>
      <c r="C51">
        <v>358</v>
      </c>
      <c r="D51">
        <v>415</v>
      </c>
      <c r="E51">
        <v>369</v>
      </c>
      <c r="F51">
        <v>414</v>
      </c>
      <c r="G51">
        <v>336</v>
      </c>
      <c r="H51">
        <v>399</v>
      </c>
      <c r="I51">
        <v>372</v>
      </c>
      <c r="J51">
        <v>291</v>
      </c>
      <c r="K51">
        <v>334</v>
      </c>
      <c r="L51">
        <v>258</v>
      </c>
      <c r="M51">
        <v>316</v>
      </c>
      <c r="N51">
        <v>4235</v>
      </c>
    </row>
    <row r="52" spans="1:14" x14ac:dyDescent="0.2">
      <c r="A52" t="str">
        <f>"46 - Movies"</f>
        <v>46 - Movies</v>
      </c>
      <c r="B52">
        <v>4952</v>
      </c>
      <c r="C52">
        <v>4491</v>
      </c>
      <c r="D52">
        <v>5449</v>
      </c>
      <c r="E52">
        <v>4238</v>
      </c>
      <c r="F52">
        <v>4626</v>
      </c>
      <c r="G52">
        <v>5928</v>
      </c>
      <c r="H52">
        <v>5666</v>
      </c>
      <c r="I52">
        <v>4932</v>
      </c>
      <c r="J52">
        <v>3753</v>
      </c>
      <c r="K52">
        <v>3897</v>
      </c>
      <c r="L52">
        <v>3625</v>
      </c>
      <c r="M52">
        <v>3691</v>
      </c>
      <c r="N52">
        <v>55248</v>
      </c>
    </row>
    <row r="53" spans="1:14" x14ac:dyDescent="0.2">
      <c r="A53" t="str">
        <f>"47 - Video Nonfiction"</f>
        <v>47 - Video Nonfiction</v>
      </c>
      <c r="B53">
        <v>157</v>
      </c>
      <c r="C53">
        <v>150</v>
      </c>
      <c r="D53">
        <v>145</v>
      </c>
      <c r="E53">
        <v>104</v>
      </c>
      <c r="F53">
        <v>97</v>
      </c>
      <c r="G53">
        <v>97</v>
      </c>
      <c r="H53">
        <v>87</v>
      </c>
      <c r="I53">
        <v>96</v>
      </c>
      <c r="J53">
        <v>110</v>
      </c>
      <c r="K53">
        <v>95</v>
      </c>
      <c r="L53">
        <v>93</v>
      </c>
      <c r="M53">
        <v>82</v>
      </c>
      <c r="N53">
        <v>1313</v>
      </c>
    </row>
    <row r="54" spans="1:14" x14ac:dyDescent="0.2">
      <c r="A54" t="str">
        <f>"48 - Audio J Book &amp; Audio"</f>
        <v>48 - Audio J Book &amp; Audio</v>
      </c>
      <c r="B54">
        <v>88</v>
      </c>
      <c r="C54">
        <v>110</v>
      </c>
      <c r="D54">
        <v>140</v>
      </c>
      <c r="E54">
        <v>91</v>
      </c>
      <c r="F54">
        <v>95</v>
      </c>
      <c r="G54">
        <v>130</v>
      </c>
      <c r="H54">
        <v>104</v>
      </c>
      <c r="I54">
        <v>85</v>
      </c>
      <c r="J54">
        <v>95</v>
      </c>
      <c r="K54">
        <v>109</v>
      </c>
      <c r="L54">
        <v>68</v>
      </c>
      <c r="M54">
        <v>52</v>
      </c>
      <c r="N54">
        <v>1167</v>
      </c>
    </row>
    <row r="55" spans="1:14" x14ac:dyDescent="0.2">
      <c r="A55" t="str">
        <f>"49 - Audio J Books"</f>
        <v>49 - Audio J Books</v>
      </c>
      <c r="B55">
        <v>157</v>
      </c>
      <c r="C55">
        <v>175</v>
      </c>
      <c r="D55">
        <v>308</v>
      </c>
      <c r="E55">
        <v>125</v>
      </c>
      <c r="F55">
        <v>154</v>
      </c>
      <c r="G55">
        <v>333</v>
      </c>
      <c r="H55">
        <v>296</v>
      </c>
      <c r="I55">
        <v>213</v>
      </c>
      <c r="J55">
        <v>147</v>
      </c>
      <c r="K55">
        <v>117</v>
      </c>
      <c r="L55">
        <v>116</v>
      </c>
      <c r="M55">
        <v>110</v>
      </c>
      <c r="N55">
        <v>2251</v>
      </c>
    </row>
    <row r="56" spans="1:14" x14ac:dyDescent="0.2">
      <c r="A56" t="str">
        <f>"50 - Audio J Nonfiction"</f>
        <v>50 - Audio J Nonfiction</v>
      </c>
      <c r="B56">
        <v>0</v>
      </c>
      <c r="C56">
        <v>0</v>
      </c>
      <c r="D56">
        <v>0</v>
      </c>
      <c r="E56">
        <v>0</v>
      </c>
      <c r="F56">
        <v>0</v>
      </c>
      <c r="G56">
        <v>3</v>
      </c>
      <c r="H56">
        <v>6</v>
      </c>
      <c r="I56">
        <v>0</v>
      </c>
      <c r="J56">
        <v>0</v>
      </c>
      <c r="K56">
        <v>3</v>
      </c>
      <c r="L56">
        <v>3</v>
      </c>
      <c r="M56">
        <v>4</v>
      </c>
      <c r="N56">
        <v>19</v>
      </c>
    </row>
    <row r="57" spans="1:14" x14ac:dyDescent="0.2">
      <c r="A57" t="str">
        <f>"51 - Video J Nonfiction"</f>
        <v>51 - Video J Nonfiction</v>
      </c>
      <c r="B57">
        <v>12</v>
      </c>
      <c r="C57">
        <v>16</v>
      </c>
      <c r="D57">
        <v>8</v>
      </c>
      <c r="E57">
        <v>1</v>
      </c>
      <c r="F57">
        <v>3</v>
      </c>
      <c r="G57">
        <v>8</v>
      </c>
      <c r="H57">
        <v>11</v>
      </c>
      <c r="I57">
        <v>9</v>
      </c>
      <c r="J57">
        <v>9</v>
      </c>
      <c r="K57">
        <v>10</v>
      </c>
      <c r="L57">
        <v>11</v>
      </c>
      <c r="M57">
        <v>2</v>
      </c>
      <c r="N57">
        <v>100</v>
      </c>
    </row>
    <row r="58" spans="1:14" x14ac:dyDescent="0.2">
      <c r="A58" t="str">
        <f>"52 - Audio YA Books"</f>
        <v>52 - Audio YA Books</v>
      </c>
      <c r="B58">
        <v>35</v>
      </c>
      <c r="C58">
        <v>26</v>
      </c>
      <c r="D58">
        <v>35</v>
      </c>
      <c r="E58">
        <v>26</v>
      </c>
      <c r="F58">
        <v>21</v>
      </c>
      <c r="G58">
        <v>19</v>
      </c>
      <c r="H58">
        <v>28</v>
      </c>
      <c r="I58">
        <v>39</v>
      </c>
      <c r="J58">
        <v>14</v>
      </c>
      <c r="K58">
        <v>24</v>
      </c>
      <c r="L58">
        <v>18</v>
      </c>
      <c r="M58">
        <v>21</v>
      </c>
      <c r="N58">
        <v>306</v>
      </c>
    </row>
    <row r="59" spans="1:14" x14ac:dyDescent="0.2">
      <c r="A59" t="str">
        <f>"53 - _Staff Use Only"</f>
        <v>53 - _Staff Use Only</v>
      </c>
      <c r="B59">
        <v>4</v>
      </c>
      <c r="C59">
        <v>2</v>
      </c>
      <c r="D59">
        <v>9</v>
      </c>
      <c r="E59">
        <v>7</v>
      </c>
      <c r="F59">
        <v>3</v>
      </c>
      <c r="G59">
        <v>1</v>
      </c>
      <c r="H59">
        <v>4</v>
      </c>
      <c r="I59">
        <v>3</v>
      </c>
      <c r="J59">
        <v>2</v>
      </c>
      <c r="K59">
        <v>1</v>
      </c>
      <c r="L59">
        <v>4</v>
      </c>
      <c r="M59">
        <v>4</v>
      </c>
      <c r="N59">
        <v>44</v>
      </c>
    </row>
    <row r="60" spans="1:14" x14ac:dyDescent="0.2">
      <c r="A60" t="str">
        <f>"54 - YA Graphic Novel"</f>
        <v>54 - YA Graphic Novel</v>
      </c>
      <c r="B60">
        <v>86</v>
      </c>
      <c r="C60">
        <v>66</v>
      </c>
      <c r="D60">
        <v>120</v>
      </c>
      <c r="E60">
        <v>102</v>
      </c>
      <c r="F60">
        <v>108</v>
      </c>
      <c r="G60">
        <v>188</v>
      </c>
      <c r="H60">
        <v>112</v>
      </c>
      <c r="I60">
        <v>113</v>
      </c>
      <c r="J60">
        <v>48</v>
      </c>
      <c r="K60">
        <v>60</v>
      </c>
      <c r="L60">
        <v>98</v>
      </c>
      <c r="M60">
        <v>78</v>
      </c>
      <c r="N60">
        <v>1179</v>
      </c>
    </row>
    <row r="61" spans="1:14" x14ac:dyDescent="0.2">
      <c r="A61" t="str">
        <f>"55 - CTLS Circulating Collection"</f>
        <v>55 - CTLS Circulating Collection</v>
      </c>
      <c r="B61">
        <v>0</v>
      </c>
      <c r="C61">
        <v>0</v>
      </c>
      <c r="D61">
        <v>0</v>
      </c>
      <c r="E61">
        <v>0</v>
      </c>
      <c r="F61">
        <v>0</v>
      </c>
      <c r="G61">
        <v>0</v>
      </c>
      <c r="H61">
        <v>0</v>
      </c>
      <c r="I61">
        <v>0</v>
      </c>
      <c r="J61">
        <v>0</v>
      </c>
      <c r="K61">
        <v>0</v>
      </c>
      <c r="L61">
        <v>0</v>
      </c>
      <c r="M61">
        <v>0</v>
      </c>
      <c r="N61">
        <v>0</v>
      </c>
    </row>
    <row r="62" spans="1:14" x14ac:dyDescent="0.2">
      <c r="A62" t="str">
        <f>"56 - YA 000-199"</f>
        <v>56 - YA 000-199</v>
      </c>
      <c r="B62">
        <v>5</v>
      </c>
      <c r="C62">
        <v>3</v>
      </c>
      <c r="D62">
        <v>2</v>
      </c>
      <c r="E62">
        <v>0</v>
      </c>
      <c r="F62">
        <v>2</v>
      </c>
      <c r="G62">
        <v>1</v>
      </c>
      <c r="H62">
        <v>0</v>
      </c>
      <c r="I62">
        <v>5</v>
      </c>
      <c r="J62">
        <v>1</v>
      </c>
      <c r="K62">
        <v>0</v>
      </c>
      <c r="L62">
        <v>0</v>
      </c>
      <c r="M62">
        <v>1</v>
      </c>
      <c r="N62">
        <v>20</v>
      </c>
    </row>
    <row r="63" spans="1:14" x14ac:dyDescent="0.2">
      <c r="A63" t="str">
        <f>"57 - YA 200-299"</f>
        <v>57 - YA 200-299</v>
      </c>
      <c r="B63">
        <v>0</v>
      </c>
      <c r="C63">
        <v>0</v>
      </c>
      <c r="D63">
        <v>0</v>
      </c>
      <c r="E63">
        <v>5</v>
      </c>
      <c r="F63">
        <v>1</v>
      </c>
      <c r="G63">
        <v>4</v>
      </c>
      <c r="H63">
        <v>2</v>
      </c>
      <c r="I63">
        <v>2</v>
      </c>
      <c r="J63">
        <v>2</v>
      </c>
      <c r="K63">
        <v>0</v>
      </c>
      <c r="L63">
        <v>0</v>
      </c>
      <c r="M63">
        <v>1</v>
      </c>
      <c r="N63">
        <v>17</v>
      </c>
    </row>
    <row r="64" spans="1:14" x14ac:dyDescent="0.2">
      <c r="A64" t="str">
        <f>"58 - YA 300-399"</f>
        <v>58 - YA 300-399</v>
      </c>
      <c r="B64">
        <v>13</v>
      </c>
      <c r="C64">
        <v>9</v>
      </c>
      <c r="D64">
        <v>4</v>
      </c>
      <c r="E64">
        <v>8</v>
      </c>
      <c r="F64">
        <v>5</v>
      </c>
      <c r="G64">
        <v>4</v>
      </c>
      <c r="H64">
        <v>5</v>
      </c>
      <c r="I64">
        <v>17</v>
      </c>
      <c r="J64">
        <v>3</v>
      </c>
      <c r="K64">
        <v>7</v>
      </c>
      <c r="L64">
        <v>1</v>
      </c>
      <c r="M64">
        <v>2</v>
      </c>
      <c r="N64">
        <v>78</v>
      </c>
    </row>
    <row r="65" spans="1:14" x14ac:dyDescent="0.2">
      <c r="A65" t="str">
        <f>"59 - YA 400-499"</f>
        <v>59 - YA 400-499</v>
      </c>
      <c r="B65">
        <v>0</v>
      </c>
      <c r="C65">
        <v>0</v>
      </c>
      <c r="D65">
        <v>0</v>
      </c>
      <c r="E65">
        <v>0</v>
      </c>
      <c r="F65">
        <v>0</v>
      </c>
      <c r="G65">
        <v>0</v>
      </c>
      <c r="H65">
        <v>0</v>
      </c>
      <c r="I65">
        <v>0</v>
      </c>
      <c r="J65">
        <v>0</v>
      </c>
      <c r="K65">
        <v>0</v>
      </c>
      <c r="L65">
        <v>0</v>
      </c>
      <c r="M65">
        <v>0</v>
      </c>
      <c r="N65">
        <v>0</v>
      </c>
    </row>
    <row r="66" spans="1:14" x14ac:dyDescent="0.2">
      <c r="A66" t="str">
        <f>"60 - YA 500-599"</f>
        <v>60 - YA 500-599</v>
      </c>
      <c r="B66">
        <v>0</v>
      </c>
      <c r="C66">
        <v>0</v>
      </c>
      <c r="D66">
        <v>0</v>
      </c>
      <c r="E66">
        <v>0</v>
      </c>
      <c r="F66">
        <v>0</v>
      </c>
      <c r="G66">
        <v>1</v>
      </c>
      <c r="H66">
        <v>0</v>
      </c>
      <c r="I66">
        <v>1</v>
      </c>
      <c r="J66">
        <v>0</v>
      </c>
      <c r="K66">
        <v>0</v>
      </c>
      <c r="L66">
        <v>0</v>
      </c>
      <c r="M66">
        <v>0</v>
      </c>
      <c r="N66">
        <v>2</v>
      </c>
    </row>
    <row r="67" spans="1:14" x14ac:dyDescent="0.2">
      <c r="A67" t="str">
        <f>"61 - YA 600-699"</f>
        <v>61 - YA 600-699</v>
      </c>
      <c r="B67">
        <v>7</v>
      </c>
      <c r="C67">
        <v>4</v>
      </c>
      <c r="D67">
        <v>1</v>
      </c>
      <c r="E67">
        <v>0</v>
      </c>
      <c r="F67">
        <v>2</v>
      </c>
      <c r="G67">
        <v>2</v>
      </c>
      <c r="H67">
        <v>2</v>
      </c>
      <c r="I67">
        <v>5</v>
      </c>
      <c r="J67">
        <v>4</v>
      </c>
      <c r="K67">
        <v>1</v>
      </c>
      <c r="L67">
        <v>2</v>
      </c>
      <c r="M67">
        <v>5</v>
      </c>
      <c r="N67">
        <v>35</v>
      </c>
    </row>
    <row r="68" spans="1:14" x14ac:dyDescent="0.2">
      <c r="A68" t="str">
        <f>"62 - YA 700-799"</f>
        <v>62 - YA 700-799</v>
      </c>
      <c r="B68">
        <v>1</v>
      </c>
      <c r="C68">
        <v>1</v>
      </c>
      <c r="D68">
        <v>6</v>
      </c>
      <c r="E68">
        <v>0</v>
      </c>
      <c r="F68">
        <v>1</v>
      </c>
      <c r="G68">
        <v>4</v>
      </c>
      <c r="H68">
        <v>5</v>
      </c>
      <c r="I68">
        <v>8</v>
      </c>
      <c r="J68">
        <v>0</v>
      </c>
      <c r="K68">
        <v>2</v>
      </c>
      <c r="L68">
        <v>0</v>
      </c>
      <c r="M68">
        <v>1</v>
      </c>
      <c r="N68">
        <v>29</v>
      </c>
    </row>
    <row r="69" spans="1:14" x14ac:dyDescent="0.2">
      <c r="A69" t="str">
        <f>"63 - YA 800-899"</f>
        <v>63 - YA 800-899</v>
      </c>
      <c r="B69">
        <v>1</v>
      </c>
      <c r="C69">
        <v>0</v>
      </c>
      <c r="D69">
        <v>0</v>
      </c>
      <c r="E69">
        <v>0</v>
      </c>
      <c r="F69">
        <v>0</v>
      </c>
      <c r="G69">
        <v>2</v>
      </c>
      <c r="H69">
        <v>0</v>
      </c>
      <c r="I69">
        <v>2</v>
      </c>
      <c r="J69">
        <v>2</v>
      </c>
      <c r="K69">
        <v>4</v>
      </c>
      <c r="L69">
        <v>0</v>
      </c>
      <c r="M69">
        <v>0</v>
      </c>
      <c r="N69">
        <v>11</v>
      </c>
    </row>
    <row r="70" spans="1:14" x14ac:dyDescent="0.2">
      <c r="A70" t="str">
        <f>"64 - YA 900-919"</f>
        <v>64 - YA 900-919</v>
      </c>
      <c r="B70">
        <v>0</v>
      </c>
      <c r="C70">
        <v>0</v>
      </c>
      <c r="D70">
        <v>0</v>
      </c>
      <c r="E70">
        <v>0</v>
      </c>
      <c r="F70">
        <v>0</v>
      </c>
      <c r="G70">
        <v>0</v>
      </c>
      <c r="H70">
        <v>0</v>
      </c>
      <c r="I70">
        <v>1</v>
      </c>
      <c r="J70">
        <v>0</v>
      </c>
      <c r="K70">
        <v>0</v>
      </c>
      <c r="L70">
        <v>0</v>
      </c>
      <c r="M70">
        <v>0</v>
      </c>
      <c r="N70">
        <v>1</v>
      </c>
    </row>
    <row r="71" spans="1:14" x14ac:dyDescent="0.2">
      <c r="A71" t="str">
        <f>"65 - YA 920-929"</f>
        <v>65 - YA 920-929</v>
      </c>
      <c r="B71">
        <v>10</v>
      </c>
      <c r="C71">
        <v>12</v>
      </c>
      <c r="D71">
        <v>6</v>
      </c>
      <c r="E71">
        <v>15</v>
      </c>
      <c r="F71">
        <v>9</v>
      </c>
      <c r="G71">
        <v>11</v>
      </c>
      <c r="H71">
        <v>8</v>
      </c>
      <c r="I71">
        <v>15</v>
      </c>
      <c r="J71">
        <v>7</v>
      </c>
      <c r="K71">
        <v>7</v>
      </c>
      <c r="L71">
        <v>4</v>
      </c>
      <c r="M71">
        <v>5</v>
      </c>
      <c r="N71">
        <v>109</v>
      </c>
    </row>
    <row r="72" spans="1:14" x14ac:dyDescent="0.2">
      <c r="A72" t="str">
        <f>"66 - YA 930-999"</f>
        <v>66 - YA 930-999</v>
      </c>
      <c r="B72">
        <v>5</v>
      </c>
      <c r="C72">
        <v>3</v>
      </c>
      <c r="D72">
        <v>1</v>
      </c>
      <c r="E72">
        <v>0</v>
      </c>
      <c r="F72">
        <v>1</v>
      </c>
      <c r="G72">
        <v>0</v>
      </c>
      <c r="H72">
        <v>0</v>
      </c>
      <c r="I72">
        <v>3</v>
      </c>
      <c r="J72">
        <v>0</v>
      </c>
      <c r="K72">
        <v>0</v>
      </c>
      <c r="L72">
        <v>0</v>
      </c>
      <c r="M72">
        <v>1</v>
      </c>
      <c r="N72">
        <v>14</v>
      </c>
    </row>
    <row r="73" spans="1:14" x14ac:dyDescent="0.2">
      <c r="A73" t="str">
        <f>"67 - Adult Graphic Novels"</f>
        <v>67 - Adult Graphic Novels</v>
      </c>
      <c r="B73">
        <v>50</v>
      </c>
      <c r="C73">
        <v>46</v>
      </c>
      <c r="D73">
        <v>42</v>
      </c>
      <c r="E73">
        <v>43</v>
      </c>
      <c r="F73">
        <v>36</v>
      </c>
      <c r="G73">
        <v>79</v>
      </c>
      <c r="H73">
        <v>62</v>
      </c>
      <c r="I73">
        <v>49</v>
      </c>
      <c r="J73">
        <v>47</v>
      </c>
      <c r="K73">
        <v>57</v>
      </c>
      <c r="L73">
        <v>52</v>
      </c>
      <c r="M73">
        <v>75</v>
      </c>
      <c r="N73">
        <v>638</v>
      </c>
    </row>
    <row r="74" spans="1:14" x14ac:dyDescent="0.2">
      <c r="A74" t="s">
        <v>3640</v>
      </c>
      <c r="B74">
        <v>37</v>
      </c>
      <c r="C74">
        <v>55</v>
      </c>
      <c r="D74">
        <v>77</v>
      </c>
      <c r="E74">
        <v>49</v>
      </c>
      <c r="F74">
        <v>54</v>
      </c>
      <c r="G74">
        <v>50</v>
      </c>
      <c r="H74">
        <v>56</v>
      </c>
      <c r="I74">
        <v>57</v>
      </c>
      <c r="J74">
        <v>57</v>
      </c>
      <c r="K74">
        <v>52</v>
      </c>
      <c r="L74">
        <v>30</v>
      </c>
      <c r="M74">
        <v>60</v>
      </c>
      <c r="N74">
        <v>634</v>
      </c>
    </row>
    <row r="75" spans="1:14" x14ac:dyDescent="0.2">
      <c r="B75">
        <v>31352</v>
      </c>
      <c r="C75">
        <v>29290</v>
      </c>
      <c r="D75">
        <v>32851</v>
      </c>
      <c r="E75">
        <v>29647</v>
      </c>
      <c r="F75">
        <v>32099</v>
      </c>
      <c r="G75">
        <v>39072</v>
      </c>
      <c r="H75">
        <v>38267</v>
      </c>
      <c r="I75">
        <v>34866</v>
      </c>
      <c r="J75">
        <v>29784</v>
      </c>
      <c r="K75">
        <v>30052</v>
      </c>
      <c r="L75">
        <v>26784</v>
      </c>
      <c r="M75">
        <v>25953</v>
      </c>
      <c r="N75">
        <v>380017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Reports Menu</vt:lpstr>
      <vt:lpstr>Usage Report Inputs</vt:lpstr>
      <vt:lpstr>Usage Report Sample</vt:lpstr>
      <vt:lpstr>Materials Report Input</vt:lpstr>
      <vt:lpstr>Materials Report Sample</vt:lpstr>
      <vt:lpstr>Material Problems Input</vt:lpstr>
      <vt:lpstr>Material Problems Sample</vt:lpstr>
      <vt:lpstr>Circ Stats Inputs</vt:lpstr>
      <vt:lpstr>Circ Stats Sample</vt:lpstr>
      <vt:lpstr>Circulation Snapshot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Jo Finch</dc:creator>
  <cp:lastModifiedBy>Microsoft Office User</cp:lastModifiedBy>
  <dcterms:created xsi:type="dcterms:W3CDTF">2020-02-01T16:31:02Z</dcterms:created>
  <dcterms:modified xsi:type="dcterms:W3CDTF">2020-02-09T21:04:58Z</dcterms:modified>
</cp:coreProperties>
</file>